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hydroone.sharepoint.com/sites/RA/Proceedings Library/2023/EB-2023-0059 - Orillia and Peterborough - Distribution - IRM Application/Working Folder/Application and Evidence/"/>
    </mc:Choice>
  </mc:AlternateContent>
  <xr:revisionPtr revIDLastSave="0" documentId="13_ncr:1_{DFDE461A-8237-4949-8F21-96C2E73FA1AF}" xr6:coauthVersionLast="47" xr6:coauthVersionMax="47" xr10:uidLastSave="{00000000-0000-0000-0000-000000000000}"/>
  <bookViews>
    <workbookView xWindow="-110" yWindow="-110" windowWidth="19420" windowHeight="10420" xr2:uid="{6ADE94FC-F6D2-4148-BF4E-403FF7114D33}"/>
  </bookViews>
  <sheets>
    <sheet name="21. Bill Impacts - Orillia RZ" sheetId="1" r:id="rId1"/>
  </sheets>
  <definedNames>
    <definedName name="_xlnm._FilterDatabase" localSheetId="0" hidden="1">'21. Bill Impacts - Orillia RZ'!$A$88:$BY$580</definedName>
    <definedName name="DesRange">#REF!</definedName>
    <definedName name="MidPeak" localSheetId="0">#REF!</definedName>
    <definedName name="MidPeak">#REF!</definedName>
    <definedName name="MidPeakPer" localSheetId="0">#REF!</definedName>
    <definedName name="MidPeakPer">#REF!</definedName>
    <definedName name="OffPeak" localSheetId="0">#REF!</definedName>
    <definedName name="OffPeak">#REF!</definedName>
    <definedName name="OffPeakPer" localSheetId="0">#REF!</definedName>
    <definedName name="OffPeakPer">#REF!</definedName>
    <definedName name="OnPeak" localSheetId="0">#REF!</definedName>
    <definedName name="OnPeak">#REF!</definedName>
    <definedName name="OnPeakPer" localSheetId="0">#REF!</definedName>
    <definedName name="OnPeakPer">#REF!</definedName>
    <definedName name="SME" localSheetId="0">#REF!</definedName>
    <definedName name="SME">#REF!</definedName>
    <definedName name="SpRang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4" i="1" l="1"/>
  <c r="I564" i="1"/>
  <c r="I563" i="1"/>
  <c r="H561" i="1"/>
  <c r="K560" i="1"/>
  <c r="C555" i="1"/>
  <c r="C552" i="1"/>
  <c r="K550" i="1"/>
  <c r="H550" i="1"/>
  <c r="K549" i="1"/>
  <c r="H549" i="1"/>
  <c r="C543" i="1"/>
  <c r="J541" i="1"/>
  <c r="K541" i="1" s="1"/>
  <c r="H541" i="1"/>
  <c r="L540" i="1"/>
  <c r="J537" i="1"/>
  <c r="K537" i="1" s="1"/>
  <c r="H537" i="1"/>
  <c r="E531" i="1"/>
  <c r="E530" i="1"/>
  <c r="E529" i="1"/>
  <c r="J547" i="1" s="1"/>
  <c r="K547" i="1" s="1"/>
  <c r="E528" i="1"/>
  <c r="K527" i="1"/>
  <c r="E527" i="1"/>
  <c r="A537" i="1" s="1"/>
  <c r="A538" i="1" s="1"/>
  <c r="A539" i="1" s="1"/>
  <c r="A540" i="1" s="1"/>
  <c r="A541" i="1" s="1"/>
  <c r="A542" i="1" s="1"/>
  <c r="A543" i="1" s="1"/>
  <c r="A544" i="1" s="1"/>
  <c r="A545" i="1" s="1"/>
  <c r="A546" i="1" s="1"/>
  <c r="A547" i="1" s="1"/>
  <c r="A548" i="1" s="1"/>
  <c r="C518" i="1"/>
  <c r="I508" i="1"/>
  <c r="I507" i="1"/>
  <c r="K506" i="1"/>
  <c r="C499" i="1"/>
  <c r="C496" i="1"/>
  <c r="K494" i="1"/>
  <c r="H494" i="1"/>
  <c r="K493" i="1"/>
  <c r="H493" i="1"/>
  <c r="C487" i="1"/>
  <c r="J485" i="1"/>
  <c r="K485" i="1" s="1"/>
  <c r="H485" i="1"/>
  <c r="L484" i="1"/>
  <c r="J481" i="1"/>
  <c r="K481" i="1" s="1"/>
  <c r="H481" i="1"/>
  <c r="E475" i="1"/>
  <c r="E474" i="1"/>
  <c r="E473" i="1"/>
  <c r="G508" i="1" s="1"/>
  <c r="H508" i="1" s="1"/>
  <c r="E472" i="1"/>
  <c r="K471" i="1"/>
  <c r="E471" i="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I452" i="1"/>
  <c r="I451" i="1"/>
  <c r="K450" i="1"/>
  <c r="K446" i="1"/>
  <c r="H446" i="1"/>
  <c r="C443" i="1"/>
  <c r="C440" i="1"/>
  <c r="K438" i="1"/>
  <c r="H438" i="1"/>
  <c r="K437" i="1"/>
  <c r="J436" i="1"/>
  <c r="K436" i="1" s="1"/>
  <c r="C431" i="1"/>
  <c r="J429" i="1"/>
  <c r="K429" i="1" s="1"/>
  <c r="H429" i="1"/>
  <c r="L428" i="1"/>
  <c r="J428" i="1"/>
  <c r="J425" i="1"/>
  <c r="K425" i="1" s="1"/>
  <c r="H425" i="1"/>
  <c r="E419" i="1"/>
  <c r="G444" i="1" s="1"/>
  <c r="H444" i="1" s="1"/>
  <c r="E418" i="1"/>
  <c r="E417" i="1"/>
  <c r="J452" i="1" s="1"/>
  <c r="E416" i="1"/>
  <c r="K415" i="1"/>
  <c r="E415" i="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K410" i="1"/>
  <c r="C406" i="1"/>
  <c r="I396" i="1"/>
  <c r="I395" i="1"/>
  <c r="C387" i="1"/>
  <c r="C384" i="1"/>
  <c r="K382" i="1"/>
  <c r="H382" i="1"/>
  <c r="K381" i="1"/>
  <c r="H381" i="1"/>
  <c r="J379" i="1"/>
  <c r="K379" i="1" s="1"/>
  <c r="J376" i="1"/>
  <c r="K376" i="1" s="1"/>
  <c r="G376" i="1"/>
  <c r="H376" i="1" s="1"/>
  <c r="C375" i="1"/>
  <c r="K373" i="1"/>
  <c r="H373" i="1"/>
  <c r="L372" i="1"/>
  <c r="K369" i="1"/>
  <c r="H369" i="1"/>
  <c r="E363" i="1"/>
  <c r="E362" i="1"/>
  <c r="G383" i="1" s="1"/>
  <c r="H383" i="1" s="1"/>
  <c r="E361" i="1"/>
  <c r="G379" i="1" s="1"/>
  <c r="H379" i="1" s="1"/>
  <c r="E360" i="1"/>
  <c r="K359" i="1"/>
  <c r="E359" i="1"/>
  <c r="K400" i="1" s="1"/>
  <c r="C345" i="1"/>
  <c r="I340" i="1"/>
  <c r="I339" i="1"/>
  <c r="H338" i="1"/>
  <c r="K337" i="1"/>
  <c r="H336" i="1"/>
  <c r="K334" i="1"/>
  <c r="H334" i="1"/>
  <c r="C331" i="1"/>
  <c r="C328" i="1"/>
  <c r="K326" i="1"/>
  <c r="H326" i="1"/>
  <c r="K325" i="1"/>
  <c r="J322" i="1"/>
  <c r="K322" i="1" s="1"/>
  <c r="G322" i="1"/>
  <c r="H322" i="1" s="1"/>
  <c r="C319" i="1"/>
  <c r="K317" i="1"/>
  <c r="H317" i="1"/>
  <c r="L316" i="1"/>
  <c r="G315" i="1"/>
  <c r="K313" i="1"/>
  <c r="L313" i="1" s="1"/>
  <c r="H313" i="1"/>
  <c r="E307" i="1"/>
  <c r="E306" i="1"/>
  <c r="J329" i="1" s="1"/>
  <c r="K329" i="1" s="1"/>
  <c r="E305" i="1"/>
  <c r="J339" i="1" s="1"/>
  <c r="E304" i="1"/>
  <c r="K303" i="1"/>
  <c r="E303" i="1"/>
  <c r="A313" i="1" s="1"/>
  <c r="A314" i="1" s="1"/>
  <c r="A315" i="1" s="1"/>
  <c r="A316" i="1" s="1"/>
  <c r="A317" i="1" s="1"/>
  <c r="A318" i="1" s="1"/>
  <c r="A319" i="1" s="1"/>
  <c r="A320" i="1" s="1"/>
  <c r="A321" i="1" s="1"/>
  <c r="A322" i="1" s="1"/>
  <c r="A323" i="1" s="1"/>
  <c r="A324" i="1" s="1"/>
  <c r="C289" i="1"/>
  <c r="I284" i="1"/>
  <c r="I283" i="1"/>
  <c r="H280" i="1"/>
  <c r="K278" i="1"/>
  <c r="H278" i="1"/>
  <c r="C275" i="1"/>
  <c r="C272" i="1"/>
  <c r="K270" i="1"/>
  <c r="H270" i="1"/>
  <c r="G268" i="1"/>
  <c r="H268" i="1" s="1"/>
  <c r="C263" i="1"/>
  <c r="K261" i="1"/>
  <c r="H261" i="1"/>
  <c r="L260" i="1"/>
  <c r="K257" i="1"/>
  <c r="H257" i="1"/>
  <c r="E251" i="1"/>
  <c r="E250" i="1"/>
  <c r="E249" i="1"/>
  <c r="G267" i="1" s="1"/>
  <c r="H267" i="1" s="1"/>
  <c r="E248" i="1"/>
  <c r="K247" i="1"/>
  <c r="E247" i="1"/>
  <c r="A257" i="1" s="1"/>
  <c r="A258" i="1" s="1"/>
  <c r="A259" i="1" s="1"/>
  <c r="A260" i="1" s="1"/>
  <c r="A261" i="1" s="1"/>
  <c r="A262" i="1" s="1"/>
  <c r="A263" i="1" s="1"/>
  <c r="A264" i="1" s="1"/>
  <c r="A265" i="1" s="1"/>
  <c r="A266" i="1" s="1"/>
  <c r="A267" i="1" s="1"/>
  <c r="A268" i="1" s="1"/>
  <c r="C243" i="1"/>
  <c r="I228" i="1"/>
  <c r="I227" i="1"/>
  <c r="K222" i="1"/>
  <c r="H222" i="1"/>
  <c r="C219" i="1"/>
  <c r="G218" i="1"/>
  <c r="H218" i="1" s="1"/>
  <c r="G217" i="1"/>
  <c r="H217" i="1" s="1"/>
  <c r="C216" i="1"/>
  <c r="K214" i="1"/>
  <c r="H214" i="1"/>
  <c r="C207" i="1"/>
  <c r="J205" i="1"/>
  <c r="K205" i="1" s="1"/>
  <c r="H205" i="1"/>
  <c r="L204" i="1"/>
  <c r="J201" i="1"/>
  <c r="K201" i="1" s="1"/>
  <c r="H201" i="1"/>
  <c r="E195" i="1"/>
  <c r="E194" i="1"/>
  <c r="J217" i="1" s="1"/>
  <c r="K217" i="1" s="1"/>
  <c r="E193" i="1"/>
  <c r="H242" i="1" s="1"/>
  <c r="E192" i="1"/>
  <c r="K191" i="1"/>
  <c r="E191" i="1"/>
  <c r="C177" i="1"/>
  <c r="I172" i="1"/>
  <c r="I171" i="1"/>
  <c r="H170" i="1"/>
  <c r="K168" i="1"/>
  <c r="K166" i="1"/>
  <c r="H166" i="1"/>
  <c r="C163" i="1"/>
  <c r="C160" i="1"/>
  <c r="K158" i="1"/>
  <c r="H158" i="1"/>
  <c r="H157" i="1"/>
  <c r="G154" i="1"/>
  <c r="H154" i="1" s="1"/>
  <c r="C151" i="1"/>
  <c r="J149" i="1"/>
  <c r="K149" i="1" s="1"/>
  <c r="H149" i="1"/>
  <c r="L148" i="1"/>
  <c r="M148" i="1" s="1"/>
  <c r="J146" i="1"/>
  <c r="K146" i="1" s="1"/>
  <c r="J145" i="1"/>
  <c r="K145" i="1" s="1"/>
  <c r="H145" i="1"/>
  <c r="E139" i="1"/>
  <c r="E138" i="1"/>
  <c r="E137" i="1"/>
  <c r="E136" i="1"/>
  <c r="K135" i="1"/>
  <c r="E135" i="1"/>
  <c r="A145" i="1" s="1"/>
  <c r="A146" i="1" s="1"/>
  <c r="A147" i="1" s="1"/>
  <c r="A148" i="1" s="1"/>
  <c r="A149" i="1" s="1"/>
  <c r="A150" i="1" s="1"/>
  <c r="A151" i="1" s="1"/>
  <c r="A152" i="1" s="1"/>
  <c r="A153" i="1" s="1"/>
  <c r="A154" i="1" s="1"/>
  <c r="A155" i="1" s="1"/>
  <c r="A156" i="1" s="1"/>
  <c r="C121" i="1"/>
  <c r="I116" i="1"/>
  <c r="I115" i="1"/>
  <c r="K114" i="1"/>
  <c r="K113" i="1"/>
  <c r="K110" i="1"/>
  <c r="H110" i="1"/>
  <c r="C107" i="1"/>
  <c r="C104" i="1"/>
  <c r="G103" i="1"/>
  <c r="H103" i="1" s="1"/>
  <c r="K102" i="1"/>
  <c r="H102" i="1"/>
  <c r="C95" i="1"/>
  <c r="J93" i="1"/>
  <c r="K93" i="1" s="1"/>
  <c r="H93" i="1"/>
  <c r="L92" i="1"/>
  <c r="G90" i="1"/>
  <c r="H90" i="1" s="1"/>
  <c r="J89" i="1"/>
  <c r="K89" i="1" s="1"/>
  <c r="H89" i="1"/>
  <c r="E83" i="1"/>
  <c r="E82" i="1"/>
  <c r="E81" i="1"/>
  <c r="J115" i="1" s="1"/>
  <c r="E80" i="1"/>
  <c r="K79" i="1"/>
  <c r="E79" i="1"/>
  <c r="D74" i="1"/>
  <c r="B74" i="1"/>
  <c r="D73" i="1"/>
  <c r="B73" i="1"/>
  <c r="D72" i="1"/>
  <c r="B72" i="1"/>
  <c r="D71" i="1"/>
  <c r="B71" i="1"/>
  <c r="D70" i="1"/>
  <c r="B70" i="1"/>
  <c r="D69" i="1"/>
  <c r="B69" i="1"/>
  <c r="D68" i="1"/>
  <c r="B68" i="1"/>
  <c r="D67" i="1"/>
  <c r="B67" i="1"/>
  <c r="D66" i="1"/>
  <c r="B66" i="1"/>
  <c r="D65" i="1"/>
  <c r="B65" i="1"/>
  <c r="G64" i="1"/>
  <c r="H64" i="1" s="1"/>
  <c r="D64" i="1"/>
  <c r="B64" i="1"/>
  <c r="G63" i="1"/>
  <c r="D63" i="1"/>
  <c r="B63" i="1"/>
  <c r="G62" i="1"/>
  <c r="D62" i="1"/>
  <c r="B62" i="1"/>
  <c r="G61" i="1"/>
  <c r="D61" i="1"/>
  <c r="B61" i="1"/>
  <c r="G60" i="1"/>
  <c r="D60" i="1"/>
  <c r="B60" i="1"/>
  <c r="G59" i="1"/>
  <c r="D59" i="1"/>
  <c r="B59" i="1"/>
  <c r="G58" i="1"/>
  <c r="D58" i="1"/>
  <c r="B58" i="1"/>
  <c r="G57" i="1"/>
  <c r="D57" i="1"/>
  <c r="B57" i="1"/>
  <c r="G56" i="1"/>
  <c r="D56" i="1"/>
  <c r="B56" i="1"/>
  <c r="G55" i="1"/>
  <c r="D55" i="1"/>
  <c r="B55" i="1"/>
  <c r="J49" i="1"/>
  <c r="T49" i="1" s="1"/>
  <c r="G74" i="1"/>
  <c r="J74" i="1" s="1"/>
  <c r="C49" i="1"/>
  <c r="J48" i="1"/>
  <c r="T48" i="1" s="1"/>
  <c r="G73" i="1"/>
  <c r="C48" i="1"/>
  <c r="J47" i="1"/>
  <c r="T47" i="1" s="1"/>
  <c r="G72" i="1"/>
  <c r="C47" i="1"/>
  <c r="J46" i="1"/>
  <c r="T46" i="1" s="1"/>
  <c r="G71" i="1"/>
  <c r="L71" i="1" s="1"/>
  <c r="C46" i="1"/>
  <c r="J45" i="1"/>
  <c r="T45" i="1" s="1"/>
  <c r="G70" i="1"/>
  <c r="C45" i="1"/>
  <c r="J44" i="1"/>
  <c r="T44" i="1" s="1"/>
  <c r="G69" i="1"/>
  <c r="J69" i="1" s="1"/>
  <c r="C44" i="1"/>
  <c r="J43" i="1"/>
  <c r="T43" i="1" s="1"/>
  <c r="G68" i="1"/>
  <c r="N68" i="1" s="1"/>
  <c r="C43" i="1"/>
  <c r="J42" i="1"/>
  <c r="T42" i="1" s="1"/>
  <c r="G67" i="1"/>
  <c r="C42" i="1"/>
  <c r="J41" i="1"/>
  <c r="T41" i="1" s="1"/>
  <c r="G66" i="1"/>
  <c r="L66" i="1" s="1"/>
  <c r="C41" i="1"/>
  <c r="J40" i="1"/>
  <c r="T40" i="1" s="1"/>
  <c r="G65" i="1"/>
  <c r="C40" i="1"/>
  <c r="J39" i="1"/>
  <c r="T39" i="1" s="1"/>
  <c r="C39" i="1"/>
  <c r="J38" i="1"/>
  <c r="E532" i="1" s="1"/>
  <c r="C38" i="1"/>
  <c r="J37" i="1"/>
  <c r="E476" i="1" s="1"/>
  <c r="C37" i="1"/>
  <c r="J36" i="1"/>
  <c r="E420" i="1" s="1"/>
  <c r="J35" i="1"/>
  <c r="E364" i="1" s="1"/>
  <c r="J34" i="1"/>
  <c r="E308" i="1" s="1"/>
  <c r="J33" i="1"/>
  <c r="E252" i="1" s="1"/>
  <c r="J273" i="1" s="1"/>
  <c r="K273" i="1" s="1"/>
  <c r="J32" i="1"/>
  <c r="T32" i="1" s="1"/>
  <c r="U31" i="1"/>
  <c r="U32" i="1" s="1"/>
  <c r="U33" i="1" s="1"/>
  <c r="U34" i="1" s="1"/>
  <c r="U35" i="1" s="1"/>
  <c r="U36" i="1" s="1"/>
  <c r="U37" i="1" s="1"/>
  <c r="U38" i="1" s="1"/>
  <c r="U39" i="1" s="1"/>
  <c r="U40" i="1" s="1"/>
  <c r="U41" i="1" s="1"/>
  <c r="U42" i="1" s="1"/>
  <c r="U43" i="1" s="1"/>
  <c r="U44" i="1" s="1"/>
  <c r="U45" i="1" s="1"/>
  <c r="U46" i="1" s="1"/>
  <c r="U47" i="1" s="1"/>
  <c r="U48" i="1" s="1"/>
  <c r="U49" i="1" s="1"/>
  <c r="J31" i="1"/>
  <c r="E140" i="1" s="1"/>
  <c r="J30" i="1"/>
  <c r="E84" i="1" s="1"/>
  <c r="J105" i="1" s="1"/>
  <c r="K105" i="1" s="1"/>
  <c r="J103" i="1" l="1"/>
  <c r="K103" i="1" s="1"/>
  <c r="G92" i="1"/>
  <c r="G94" i="1"/>
  <c r="H94" i="1" s="1"/>
  <c r="J209" i="1"/>
  <c r="K209" i="1" s="1"/>
  <c r="J315" i="1"/>
  <c r="G106" i="1"/>
  <c r="H106" i="1" s="1"/>
  <c r="J202" i="1"/>
  <c r="K202" i="1" s="1"/>
  <c r="L202" i="1" s="1"/>
  <c r="G210" i="1"/>
  <c r="H210" i="1" s="1"/>
  <c r="L210" i="1" s="1"/>
  <c r="M210" i="1" s="1"/>
  <c r="L222" i="1"/>
  <c r="G152" i="1"/>
  <c r="H152" i="1" s="1"/>
  <c r="J203" i="1"/>
  <c r="J210" i="1"/>
  <c r="K210" i="1" s="1"/>
  <c r="G161" i="1"/>
  <c r="H161" i="1" s="1"/>
  <c r="J204" i="1"/>
  <c r="J266" i="1"/>
  <c r="K266" i="1" s="1"/>
  <c r="J330" i="1"/>
  <c r="K330" i="1" s="1"/>
  <c r="G439" i="1"/>
  <c r="H439" i="1" s="1"/>
  <c r="J264" i="1"/>
  <c r="K264" i="1" s="1"/>
  <c r="J333" i="1"/>
  <c r="K333" i="1" s="1"/>
  <c r="J96" i="1"/>
  <c r="K96" i="1" s="1"/>
  <c r="J90" i="1"/>
  <c r="K90" i="1" s="1"/>
  <c r="G212" i="1"/>
  <c r="H212" i="1" s="1"/>
  <c r="J218" i="1"/>
  <c r="K218" i="1" s="1"/>
  <c r="L218" i="1" s="1"/>
  <c r="G332" i="1"/>
  <c r="H332" i="1" s="1"/>
  <c r="J316" i="1"/>
  <c r="G323" i="1"/>
  <c r="H323" i="1" s="1"/>
  <c r="J340" i="1"/>
  <c r="A369" i="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J380" i="1"/>
  <c r="K380" i="1" s="1"/>
  <c r="T33" i="1"/>
  <c r="G91" i="1"/>
  <c r="G97" i="1"/>
  <c r="H97" i="1" s="1"/>
  <c r="J171" i="1"/>
  <c r="K171" i="1" s="1"/>
  <c r="J212" i="1"/>
  <c r="G258" i="1"/>
  <c r="H258" i="1" s="1"/>
  <c r="G265" i="1"/>
  <c r="H265" i="1" s="1"/>
  <c r="J284" i="1"/>
  <c r="G324" i="1"/>
  <c r="H324" i="1" s="1"/>
  <c r="H456" i="1"/>
  <c r="G507" i="1"/>
  <c r="H507" i="1" s="1"/>
  <c r="G544" i="1"/>
  <c r="H544" i="1" s="1"/>
  <c r="T30" i="1"/>
  <c r="J91" i="1"/>
  <c r="G98" i="1"/>
  <c r="H98" i="1" s="1"/>
  <c r="G116" i="1"/>
  <c r="H116" i="1" s="1"/>
  <c r="J258" i="1"/>
  <c r="K258" i="1" s="1"/>
  <c r="J265" i="1"/>
  <c r="K265" i="1" s="1"/>
  <c r="G276" i="1"/>
  <c r="H276" i="1" s="1"/>
  <c r="L369" i="1"/>
  <c r="M369" i="1" s="1"/>
  <c r="H400" i="1"/>
  <c r="H466" i="1"/>
  <c r="J99" i="1"/>
  <c r="K99" i="1" s="1"/>
  <c r="J206" i="1"/>
  <c r="K206" i="1" s="1"/>
  <c r="G259" i="1"/>
  <c r="J370" i="1"/>
  <c r="K370" i="1" s="1"/>
  <c r="G377" i="1"/>
  <c r="H377" i="1" s="1"/>
  <c r="L377" i="1" s="1"/>
  <c r="M377" i="1" s="1"/>
  <c r="K466" i="1"/>
  <c r="K66" i="1"/>
  <c r="G108" i="1"/>
  <c r="J116" i="1"/>
  <c r="K116" i="1" s="1"/>
  <c r="G202" i="1"/>
  <c r="H202" i="1" s="1"/>
  <c r="J215" i="1"/>
  <c r="K215" i="1" s="1"/>
  <c r="G274" i="1"/>
  <c r="H274" i="1" s="1"/>
  <c r="J259" i="1"/>
  <c r="G314" i="1"/>
  <c r="H314" i="1" s="1"/>
  <c r="L314" i="1" s="1"/>
  <c r="J371" i="1"/>
  <c r="J377" i="1"/>
  <c r="K377" i="1" s="1"/>
  <c r="J314" i="1"/>
  <c r="K314" i="1" s="1"/>
  <c r="J321" i="1"/>
  <c r="K321" i="1" s="1"/>
  <c r="G339" i="1"/>
  <c r="H339" i="1" s="1"/>
  <c r="G396" i="1"/>
  <c r="H396" i="1" s="1"/>
  <c r="J378" i="1"/>
  <c r="K378" i="1" s="1"/>
  <c r="J484" i="1"/>
  <c r="L257" i="1"/>
  <c r="L270" i="1"/>
  <c r="M270" i="1" s="1"/>
  <c r="L205" i="1"/>
  <c r="L326" i="1"/>
  <c r="M326" i="1" s="1"/>
  <c r="L493" i="1"/>
  <c r="K115" i="1"/>
  <c r="L317" i="1"/>
  <c r="M317" i="1" s="1"/>
  <c r="L214" i="1"/>
  <c r="M214" i="1" s="1"/>
  <c r="L261" i="1"/>
  <c r="L334" i="1"/>
  <c r="L429" i="1"/>
  <c r="M429" i="1" s="1"/>
  <c r="L494" i="1"/>
  <c r="L541" i="1"/>
  <c r="L446" i="1"/>
  <c r="M446" i="1" s="1"/>
  <c r="K284" i="1"/>
  <c r="K339" i="1"/>
  <c r="L339" i="1" s="1"/>
  <c r="L438" i="1"/>
  <c r="M438" i="1" s="1"/>
  <c r="L373" i="1"/>
  <c r="K452" i="1"/>
  <c r="L93" i="1"/>
  <c r="L102" i="1"/>
  <c r="L166" i="1"/>
  <c r="M260" i="1"/>
  <c r="L485" i="1"/>
  <c r="L537" i="1"/>
  <c r="M537" i="1" s="1"/>
  <c r="L550" i="1"/>
  <c r="L322" i="1"/>
  <c r="K340" i="1"/>
  <c r="M372" i="1"/>
  <c r="L376" i="1"/>
  <c r="L158" i="1"/>
  <c r="L217" i="1"/>
  <c r="M217" i="1" s="1"/>
  <c r="L381" i="1"/>
  <c r="L103" i="1"/>
  <c r="L149" i="1"/>
  <c r="M149" i="1" s="1"/>
  <c r="L382" i="1"/>
  <c r="M428" i="1"/>
  <c r="M540" i="1"/>
  <c r="L278" i="1"/>
  <c r="M278" i="1" s="1"/>
  <c r="L201" i="1"/>
  <c r="M201" i="1" s="1"/>
  <c r="N72" i="1"/>
  <c r="M72" i="1"/>
  <c r="L72" i="1"/>
  <c r="K72" i="1"/>
  <c r="J72" i="1"/>
  <c r="I72" i="1"/>
  <c r="H72" i="1"/>
  <c r="O72" i="1"/>
  <c r="M67" i="1"/>
  <c r="L67" i="1"/>
  <c r="K67" i="1"/>
  <c r="J67" i="1"/>
  <c r="N67" i="1"/>
  <c r="I67" i="1"/>
  <c r="H67" i="1"/>
  <c r="O67" i="1"/>
  <c r="K65" i="1"/>
  <c r="J65" i="1"/>
  <c r="I65" i="1"/>
  <c r="H65" i="1"/>
  <c r="O65" i="1"/>
  <c r="N65" i="1"/>
  <c r="L65" i="1"/>
  <c r="M65" i="1"/>
  <c r="L70" i="1"/>
  <c r="K70" i="1"/>
  <c r="J70" i="1"/>
  <c r="I70" i="1"/>
  <c r="O70" i="1"/>
  <c r="N70" i="1"/>
  <c r="H70" i="1"/>
  <c r="M70" i="1"/>
  <c r="K73" i="1"/>
  <c r="J73" i="1"/>
  <c r="I73" i="1"/>
  <c r="H73" i="1"/>
  <c r="O73" i="1"/>
  <c r="N73" i="1"/>
  <c r="L73" i="1"/>
  <c r="M73" i="1"/>
  <c r="A157" i="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J557" i="1"/>
  <c r="K557" i="1" s="1"/>
  <c r="J556" i="1"/>
  <c r="K556" i="1" s="1"/>
  <c r="T36" i="1"/>
  <c r="T38" i="1"/>
  <c r="H69" i="1"/>
  <c r="M71" i="1"/>
  <c r="M92" i="1"/>
  <c r="E196" i="1"/>
  <c r="J221" i="1" s="1"/>
  <c r="K221" i="1" s="1"/>
  <c r="M205" i="1"/>
  <c r="N64" i="1"/>
  <c r="M64" i="1"/>
  <c r="L64" i="1"/>
  <c r="K64" i="1"/>
  <c r="I64" i="1"/>
  <c r="I69" i="1"/>
  <c r="I74" i="1"/>
  <c r="H108" i="1"/>
  <c r="H226" i="1"/>
  <c r="K225" i="1"/>
  <c r="G220" i="1"/>
  <c r="H220" i="1" s="1"/>
  <c r="J208" i="1"/>
  <c r="K208" i="1" s="1"/>
  <c r="G228" i="1"/>
  <c r="H228" i="1" s="1"/>
  <c r="G208" i="1"/>
  <c r="H208" i="1" s="1"/>
  <c r="K226" i="1"/>
  <c r="G221" i="1"/>
  <c r="H221" i="1" s="1"/>
  <c r="J211" i="1"/>
  <c r="K211" i="1" s="1"/>
  <c r="G227" i="1"/>
  <c r="H227" i="1" s="1"/>
  <c r="H224" i="1"/>
  <c r="K224" i="1"/>
  <c r="J64" i="1"/>
  <c r="K68" i="1"/>
  <c r="H114" i="1"/>
  <c r="L114" i="1" s="1"/>
  <c r="A269" i="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M313" i="1"/>
  <c r="T34" i="1"/>
  <c r="T37" i="1"/>
  <c r="H95" i="1"/>
  <c r="M204" i="1"/>
  <c r="M222" i="1"/>
  <c r="H225" i="1"/>
  <c r="H74" i="1"/>
  <c r="O74" i="1"/>
  <c r="N74" i="1"/>
  <c r="M74" i="1"/>
  <c r="K394" i="1"/>
  <c r="J396" i="1"/>
  <c r="K396" i="1" s="1"/>
  <c r="K393" i="1"/>
  <c r="J389" i="1"/>
  <c r="K389" i="1" s="1"/>
  <c r="J388" i="1"/>
  <c r="K388" i="1" s="1"/>
  <c r="O69" i="1"/>
  <c r="N69" i="1"/>
  <c r="M69" i="1"/>
  <c r="L69" i="1"/>
  <c r="L68" i="1"/>
  <c r="K69" i="1"/>
  <c r="K74" i="1"/>
  <c r="H66" i="1"/>
  <c r="O66" i="1"/>
  <c r="N66" i="1"/>
  <c r="M66" i="1"/>
  <c r="I71" i="1"/>
  <c r="H71" i="1"/>
  <c r="O71" i="1"/>
  <c r="N71" i="1"/>
  <c r="M68" i="1"/>
  <c r="L74" i="1"/>
  <c r="L89" i="1"/>
  <c r="K232" i="1"/>
  <c r="T31" i="1"/>
  <c r="O64" i="1"/>
  <c r="T35" i="1"/>
  <c r="J109" i="1"/>
  <c r="K109" i="1" s="1"/>
  <c r="J108" i="1"/>
  <c r="K108" i="1" s="1"/>
  <c r="J106" i="1"/>
  <c r="K106" i="1" s="1"/>
  <c r="L106" i="1" s="1"/>
  <c r="I66" i="1"/>
  <c r="J71" i="1"/>
  <c r="A89" i="1"/>
  <c r="K101" i="1"/>
  <c r="H101" i="1"/>
  <c r="G109" i="1"/>
  <c r="H109" i="1" s="1"/>
  <c r="J68" i="1"/>
  <c r="I68" i="1"/>
  <c r="H68" i="1"/>
  <c r="O68" i="1"/>
  <c r="J66" i="1"/>
  <c r="K71" i="1"/>
  <c r="G211" i="1"/>
  <c r="H211" i="1" s="1"/>
  <c r="L90" i="1"/>
  <c r="K170" i="1"/>
  <c r="L170" i="1" s="1"/>
  <c r="G165" i="1"/>
  <c r="H165" i="1" s="1"/>
  <c r="J164" i="1"/>
  <c r="K164" i="1" s="1"/>
  <c r="J155" i="1"/>
  <c r="K155" i="1" s="1"/>
  <c r="G171" i="1"/>
  <c r="H171" i="1" s="1"/>
  <c r="H168" i="1"/>
  <c r="L168" i="1" s="1"/>
  <c r="J172" i="1"/>
  <c r="K172" i="1" s="1"/>
  <c r="J152" i="1"/>
  <c r="K152" i="1" s="1"/>
  <c r="L152" i="1" s="1"/>
  <c r="J165" i="1"/>
  <c r="K165" i="1" s="1"/>
  <c r="J150" i="1"/>
  <c r="K150" i="1" s="1"/>
  <c r="G159" i="1"/>
  <c r="H159" i="1" s="1"/>
  <c r="G164" i="1"/>
  <c r="H164" i="1" s="1"/>
  <c r="K237" i="1"/>
  <c r="H237" i="1"/>
  <c r="H232" i="1"/>
  <c r="H213" i="1"/>
  <c r="A201" i="1"/>
  <c r="A202" i="1" s="1"/>
  <c r="A203" i="1" s="1"/>
  <c r="A204" i="1" s="1"/>
  <c r="A205" i="1" s="1"/>
  <c r="A206" i="1" s="1"/>
  <c r="A207" i="1" s="1"/>
  <c r="A208" i="1" s="1"/>
  <c r="A209" i="1" s="1"/>
  <c r="A210" i="1" s="1"/>
  <c r="A211" i="1" s="1"/>
  <c r="A212" i="1" s="1"/>
  <c r="K242" i="1"/>
  <c r="A325" i="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M316" i="1"/>
  <c r="J432" i="1"/>
  <c r="K432" i="1" s="1"/>
  <c r="M257" i="1"/>
  <c r="G150" i="1"/>
  <c r="H150" i="1" s="1"/>
  <c r="G156" i="1"/>
  <c r="H156" i="1" s="1"/>
  <c r="J154" i="1"/>
  <c r="K154" i="1" s="1"/>
  <c r="L154" i="1" s="1"/>
  <c r="M154" i="1" s="1"/>
  <c r="J161" i="1"/>
  <c r="K161" i="1" s="1"/>
  <c r="L161" i="1" s="1"/>
  <c r="G153" i="1"/>
  <c r="H153" i="1" s="1"/>
  <c r="G147" i="1"/>
  <c r="G162" i="1"/>
  <c r="H162" i="1" s="1"/>
  <c r="J159" i="1"/>
  <c r="K159" i="1" s="1"/>
  <c r="G146" i="1"/>
  <c r="H146" i="1" s="1"/>
  <c r="H151" i="1" s="1"/>
  <c r="J147" i="1"/>
  <c r="H169" i="1"/>
  <c r="G96" i="1"/>
  <c r="H96" i="1" s="1"/>
  <c r="L96" i="1" s="1"/>
  <c r="L145" i="1"/>
  <c r="J156" i="1"/>
  <c r="K156" i="1" s="1"/>
  <c r="L110" i="1"/>
  <c r="G148" i="1"/>
  <c r="K169" i="1"/>
  <c r="G172" i="1"/>
  <c r="H172" i="1" s="1"/>
  <c r="K213" i="1"/>
  <c r="L258" i="1"/>
  <c r="A549" i="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G105" i="1"/>
  <c r="H105" i="1" s="1"/>
  <c r="L105" i="1" s="1"/>
  <c r="J148" i="1"/>
  <c r="J153" i="1"/>
  <c r="K153" i="1" s="1"/>
  <c r="G155" i="1"/>
  <c r="H155" i="1" s="1"/>
  <c r="J162" i="1"/>
  <c r="K162" i="1" s="1"/>
  <c r="G441" i="1"/>
  <c r="H441" i="1" s="1"/>
  <c r="L425" i="1"/>
  <c r="J97" i="1"/>
  <c r="K97" i="1" s="1"/>
  <c r="G99" i="1"/>
  <c r="H99" i="1" s="1"/>
  <c r="L99" i="1" s="1"/>
  <c r="K157" i="1"/>
  <c r="L157" i="1" s="1"/>
  <c r="G206" i="1"/>
  <c r="H206" i="1" s="1"/>
  <c r="L206" i="1" s="1"/>
  <c r="M206" i="1" s="1"/>
  <c r="J386" i="1"/>
  <c r="K386" i="1" s="1"/>
  <c r="G378" i="1"/>
  <c r="H378" i="1" s="1"/>
  <c r="J385" i="1"/>
  <c r="K385" i="1" s="1"/>
  <c r="G386" i="1"/>
  <c r="H386" i="1" s="1"/>
  <c r="G380" i="1"/>
  <c r="H380" i="1" s="1"/>
  <c r="L380" i="1" s="1"/>
  <c r="J374" i="1"/>
  <c r="K374" i="1" s="1"/>
  <c r="G372" i="1"/>
  <c r="J383" i="1"/>
  <c r="K383" i="1" s="1"/>
  <c r="L383" i="1" s="1"/>
  <c r="G374" i="1"/>
  <c r="H374" i="1" s="1"/>
  <c r="G371" i="1"/>
  <c r="G385" i="1"/>
  <c r="H385" i="1" s="1"/>
  <c r="J372" i="1"/>
  <c r="G370" i="1"/>
  <c r="H370" i="1" s="1"/>
  <c r="M493" i="1"/>
  <c r="J98" i="1"/>
  <c r="K98" i="1" s="1"/>
  <c r="G100" i="1"/>
  <c r="H100" i="1" s="1"/>
  <c r="H112" i="1"/>
  <c r="G115" i="1"/>
  <c r="H115" i="1" s="1"/>
  <c r="G204" i="1"/>
  <c r="G215" i="1"/>
  <c r="H215" i="1" s="1"/>
  <c r="L215" i="1" s="1"/>
  <c r="J320" i="1"/>
  <c r="K320" i="1" s="1"/>
  <c r="J92" i="1"/>
  <c r="J94" i="1"/>
  <c r="K94" i="1" s="1"/>
  <c r="L94" i="1" s="1"/>
  <c r="J100" i="1"/>
  <c r="K112" i="1"/>
  <c r="H113" i="1"/>
  <c r="L113" i="1" s="1"/>
  <c r="G203" i="1"/>
  <c r="G209" i="1"/>
  <c r="H209" i="1" s="1"/>
  <c r="L209" i="1" s="1"/>
  <c r="J277" i="1"/>
  <c r="K277" i="1" s="1"/>
  <c r="J283" i="1"/>
  <c r="K283" i="1" s="1"/>
  <c r="H281" i="1"/>
  <c r="K280" i="1"/>
  <c r="L280" i="1" s="1"/>
  <c r="G284" i="1"/>
  <c r="H284" i="1" s="1"/>
  <c r="G264" i="1"/>
  <c r="H264" i="1" s="1"/>
  <c r="L264" i="1" s="1"/>
  <c r="K282" i="1"/>
  <c r="K281" i="1"/>
  <c r="J276" i="1"/>
  <c r="K276" i="1" s="1"/>
  <c r="G283" i="1"/>
  <c r="H283" i="1" s="1"/>
  <c r="G262" i="1"/>
  <c r="H262" i="1" s="1"/>
  <c r="H263" i="1" s="1"/>
  <c r="J274" i="1"/>
  <c r="K274" i="1" s="1"/>
  <c r="J267" i="1"/>
  <c r="K267" i="1" s="1"/>
  <c r="L267" i="1" s="1"/>
  <c r="G266" i="1"/>
  <c r="H266" i="1" s="1"/>
  <c r="L266" i="1" s="1"/>
  <c r="M266" i="1" s="1"/>
  <c r="G277" i="1"/>
  <c r="H277" i="1" s="1"/>
  <c r="H282" i="1"/>
  <c r="L379" i="1"/>
  <c r="L400" i="1"/>
  <c r="K269" i="1"/>
  <c r="H269" i="1"/>
  <c r="G321" i="1"/>
  <c r="H321" i="1" s="1"/>
  <c r="L321" i="1" s="1"/>
  <c r="K449" i="1"/>
  <c r="G553" i="1"/>
  <c r="H553" i="1" s="1"/>
  <c r="J548" i="1"/>
  <c r="J542" i="1"/>
  <c r="K542" i="1" s="1"/>
  <c r="J540" i="1"/>
  <c r="G548" i="1"/>
  <c r="H548" i="1" s="1"/>
  <c r="J546" i="1"/>
  <c r="K546" i="1" s="1"/>
  <c r="J551" i="1"/>
  <c r="K551" i="1" s="1"/>
  <c r="J545" i="1"/>
  <c r="K545" i="1" s="1"/>
  <c r="G551" i="1"/>
  <c r="H551" i="1" s="1"/>
  <c r="G554" i="1"/>
  <c r="H554" i="1" s="1"/>
  <c r="J539" i="1"/>
  <c r="G538" i="1"/>
  <c r="H538" i="1" s="1"/>
  <c r="G546" i="1"/>
  <c r="H546" i="1" s="1"/>
  <c r="G540" i="1"/>
  <c r="J554" i="1"/>
  <c r="K554" i="1" s="1"/>
  <c r="G545" i="1"/>
  <c r="H545" i="1" s="1"/>
  <c r="G539" i="1"/>
  <c r="J553" i="1"/>
  <c r="K553" i="1" s="1"/>
  <c r="G542" i="1"/>
  <c r="H542" i="1" s="1"/>
  <c r="J538" i="1"/>
  <c r="K538" i="1" s="1"/>
  <c r="G330" i="1"/>
  <c r="H330" i="1" s="1"/>
  <c r="J327" i="1"/>
  <c r="K327" i="1" s="1"/>
  <c r="G329" i="1"/>
  <c r="H329" i="1" s="1"/>
  <c r="L329" i="1" s="1"/>
  <c r="J324" i="1"/>
  <c r="K324" i="1" s="1"/>
  <c r="L324" i="1" s="1"/>
  <c r="M324" i="1" s="1"/>
  <c r="J318" i="1"/>
  <c r="K318" i="1" s="1"/>
  <c r="G316" i="1"/>
  <c r="G327" i="1"/>
  <c r="H327" i="1" s="1"/>
  <c r="G318" i="1"/>
  <c r="H318" i="1" s="1"/>
  <c r="H319" i="1" s="1"/>
  <c r="G389" i="1"/>
  <c r="H389" i="1" s="1"/>
  <c r="H392" i="1"/>
  <c r="L481" i="1"/>
  <c r="G271" i="1"/>
  <c r="H271" i="1" s="1"/>
  <c r="J323" i="1"/>
  <c r="K323" i="1" s="1"/>
  <c r="L323" i="1" s="1"/>
  <c r="J332" i="1"/>
  <c r="K332" i="1" s="1"/>
  <c r="G333" i="1"/>
  <c r="H333" i="1" s="1"/>
  <c r="K338" i="1"/>
  <c r="L338" i="1" s="1"/>
  <c r="H394" i="1"/>
  <c r="G395" i="1"/>
  <c r="H395" i="1" s="1"/>
  <c r="J451" i="1"/>
  <c r="K451" i="1" s="1"/>
  <c r="H449" i="1"/>
  <c r="K448" i="1"/>
  <c r="G451" i="1"/>
  <c r="H451" i="1" s="1"/>
  <c r="H448" i="1"/>
  <c r="G435" i="1"/>
  <c r="H435" i="1" s="1"/>
  <c r="K456" i="1"/>
  <c r="G452" i="1"/>
  <c r="H452" i="1" s="1"/>
  <c r="G445" i="1"/>
  <c r="H445" i="1" s="1"/>
  <c r="J444" i="1"/>
  <c r="K444" i="1" s="1"/>
  <c r="G432" i="1"/>
  <c r="H432" i="1" s="1"/>
  <c r="G427" i="1"/>
  <c r="J435" i="1"/>
  <c r="K435" i="1" s="1"/>
  <c r="G442" i="1"/>
  <c r="H442" i="1" s="1"/>
  <c r="J445" i="1"/>
  <c r="K445" i="1" s="1"/>
  <c r="G482" i="1"/>
  <c r="H482" i="1" s="1"/>
  <c r="J498" i="1"/>
  <c r="K498" i="1" s="1"/>
  <c r="J500" i="1"/>
  <c r="K500" i="1" s="1"/>
  <c r="L549" i="1"/>
  <c r="G260" i="1"/>
  <c r="J262" i="1"/>
  <c r="K262" i="1" s="1"/>
  <c r="J268" i="1"/>
  <c r="K268" i="1" s="1"/>
  <c r="L268" i="1" s="1"/>
  <c r="M268" i="1" s="1"/>
  <c r="G273" i="1"/>
  <c r="H273" i="1" s="1"/>
  <c r="L273" i="1" s="1"/>
  <c r="G320" i="1"/>
  <c r="H320" i="1" s="1"/>
  <c r="H325" i="1"/>
  <c r="L325" i="1" s="1"/>
  <c r="G340" i="1"/>
  <c r="H340" i="1" s="1"/>
  <c r="G388" i="1"/>
  <c r="H388" i="1" s="1"/>
  <c r="J395" i="1"/>
  <c r="K395" i="1" s="1"/>
  <c r="H393" i="1"/>
  <c r="K392" i="1"/>
  <c r="G426" i="1"/>
  <c r="H426" i="1" s="1"/>
  <c r="J427" i="1"/>
  <c r="J430" i="1"/>
  <c r="K430" i="1" s="1"/>
  <c r="G434" i="1"/>
  <c r="H434" i="1" s="1"/>
  <c r="H450" i="1"/>
  <c r="J260" i="1"/>
  <c r="J271" i="1"/>
  <c r="K271" i="1" s="1"/>
  <c r="K336" i="1"/>
  <c r="L336" i="1" s="1"/>
  <c r="H337" i="1"/>
  <c r="L337" i="1" s="1"/>
  <c r="K405" i="1"/>
  <c r="H405" i="1"/>
  <c r="J434" i="1"/>
  <c r="K434" i="1" s="1"/>
  <c r="J495" i="1"/>
  <c r="K495" i="1" s="1"/>
  <c r="H410" i="1"/>
  <c r="J433" i="1"/>
  <c r="K433" i="1" s="1"/>
  <c r="J439" i="1"/>
  <c r="K439" i="1" s="1"/>
  <c r="L439" i="1" s="1"/>
  <c r="G436" i="1"/>
  <c r="H436" i="1" s="1"/>
  <c r="L436" i="1" s="1"/>
  <c r="G430" i="1"/>
  <c r="H430" i="1" s="1"/>
  <c r="J442" i="1"/>
  <c r="K442" i="1" s="1"/>
  <c r="J441" i="1"/>
  <c r="K441" i="1" s="1"/>
  <c r="J426" i="1"/>
  <c r="K426" i="1" s="1"/>
  <c r="G428" i="1"/>
  <c r="G433" i="1"/>
  <c r="H433" i="1" s="1"/>
  <c r="K461" i="1"/>
  <c r="H506" i="1"/>
  <c r="L506" i="1" s="1"/>
  <c r="K505" i="1"/>
  <c r="J507" i="1"/>
  <c r="K507" i="1" s="1"/>
  <c r="H505" i="1"/>
  <c r="K504" i="1"/>
  <c r="J488" i="1"/>
  <c r="K488" i="1" s="1"/>
  <c r="J508" i="1"/>
  <c r="K508" i="1" s="1"/>
  <c r="G500" i="1"/>
  <c r="H500" i="1" s="1"/>
  <c r="J501" i="1"/>
  <c r="K501" i="1" s="1"/>
  <c r="G488" i="1"/>
  <c r="H488" i="1" s="1"/>
  <c r="J491" i="1"/>
  <c r="K491" i="1" s="1"/>
  <c r="H504" i="1"/>
  <c r="J489" i="1"/>
  <c r="K489" i="1" s="1"/>
  <c r="G491" i="1"/>
  <c r="H491" i="1" s="1"/>
  <c r="G497" i="1"/>
  <c r="H497" i="1" s="1"/>
  <c r="J486" i="1"/>
  <c r="K486" i="1" s="1"/>
  <c r="J483" i="1"/>
  <c r="G501" i="1"/>
  <c r="H501" i="1" s="1"/>
  <c r="H461" i="1"/>
  <c r="H437" i="1"/>
  <c r="L437" i="1" s="1"/>
  <c r="M484" i="1"/>
  <c r="G492" i="1"/>
  <c r="H492" i="1" s="1"/>
  <c r="J490" i="1"/>
  <c r="K490" i="1" s="1"/>
  <c r="J497" i="1"/>
  <c r="K497" i="1" s="1"/>
  <c r="G489" i="1"/>
  <c r="H489" i="1" s="1"/>
  <c r="G483" i="1"/>
  <c r="J482" i="1"/>
  <c r="K482" i="1" s="1"/>
  <c r="G490" i="1"/>
  <c r="H490" i="1" s="1"/>
  <c r="J492" i="1"/>
  <c r="K492" i="1" s="1"/>
  <c r="G564" i="1"/>
  <c r="H564" i="1" s="1"/>
  <c r="K562" i="1"/>
  <c r="G563" i="1"/>
  <c r="H563" i="1" s="1"/>
  <c r="H560" i="1"/>
  <c r="L560" i="1" s="1"/>
  <c r="H562" i="1"/>
  <c r="K561" i="1"/>
  <c r="L561" i="1" s="1"/>
  <c r="J564" i="1"/>
  <c r="K564" i="1" s="1"/>
  <c r="G484" i="1"/>
  <c r="G495" i="1"/>
  <c r="H495" i="1" s="1"/>
  <c r="G547" i="1"/>
  <c r="H547" i="1" s="1"/>
  <c r="L547" i="1" s="1"/>
  <c r="J563" i="1"/>
  <c r="K563" i="1" s="1"/>
  <c r="G486" i="1"/>
  <c r="H486" i="1" s="1"/>
  <c r="G556" i="1"/>
  <c r="H556" i="1" s="1"/>
  <c r="G498" i="1"/>
  <c r="H498" i="1" s="1"/>
  <c r="J544" i="1"/>
  <c r="K544" i="1" s="1"/>
  <c r="G557" i="1"/>
  <c r="H557" i="1" s="1"/>
  <c r="L434" i="1" l="1"/>
  <c r="M434" i="1" s="1"/>
  <c r="K207" i="1"/>
  <c r="L274" i="1"/>
  <c r="L456" i="1"/>
  <c r="L116" i="1"/>
  <c r="M116" i="1" s="1"/>
  <c r="L265" i="1"/>
  <c r="L330" i="1"/>
  <c r="L370" i="1"/>
  <c r="M370" i="1" s="1"/>
  <c r="L97" i="1"/>
  <c r="L208" i="1"/>
  <c r="L544" i="1"/>
  <c r="M544" i="1" s="1"/>
  <c r="L378" i="1"/>
  <c r="M378" i="1" s="1"/>
  <c r="J220" i="1"/>
  <c r="K220" i="1" s="1"/>
  <c r="L98" i="1"/>
  <c r="M98" i="1" s="1"/>
  <c r="M381" i="1"/>
  <c r="L374" i="1"/>
  <c r="M374" i="1" s="1"/>
  <c r="L441" i="1"/>
  <c r="M441" i="1" s="1"/>
  <c r="H487" i="1"/>
  <c r="L442" i="1"/>
  <c r="M339" i="1"/>
  <c r="M102" i="1"/>
  <c r="M373" i="1"/>
  <c r="M485" i="1"/>
  <c r="L490" i="1"/>
  <c r="M490" i="1" s="1"/>
  <c r="L159" i="1"/>
  <c r="M159" i="1" s="1"/>
  <c r="M494" i="1"/>
  <c r="L156" i="1"/>
  <c r="M156" i="1" s="1"/>
  <c r="M93" i="1"/>
  <c r="M376" i="1"/>
  <c r="M334" i="1"/>
  <c r="L435" i="1"/>
  <c r="M435" i="1" s="1"/>
  <c r="K543" i="1"/>
  <c r="M261" i="1"/>
  <c r="L553" i="1"/>
  <c r="M553" i="1" s="1"/>
  <c r="M166" i="1"/>
  <c r="M541" i="1"/>
  <c r="L426" i="1"/>
  <c r="M426" i="1" s="1"/>
  <c r="L495" i="1"/>
  <c r="M495" i="1" s="1"/>
  <c r="L318" i="1"/>
  <c r="M318" i="1" s="1"/>
  <c r="L221" i="1"/>
  <c r="M221" i="1" s="1"/>
  <c r="L226" i="1"/>
  <c r="M226" i="1" s="1"/>
  <c r="M550" i="1"/>
  <c r="L491" i="1"/>
  <c r="L430" i="1"/>
  <c r="L498" i="1"/>
  <c r="K319" i="1"/>
  <c r="L319" i="1" s="1"/>
  <c r="L327" i="1"/>
  <c r="M327" i="1" s="1"/>
  <c r="M322" i="1"/>
  <c r="L155" i="1"/>
  <c r="H207" i="1"/>
  <c r="L207" i="1" s="1"/>
  <c r="L389" i="1"/>
  <c r="M389" i="1" s="1"/>
  <c r="L146" i="1"/>
  <c r="M103" i="1"/>
  <c r="M158" i="1"/>
  <c r="L497" i="1"/>
  <c r="M497" i="1" s="1"/>
  <c r="L486" i="1"/>
  <c r="H543" i="1"/>
  <c r="H552" i="1" s="1"/>
  <c r="L112" i="1"/>
  <c r="L150" i="1"/>
  <c r="M382" i="1"/>
  <c r="L224" i="1"/>
  <c r="L562" i="1"/>
  <c r="L504" i="1"/>
  <c r="M504" i="1" s="1"/>
  <c r="L448" i="1"/>
  <c r="M448" i="1" s="1"/>
  <c r="L169" i="1"/>
  <c r="M169" i="1" s="1"/>
  <c r="H272" i="1"/>
  <c r="M437" i="1"/>
  <c r="M380" i="1"/>
  <c r="M547" i="1"/>
  <c r="M321" i="1"/>
  <c r="M209" i="1"/>
  <c r="M105" i="1"/>
  <c r="M506" i="1"/>
  <c r="M113" i="1"/>
  <c r="H328" i="1"/>
  <c r="M215" i="1"/>
  <c r="M337" i="1"/>
  <c r="M264" i="1"/>
  <c r="M168" i="1"/>
  <c r="M560" i="1"/>
  <c r="M99" i="1"/>
  <c r="L333" i="1"/>
  <c r="L393" i="1"/>
  <c r="J227" i="1"/>
  <c r="K227" i="1" s="1"/>
  <c r="J228" i="1"/>
  <c r="K228" i="1" s="1"/>
  <c r="M549" i="1"/>
  <c r="M106" i="1"/>
  <c r="L396" i="1"/>
  <c r="L211" i="1"/>
  <c r="M491" i="1"/>
  <c r="M274" i="1"/>
  <c r="M157" i="1"/>
  <c r="L115" i="1"/>
  <c r="M96" i="1"/>
  <c r="M329" i="1"/>
  <c r="L542" i="1"/>
  <c r="M542" i="1" s="1"/>
  <c r="L108" i="1"/>
  <c r="L394" i="1"/>
  <c r="L171" i="1"/>
  <c r="L220" i="1"/>
  <c r="L225" i="1"/>
  <c r="M273" i="1"/>
  <c r="L492" i="1"/>
  <c r="H431" i="1"/>
  <c r="L450" i="1"/>
  <c r="L554" i="1"/>
  <c r="L545" i="1"/>
  <c r="L449" i="1"/>
  <c r="L276" i="1"/>
  <c r="L277" i="1"/>
  <c r="L320" i="1"/>
  <c r="K431" i="1"/>
  <c r="L153" i="1"/>
  <c r="M258" i="1"/>
  <c r="M114" i="1"/>
  <c r="M161" i="1"/>
  <c r="M152" i="1"/>
  <c r="L109" i="1"/>
  <c r="K95" i="1"/>
  <c r="M224" i="1"/>
  <c r="A90" i="1"/>
  <c r="L505" i="1"/>
  <c r="L451" i="1"/>
  <c r="M330" i="1"/>
  <c r="M379" i="1"/>
  <c r="L283" i="1"/>
  <c r="L385" i="1"/>
  <c r="M425" i="1"/>
  <c r="M314" i="1"/>
  <c r="K212" i="1"/>
  <c r="L212" i="1" s="1"/>
  <c r="A213" i="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L165" i="1"/>
  <c r="M170" i="1"/>
  <c r="M202" i="1"/>
  <c r="L564" i="1"/>
  <c r="H496" i="1"/>
  <c r="L508" i="1"/>
  <c r="M439" i="1"/>
  <c r="M336" i="1"/>
  <c r="L392" i="1"/>
  <c r="L445" i="1"/>
  <c r="H375" i="1"/>
  <c r="L551" i="1"/>
  <c r="L281" i="1"/>
  <c r="L386" i="1"/>
  <c r="M145" i="1"/>
  <c r="L172" i="1"/>
  <c r="M90" i="1"/>
  <c r="L101" i="1"/>
  <c r="M89" i="1"/>
  <c r="M218" i="1"/>
  <c r="L556" i="1"/>
  <c r="M208" i="1"/>
  <c r="L332" i="1"/>
  <c r="M436" i="1"/>
  <c r="M280" i="1"/>
  <c r="L340" i="1"/>
  <c r="L432" i="1"/>
  <c r="M265" i="1"/>
  <c r="L164" i="1"/>
  <c r="L501" i="1"/>
  <c r="L507" i="1"/>
  <c r="M442" i="1"/>
  <c r="M325" i="1"/>
  <c r="L500" i="1"/>
  <c r="L444" i="1"/>
  <c r="M323" i="1"/>
  <c r="K548" i="1"/>
  <c r="L548" i="1" s="1"/>
  <c r="M548" i="1" s="1"/>
  <c r="M94" i="1"/>
  <c r="M97" i="1"/>
  <c r="L162" i="1"/>
  <c r="L284" i="1"/>
  <c r="K375" i="1"/>
  <c r="M561" i="1"/>
  <c r="L482" i="1"/>
  <c r="L489" i="1"/>
  <c r="L433" i="1"/>
  <c r="L271" i="1"/>
  <c r="L262" i="1"/>
  <c r="M262" i="1" s="1"/>
  <c r="M481" i="1"/>
  <c r="K263" i="1"/>
  <c r="L546" i="1"/>
  <c r="M546" i="1" s="1"/>
  <c r="L282" i="1"/>
  <c r="L452" i="1"/>
  <c r="M383" i="1"/>
  <c r="L213" i="1"/>
  <c r="M110" i="1"/>
  <c r="K151" i="1"/>
  <c r="H104" i="1"/>
  <c r="L557" i="1"/>
  <c r="M430" i="1"/>
  <c r="L269" i="1"/>
  <c r="L563" i="1"/>
  <c r="L488" i="1"/>
  <c r="L395" i="1"/>
  <c r="M338" i="1"/>
  <c r="K487" i="1"/>
  <c r="L538" i="1"/>
  <c r="M267" i="1"/>
  <c r="H160" i="1"/>
  <c r="L232" i="1"/>
  <c r="L388" i="1"/>
  <c r="H216" i="1" l="1"/>
  <c r="H219" i="1" s="1"/>
  <c r="M112" i="1"/>
  <c r="L543" i="1"/>
  <c r="M146" i="1"/>
  <c r="M155" i="1"/>
  <c r="M150" i="1"/>
  <c r="K328" i="1"/>
  <c r="K216" i="1"/>
  <c r="K219" i="1" s="1"/>
  <c r="M498" i="1"/>
  <c r="M486" i="1"/>
  <c r="M562" i="1"/>
  <c r="M508" i="1"/>
  <c r="M545" i="1"/>
  <c r="L227" i="1"/>
  <c r="L228" i="1"/>
  <c r="A91" i="1"/>
  <c r="M319" i="1"/>
  <c r="M388" i="1"/>
  <c r="M538" i="1"/>
  <c r="M213" i="1"/>
  <c r="M340" i="1"/>
  <c r="M392" i="1"/>
  <c r="H499" i="1"/>
  <c r="M165" i="1"/>
  <c r="M109" i="1"/>
  <c r="K440" i="1"/>
  <c r="L431" i="1"/>
  <c r="M450" i="1"/>
  <c r="H331" i="1"/>
  <c r="H555" i="1"/>
  <c r="M432" i="1"/>
  <c r="L95" i="1"/>
  <c r="M153" i="1"/>
  <c r="M554" i="1"/>
  <c r="M220" i="1"/>
  <c r="H163" i="1"/>
  <c r="M395" i="1"/>
  <c r="M386" i="1"/>
  <c r="M564" i="1"/>
  <c r="M385" i="1"/>
  <c r="M320" i="1"/>
  <c r="M171" i="1"/>
  <c r="M115" i="1"/>
  <c r="M207" i="1"/>
  <c r="M396" i="1"/>
  <c r="M488" i="1"/>
  <c r="M271" i="1"/>
  <c r="M162" i="1"/>
  <c r="K552" i="1"/>
  <c r="M556" i="1"/>
  <c r="M281" i="1"/>
  <c r="M212" i="1"/>
  <c r="M277" i="1"/>
  <c r="M394" i="1"/>
  <c r="M333" i="1"/>
  <c r="M101" i="1"/>
  <c r="M505" i="1"/>
  <c r="K496" i="1"/>
  <c r="L487" i="1"/>
  <c r="M563" i="1"/>
  <c r="M557" i="1"/>
  <c r="M452" i="1"/>
  <c r="M433" i="1"/>
  <c r="K384" i="1"/>
  <c r="L375" i="1"/>
  <c r="M164" i="1"/>
  <c r="M332" i="1"/>
  <c r="M172" i="1"/>
  <c r="M551" i="1"/>
  <c r="H440" i="1"/>
  <c r="M431" i="1"/>
  <c r="M211" i="1"/>
  <c r="H107" i="1"/>
  <c r="M284" i="1"/>
  <c r="M282" i="1"/>
  <c r="M489" i="1"/>
  <c r="M444" i="1"/>
  <c r="M507" i="1"/>
  <c r="H384" i="1"/>
  <c r="M451" i="1"/>
  <c r="M276" i="1"/>
  <c r="M492" i="1"/>
  <c r="H275" i="1"/>
  <c r="M269" i="1"/>
  <c r="L263" i="1"/>
  <c r="K272" i="1"/>
  <c r="L328" i="1"/>
  <c r="K331" i="1"/>
  <c r="M500" i="1"/>
  <c r="M501" i="1"/>
  <c r="K160" i="1"/>
  <c r="L151" i="1"/>
  <c r="M482" i="1"/>
  <c r="M445" i="1"/>
  <c r="M283" i="1"/>
  <c r="M449" i="1"/>
  <c r="M225" i="1"/>
  <c r="M108" i="1"/>
  <c r="M393" i="1"/>
  <c r="M543" i="1"/>
  <c r="L216" i="1" l="1"/>
  <c r="M216" i="1" s="1"/>
  <c r="M375" i="1"/>
  <c r="M227" i="1"/>
  <c r="K499" i="1"/>
  <c r="L496" i="1"/>
  <c r="M95" i="1"/>
  <c r="H571" i="1"/>
  <c r="H566" i="1"/>
  <c r="H576" i="1"/>
  <c r="M151" i="1"/>
  <c r="L272" i="1"/>
  <c r="K275" i="1"/>
  <c r="L160" i="1"/>
  <c r="K163" i="1"/>
  <c r="M263" i="1"/>
  <c r="M328" i="1"/>
  <c r="H443" i="1"/>
  <c r="M440" i="1"/>
  <c r="K555" i="1"/>
  <c r="L552" i="1"/>
  <c r="H342" i="1"/>
  <c r="H347" i="1"/>
  <c r="H352" i="1"/>
  <c r="K443" i="1"/>
  <c r="L440" i="1"/>
  <c r="A92" i="1"/>
  <c r="H118" i="1"/>
  <c r="H123" i="1"/>
  <c r="H128" i="1"/>
  <c r="M228" i="1"/>
  <c r="M487" i="1"/>
  <c r="H291" i="1"/>
  <c r="H286" i="1"/>
  <c r="H296" i="1"/>
  <c r="L219" i="1"/>
  <c r="K230" i="1"/>
  <c r="L331" i="1"/>
  <c r="K347" i="1"/>
  <c r="K352" i="1"/>
  <c r="K342" i="1"/>
  <c r="L384" i="1"/>
  <c r="K387" i="1"/>
  <c r="H230" i="1"/>
  <c r="H235" i="1"/>
  <c r="H240" i="1"/>
  <c r="K240" i="1"/>
  <c r="H387" i="1"/>
  <c r="H174" i="1"/>
  <c r="H179" i="1"/>
  <c r="H184" i="1"/>
  <c r="H520" i="1"/>
  <c r="H515" i="1"/>
  <c r="H510" i="1"/>
  <c r="K235" i="1"/>
  <c r="M384" i="1" l="1"/>
  <c r="L342" i="1"/>
  <c r="K344" i="1"/>
  <c r="K343" i="1"/>
  <c r="H287" i="1"/>
  <c r="H288" i="1"/>
  <c r="A93" i="1"/>
  <c r="H348" i="1"/>
  <c r="H349" i="1"/>
  <c r="H408" i="1"/>
  <c r="H398" i="1"/>
  <c r="H403" i="1"/>
  <c r="K353" i="1"/>
  <c r="K355" i="1" s="1"/>
  <c r="L352" i="1"/>
  <c r="K354" i="1"/>
  <c r="H292" i="1"/>
  <c r="H294" i="1" s="1"/>
  <c r="H293" i="1"/>
  <c r="H185" i="1"/>
  <c r="H186" i="1"/>
  <c r="L240" i="1"/>
  <c r="K241" i="1"/>
  <c r="K243" i="1" s="1"/>
  <c r="K349" i="1"/>
  <c r="K348" i="1"/>
  <c r="K350" i="1" s="1"/>
  <c r="L347" i="1"/>
  <c r="H129" i="1"/>
  <c r="H131" i="1" s="1"/>
  <c r="H130" i="1"/>
  <c r="H180" i="1"/>
  <c r="H182" i="1" s="1"/>
  <c r="H181" i="1"/>
  <c r="L387" i="1"/>
  <c r="K398" i="1"/>
  <c r="K403" i="1"/>
  <c r="K408" i="1"/>
  <c r="H124" i="1"/>
  <c r="H125" i="1"/>
  <c r="H516" i="1"/>
  <c r="H518" i="1" s="1"/>
  <c r="H517" i="1"/>
  <c r="H231" i="1"/>
  <c r="H233" i="1" s="1"/>
  <c r="H521" i="1"/>
  <c r="H522" i="1"/>
  <c r="M219" i="1"/>
  <c r="H297" i="1"/>
  <c r="H298" i="1"/>
  <c r="H343" i="1"/>
  <c r="H344" i="1"/>
  <c r="H577" i="1"/>
  <c r="H579" i="1" s="1"/>
  <c r="H578" i="1"/>
  <c r="M496" i="1"/>
  <c r="L443" i="1"/>
  <c r="K464" i="1"/>
  <c r="K454" i="1"/>
  <c r="K459" i="1"/>
  <c r="M331" i="1"/>
  <c r="L163" i="1"/>
  <c r="K184" i="1"/>
  <c r="K174" i="1"/>
  <c r="K179" i="1"/>
  <c r="H567" i="1"/>
  <c r="H568" i="1"/>
  <c r="L499" i="1"/>
  <c r="K520" i="1"/>
  <c r="K515" i="1"/>
  <c r="K510" i="1"/>
  <c r="M552" i="1"/>
  <c r="M160" i="1"/>
  <c r="H572" i="1"/>
  <c r="H573" i="1"/>
  <c r="L555" i="1"/>
  <c r="K571" i="1"/>
  <c r="K576" i="1"/>
  <c r="K566" i="1"/>
  <c r="L275" i="1"/>
  <c r="K296" i="1"/>
  <c r="K286" i="1"/>
  <c r="K291" i="1"/>
  <c r="M272" i="1"/>
  <c r="M443" i="1"/>
  <c r="H464" i="1"/>
  <c r="H454" i="1"/>
  <c r="H459" i="1"/>
  <c r="K236" i="1"/>
  <c r="L235" i="1"/>
  <c r="H175" i="1"/>
  <c r="H176" i="1"/>
  <c r="H241" i="1"/>
  <c r="H243" i="1" s="1"/>
  <c r="H119" i="1"/>
  <c r="H120" i="1"/>
  <c r="H511" i="1"/>
  <c r="H512" i="1"/>
  <c r="H236" i="1"/>
  <c r="H238" i="1" s="1"/>
  <c r="K231" i="1"/>
  <c r="L231" i="1" s="1"/>
  <c r="L230" i="1"/>
  <c r="H353" i="1"/>
  <c r="H354" i="1"/>
  <c r="M342" i="1" l="1"/>
  <c r="L236" i="1"/>
  <c r="M352" i="1"/>
  <c r="H345" i="1"/>
  <c r="M235" i="1"/>
  <c r="M240" i="1"/>
  <c r="M387" i="1"/>
  <c r="H513" i="1"/>
  <c r="L571" i="1"/>
  <c r="K572" i="1"/>
  <c r="L572" i="1" s="1"/>
  <c r="K573" i="1"/>
  <c r="K465" i="1"/>
  <c r="K467" i="1" s="1"/>
  <c r="L464" i="1"/>
  <c r="H289" i="1"/>
  <c r="K233" i="1"/>
  <c r="L233" i="1" s="1"/>
  <c r="H455" i="1"/>
  <c r="K297" i="1"/>
  <c r="L297" i="1" s="1"/>
  <c r="L296" i="1"/>
  <c r="K298" i="1"/>
  <c r="K521" i="1"/>
  <c r="L521" i="1" s="1"/>
  <c r="L520" i="1"/>
  <c r="K522" i="1"/>
  <c r="L184" i="1"/>
  <c r="K185" i="1"/>
  <c r="L185" i="1" s="1"/>
  <c r="K186" i="1"/>
  <c r="L343" i="1"/>
  <c r="K511" i="1"/>
  <c r="L511" i="1" s="1"/>
  <c r="L510" i="1"/>
  <c r="K512" i="1"/>
  <c r="L512" i="1" s="1"/>
  <c r="L179" i="1"/>
  <c r="K180" i="1"/>
  <c r="L180" i="1" s="1"/>
  <c r="K181" i="1"/>
  <c r="L174" i="1"/>
  <c r="K175" i="1"/>
  <c r="L175" i="1" s="1"/>
  <c r="K176" i="1"/>
  <c r="L176" i="1" s="1"/>
  <c r="L344" i="1"/>
  <c r="K292" i="1"/>
  <c r="L292" i="1" s="1"/>
  <c r="L291" i="1"/>
  <c r="K293" i="1"/>
  <c r="L403" i="1"/>
  <c r="K404" i="1"/>
  <c r="L241" i="1"/>
  <c r="H409" i="1"/>
  <c r="H411" i="1" s="1"/>
  <c r="H460" i="1"/>
  <c r="K287" i="1"/>
  <c r="L287" i="1" s="1"/>
  <c r="K288" i="1"/>
  <c r="L288" i="1" s="1"/>
  <c r="L286" i="1"/>
  <c r="L515" i="1"/>
  <c r="K516" i="1"/>
  <c r="L516" i="1" s="1"/>
  <c r="K517" i="1"/>
  <c r="K399" i="1"/>
  <c r="L398" i="1"/>
  <c r="H465" i="1"/>
  <c r="H467" i="1"/>
  <c r="M275" i="1"/>
  <c r="H574" i="1"/>
  <c r="M499" i="1"/>
  <c r="M163" i="1"/>
  <c r="H523" i="1"/>
  <c r="H177" i="1"/>
  <c r="L566" i="1"/>
  <c r="K567" i="1"/>
  <c r="L567" i="1" s="1"/>
  <c r="K568" i="1"/>
  <c r="L568" i="1" s="1"/>
  <c r="M230" i="1"/>
  <c r="L348" i="1"/>
  <c r="H187" i="1"/>
  <c r="M347" i="1"/>
  <c r="K345" i="1"/>
  <c r="K455" i="1"/>
  <c r="L454" i="1"/>
  <c r="H404" i="1"/>
  <c r="H406" i="1" s="1"/>
  <c r="M241" i="1"/>
  <c r="K238" i="1"/>
  <c r="L238" i="1" s="1"/>
  <c r="M555" i="1"/>
  <c r="K409" i="1"/>
  <c r="K411" i="1" s="1"/>
  <c r="L408" i="1"/>
  <c r="L243" i="1"/>
  <c r="H399" i="1"/>
  <c r="H401" i="1" s="1"/>
  <c r="H355" i="1"/>
  <c r="L355" i="1" s="1"/>
  <c r="M236" i="1"/>
  <c r="H121" i="1"/>
  <c r="K577" i="1"/>
  <c r="L577" i="1" s="1"/>
  <c r="M577" i="1" s="1"/>
  <c r="L576" i="1"/>
  <c r="M576" i="1" s="1"/>
  <c r="K578" i="1"/>
  <c r="H569" i="1"/>
  <c r="L459" i="1"/>
  <c r="K460" i="1"/>
  <c r="L460" i="1" s="1"/>
  <c r="H299" i="1"/>
  <c r="M231" i="1"/>
  <c r="H126" i="1"/>
  <c r="L353" i="1"/>
  <c r="H350" i="1"/>
  <c r="L350" i="1" s="1"/>
  <c r="A94" i="1"/>
  <c r="K299" i="1" l="1"/>
  <c r="L299" i="1" s="1"/>
  <c r="K294" i="1"/>
  <c r="L294" i="1" s="1"/>
  <c r="L455" i="1"/>
  <c r="L345" i="1"/>
  <c r="M343" i="1"/>
  <c r="K462" i="1"/>
  <c r="M464" i="1"/>
  <c r="K579" i="1"/>
  <c r="L579" i="1" s="1"/>
  <c r="M579" i="1" s="1"/>
  <c r="K182" i="1"/>
  <c r="L182" i="1" s="1"/>
  <c r="K518" i="1"/>
  <c r="L518" i="1" s="1"/>
  <c r="M408" i="1"/>
  <c r="M292" i="1"/>
  <c r="M353" i="1"/>
  <c r="L399" i="1"/>
  <c r="M516" i="1"/>
  <c r="M233" i="1"/>
  <c r="M180" i="1"/>
  <c r="M185" i="1"/>
  <c r="M511" i="1"/>
  <c r="L411" i="1"/>
  <c r="A95" i="1"/>
  <c r="M566" i="1"/>
  <c r="K401" i="1"/>
  <c r="L401" i="1" s="1"/>
  <c r="K177" i="1"/>
  <c r="L177" i="1" s="1"/>
  <c r="M571" i="1"/>
  <c r="M350" i="1"/>
  <c r="M403" i="1"/>
  <c r="M174" i="1"/>
  <c r="M510" i="1"/>
  <c r="K187" i="1"/>
  <c r="L187" i="1" s="1"/>
  <c r="M296" i="1"/>
  <c r="K574" i="1"/>
  <c r="L574" i="1" s="1"/>
  <c r="M286" i="1"/>
  <c r="M355" i="1"/>
  <c r="K457" i="1"/>
  <c r="M521" i="1"/>
  <c r="K289" i="1"/>
  <c r="L289" i="1" s="1"/>
  <c r="M291" i="1"/>
  <c r="M572" i="1"/>
  <c r="M184" i="1"/>
  <c r="L467" i="1"/>
  <c r="M287" i="1"/>
  <c r="M398" i="1"/>
  <c r="L409" i="1"/>
  <c r="M460" i="1"/>
  <c r="K513" i="1"/>
  <c r="L513" i="1" s="1"/>
  <c r="M455" i="1"/>
  <c r="L465" i="1"/>
  <c r="M294" i="1"/>
  <c r="M243" i="1"/>
  <c r="M238" i="1"/>
  <c r="M459" i="1"/>
  <c r="L404" i="1"/>
  <c r="M520" i="1"/>
  <c r="M454" i="1"/>
  <c r="M297" i="1"/>
  <c r="M345" i="1"/>
  <c r="M348" i="1"/>
  <c r="H462" i="1"/>
  <c r="K406" i="1"/>
  <c r="L406" i="1" s="1"/>
  <c r="K523" i="1"/>
  <c r="L523" i="1" s="1"/>
  <c r="H457" i="1"/>
  <c r="M567" i="1"/>
  <c r="M179" i="1"/>
  <c r="K569" i="1"/>
  <c r="L569" i="1" s="1"/>
  <c r="M515" i="1"/>
  <c r="M175" i="1"/>
  <c r="M399" i="1" l="1"/>
  <c r="M518" i="1"/>
  <c r="M401" i="1"/>
  <c r="M404" i="1"/>
  <c r="M182" i="1"/>
  <c r="M523" i="1"/>
  <c r="M187" i="1"/>
  <c r="M289" i="1"/>
  <c r="M569" i="1"/>
  <c r="A96" i="1"/>
  <c r="M411" i="1"/>
  <c r="M299" i="1"/>
  <c r="M513" i="1"/>
  <c r="M574" i="1"/>
  <c r="L462" i="1"/>
  <c r="M465" i="1"/>
  <c r="M177" i="1"/>
  <c r="M409" i="1"/>
  <c r="M467" i="1"/>
  <c r="L457" i="1"/>
  <c r="M406" i="1"/>
  <c r="M457" i="1" l="1"/>
  <c r="A97" i="1"/>
  <c r="M462" i="1"/>
  <c r="A98" i="1" l="1"/>
  <c r="A99" i="1" s="1"/>
  <c r="A100" i="1" s="1"/>
  <c r="K100" i="1" l="1"/>
  <c r="A101" i="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L100" i="1" l="1"/>
  <c r="M100" i="1" s="1"/>
  <c r="K104" i="1"/>
  <c r="K107" i="1" l="1"/>
  <c r="L104" i="1"/>
  <c r="M104" i="1" l="1"/>
  <c r="L107" i="1"/>
  <c r="K118" i="1"/>
  <c r="K123" i="1"/>
  <c r="K128" i="1"/>
  <c r="K129" i="1" l="1"/>
  <c r="L129" i="1" s="1"/>
  <c r="L128" i="1"/>
  <c r="K130" i="1"/>
  <c r="L123" i="1"/>
  <c r="K124" i="1"/>
  <c r="L124" i="1" s="1"/>
  <c r="K125" i="1"/>
  <c r="K119" i="1"/>
  <c r="L119" i="1" s="1"/>
  <c r="L118" i="1"/>
  <c r="K120" i="1"/>
  <c r="L120" i="1" s="1"/>
  <c r="M107" i="1"/>
  <c r="K131" i="1" l="1"/>
  <c r="L131" i="1" s="1"/>
  <c r="K121" i="1"/>
  <c r="L121" i="1" s="1"/>
  <c r="K126" i="1"/>
  <c r="L126" i="1" s="1"/>
  <c r="M119" i="1"/>
  <c r="M123" i="1"/>
  <c r="M129" i="1"/>
  <c r="M118" i="1"/>
  <c r="H61" i="1"/>
  <c r="L60" i="1"/>
  <c r="N57" i="1"/>
  <c r="L56" i="1"/>
  <c r="J57" i="1"/>
  <c r="M124" i="1"/>
  <c r="M128" i="1"/>
  <c r="M131" i="1" l="1"/>
  <c r="H59" i="1"/>
  <c r="H63" i="1"/>
  <c r="H58" i="1"/>
  <c r="J60" i="1"/>
  <c r="J61" i="1"/>
  <c r="L62" i="1"/>
  <c r="N56" i="1"/>
  <c r="H55" i="1" a="1"/>
  <c r="H55" i="1" s="1"/>
  <c r="J59" i="1"/>
  <c r="H56" i="1"/>
  <c r="M121" i="1"/>
  <c r="J55" i="1"/>
  <c r="J62" i="1"/>
  <c r="L63" i="1"/>
  <c r="L55" i="1"/>
  <c r="N62" i="1"/>
  <c r="J58" i="1"/>
  <c r="J56" i="1"/>
  <c r="N59" i="1"/>
  <c r="N58" i="1"/>
  <c r="H60" i="1"/>
  <c r="H57" i="1"/>
  <c r="L58" i="1"/>
  <c r="N60" i="1"/>
  <c r="L59" i="1"/>
  <c r="L57" i="1"/>
  <c r="N55" i="1"/>
  <c r="N61" i="1"/>
  <c r="H62" i="1"/>
  <c r="J63" i="1"/>
  <c r="N63" i="1"/>
  <c r="L61" i="1"/>
  <c r="M126" i="1"/>
  <c r="M57" i="1" s="1"/>
  <c r="O56" i="1" l="1"/>
  <c r="M63" i="1"/>
  <c r="O61" i="1"/>
  <c r="O57" i="1"/>
  <c r="O55" i="1"/>
  <c r="O62" i="1"/>
  <c r="I55" i="1"/>
  <c r="K58" i="1"/>
  <c r="M56" i="1"/>
  <c r="I58" i="1"/>
  <c r="I63" i="1"/>
  <c r="K61" i="1"/>
  <c r="I56" i="1"/>
  <c r="K55" i="1"/>
  <c r="K59" i="1"/>
  <c r="M61" i="1"/>
  <c r="O59" i="1"/>
  <c r="M58" i="1"/>
  <c r="O60" i="1"/>
  <c r="I57" i="1"/>
  <c r="K56" i="1"/>
  <c r="O63" i="1"/>
  <c r="M55" i="1"/>
  <c r="K60" i="1"/>
  <c r="O58" i="1"/>
  <c r="K57" i="1"/>
  <c r="K63" i="1"/>
  <c r="I61" i="1"/>
  <c r="I62" i="1"/>
  <c r="K62" i="1"/>
  <c r="M59" i="1"/>
  <c r="I59" i="1"/>
  <c r="M60" i="1"/>
  <c r="M62" i="1"/>
  <c r="I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<sst xmlns="http://schemas.openxmlformats.org/spreadsheetml/2006/main" count="870" uniqueCount="94">
  <si>
    <t>YES</t>
  </si>
  <si>
    <r>
      <t xml:space="preserve">The bill comparisons below must be provided for typical customers and consumption levels. Bill impacts must be provided for residential customers consuming 750 kWh per month and general service customers consuming 2,000 kWh per month and having a monthly demand of less than 50 kW. Include bill comparisons for Non-RPP (retailer) as well. </t>
    </r>
    <r>
      <rPr>
        <b/>
        <sz val="9.3000000000000007"/>
        <rFont val="Arial"/>
        <family val="2"/>
      </rPr>
      <t>Those distributors that are still in the process of moving to fully fixed residential rates should refer to section 3.2.3 of Chapter 3 of  the Filing Requirements for Incentive Rate-Setting Applications.</t>
    </r>
    <r>
      <rPr>
        <sz val="9.3000000000000007"/>
        <rFont val="Arial"/>
        <family val="2"/>
      </rPr>
      <t xml:space="preserve">
For certain classes where one or more customers have unique consumption and demand patterns and which may be significantly impacted by the proposed rate changes, the distributor must show a typical comparison, and provide an explanation.
Note:  
1. For those classes that are not eligible for the RPP price, the weighted average price including Class B GA of </t>
    </r>
    <r>
      <rPr>
        <sz val="9.3000000000000007"/>
        <color theme="9" tint="-0.249977111117893"/>
        <rFont val="Arial"/>
        <family val="2"/>
      </rPr>
      <t>$0.1076/kWh (IESO's Monthly Market Report for May 2023)</t>
    </r>
    <r>
      <rPr>
        <sz val="9.3000000000000007"/>
        <rFont val="Arial"/>
        <family val="2"/>
      </rPr>
      <t xml:space="preserve"> has been used to represent the cost of power. For those classes on a retailer contract, applicants should enter the contract price (plus GA) for a more accurate estimate. Changes to the cost of power can be made directly on the bill impact table for the specific class.
2. Please enter the applicable billing determinant (e.g. number of connections or devices) to be applied to the monthly service charge for unmetered rate classes in column N. If the monthly service charge is applied on a per customer basis, enter the number “1”. Distributors should provide the number of connections or devices reflective of a typical customer in each class.</t>
    </r>
  </si>
  <si>
    <t>Note that cells with the highlighted color shown to the left indicate quantities that are loss adjusted.</t>
  </si>
  <si>
    <t>Table 1</t>
  </si>
  <si>
    <r>
      <t xml:space="preserve">RATE CLASSES / CATEGORIES 
</t>
    </r>
    <r>
      <rPr>
        <b/>
        <i/>
        <sz val="9"/>
        <rFont val="Arial"/>
        <family val="2"/>
      </rPr>
      <t>(eg: Residential TOU, Residential Retailer)</t>
    </r>
  </si>
  <si>
    <t>Units</t>
  </si>
  <si>
    <t>RPP?
Non-RPP Retailer?
Non-RPP
Other?</t>
  </si>
  <si>
    <r>
      <t xml:space="preserve">Current 
Loss Factor 
</t>
    </r>
    <r>
      <rPr>
        <b/>
        <sz val="8"/>
        <rFont val="Arial"/>
        <family val="2"/>
      </rPr>
      <t>(eg: 1.0351)</t>
    </r>
  </si>
  <si>
    <t>Proposed Loss Factor</t>
  </si>
  <si>
    <t>Consumption (kWh)</t>
  </si>
  <si>
    <t>Demand kW
(if applicable)</t>
  </si>
  <si>
    <r>
      <rPr>
        <b/>
        <sz val="10"/>
        <rFont val="Arial Black"/>
        <family val="2"/>
      </rPr>
      <t>RTSR</t>
    </r>
    <r>
      <rPr>
        <b/>
        <sz val="10"/>
        <rFont val="Arial"/>
        <family val="2"/>
      </rPr>
      <t xml:space="preserve">
Demand or 
Demand-Interval?</t>
    </r>
  </si>
  <si>
    <t>Billing Determinant Applied to Fixed Charge for Unmetered Classes (e.g. # of devices/connections).</t>
  </si>
  <si>
    <t>RESIDENTIAL SERVICE CLASSIFICATION</t>
  </si>
  <si>
    <t>kWh</t>
  </si>
  <si>
    <t>RPP</t>
  </si>
  <si>
    <t>CONSUMPTION</t>
  </si>
  <si>
    <t>GENERAL SERVICE LESS THAN 50 KW SERVICE CLASSIFICATION</t>
  </si>
  <si>
    <t>GENERAL SERVICE 50 to 4,999 kW SERVICE CLASSIFICATION</t>
  </si>
  <si>
    <t>kW</t>
  </si>
  <si>
    <t>Non-RPP (Other)</t>
  </si>
  <si>
    <t>DEMAND</t>
  </si>
  <si>
    <t>UNMETERED SCATTERED LOAD SERVICE CLASSIFICATION</t>
  </si>
  <si>
    <t>SENTINEL LIGHTING SERVICE CLASSIFICATION</t>
  </si>
  <si>
    <t>STREET LIGHTING SERVICE CLASSIFICATION</t>
  </si>
  <si>
    <t>Non-RPP (Retailer)</t>
  </si>
  <si>
    <t>STANDBY POWER SERVICE CLASSIFICATION</t>
  </si>
  <si>
    <t>Add additional scenarios if required</t>
  </si>
  <si>
    <t/>
  </si>
  <si>
    <t>X</t>
  </si>
  <si>
    <t>Table 2</t>
  </si>
  <si>
    <t>Sub-Total</t>
  </si>
  <si>
    <t>Total</t>
  </si>
  <si>
    <t>A</t>
  </si>
  <si>
    <t>B</t>
  </si>
  <si>
    <t>C</t>
  </si>
  <si>
    <t>Total Bill</t>
  </si>
  <si>
    <t>$</t>
  </si>
  <si>
    <t>%</t>
  </si>
  <si>
    <t>Customer Class:</t>
  </si>
  <si>
    <t>RPP / Non-RPP:</t>
  </si>
  <si>
    <t>Consumption</t>
  </si>
  <si>
    <t>Demand</t>
  </si>
  <si>
    <t>Current Loss Factor</t>
  </si>
  <si>
    <t>Proposed/Approved Loss Factor</t>
  </si>
  <si>
    <t>Current OEB-Approved</t>
  </si>
  <si>
    <t>Proposed</t>
  </si>
  <si>
    <t>Impact</t>
  </si>
  <si>
    <t>Rate</t>
  </si>
  <si>
    <t>Volume</t>
  </si>
  <si>
    <t>Charge</t>
  </si>
  <si>
    <t>$ Change</t>
  </si>
  <si>
    <t>% Change</t>
  </si>
  <si>
    <t>($)</t>
  </si>
  <si>
    <t>Monthly Service Charge</t>
  </si>
  <si>
    <t>Distribution Volumetric Rate</t>
  </si>
  <si>
    <t>RRRP Credit</t>
  </si>
  <si>
    <t>DRP Adjustment</t>
  </si>
  <si>
    <t>Fixed Rate Riders</t>
  </si>
  <si>
    <t>Volumetric Rate Riders</t>
  </si>
  <si>
    <t>ST_A</t>
  </si>
  <si>
    <t>Sub-Total A (excluding pass through)</t>
  </si>
  <si>
    <t>Line Losses on Cost of Power</t>
  </si>
  <si>
    <t>Total Deferral/Variance Account Rate Riders</t>
  </si>
  <si>
    <t>CBR Class B Rate Riders</t>
  </si>
  <si>
    <t>GA Rate Riders</t>
  </si>
  <si>
    <t>Low Voltage Service Charge</t>
  </si>
  <si>
    <t>Smart Meter Entity Charge (if applicable)</t>
  </si>
  <si>
    <t xml:space="preserve">Additional Fixed Rate Riders </t>
  </si>
  <si>
    <t xml:space="preserve">Additional Volumetric Rate Riders </t>
  </si>
  <si>
    <t>ST_B</t>
  </si>
  <si>
    <t>Sub-Total B - Distribution (includes Sub-Total A)</t>
  </si>
  <si>
    <t>RTSR - Network</t>
  </si>
  <si>
    <t>RTSR - Connection and/or Line and Transformation Connection</t>
  </si>
  <si>
    <t>ST_C</t>
  </si>
  <si>
    <t>Sub-Total C - Delivery (including Sub-Total B)</t>
  </si>
  <si>
    <t>Wholesale Market Service Charge (WMSC)</t>
  </si>
  <si>
    <t>Rural and Remote Rate Protection (RRRP)</t>
  </si>
  <si>
    <t>Standard Supply Service Charge</t>
  </si>
  <si>
    <t xml:space="preserve">Ontario Electricity Support Program 
(OESP) </t>
  </si>
  <si>
    <t>TOU - Off Peak</t>
  </si>
  <si>
    <t>TOU - Mid Peak</t>
  </si>
  <si>
    <t>TOU - On Peak</t>
  </si>
  <si>
    <t>Non-RPP Retailer Avg. Price</t>
  </si>
  <si>
    <t>Average IESO Wholesale Market Price</t>
  </si>
  <si>
    <t>Total Bill on TOU (before Taxes)</t>
  </si>
  <si>
    <t>HST</t>
  </si>
  <si>
    <t>Ontario Electricity Rebate</t>
  </si>
  <si>
    <t>RPP_TOTAL</t>
  </si>
  <si>
    <t>Total Bill on TOU</t>
  </si>
  <si>
    <t>Total Bill on Non-RPP Avg. Price</t>
  </si>
  <si>
    <t>Non-RPP (Retailer)_TOTAL</t>
  </si>
  <si>
    <t>Total Bill on Average IESO Wholesale Market Price</t>
  </si>
  <si>
    <t>Non-RPP (Other)_TOTAL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</si>
</sst>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 #,##0_-;_-* &quot;-&quot;??_-;_-@_-"/>
    <numFmt numFmtId="165" formatCode="0.0%"/>
    <numFmt numFmtId="166" formatCode="0.0000"/>
    <numFmt numFmtId="167" formatCode="_-&quot;$&quot;* #,##0.0000_-;\-&quot;$&quot;* #,##0.0000_-;_-&quot;$&quot;* &quot;-&quot;??_-;_-@_-"/>
    <numFmt numFmtId="168" formatCode="_-&quot;$&quot;* #,##0.00_-;\-&quot;$&quot;* #,##0.00_-;_-&quot;$&quot;* &quot;-&quot;??_-;_-@_-"/>
  </numFmts>
  <fonts count="24" x14ac:knownFonts="1">
    <font>
      <sz val="11"/>
      <color theme="1"/>
      <name val="Calibri"/>
      <family val="2"/>
      <scheme val="minor"/>
    </font>
    <font>
      <sz val="10"/>
      <name val="Arial"/>
      <family val="2"/>
    </font>
    <font>
      <sz val="16"/>
      <color theme="0"/>
      <name val="Algerian"/>
      <family val="5"/>
    </font>
    <font>
      <sz val="16"/>
      <color indexed="12"/>
      <name val="Algerian"/>
      <family val="5"/>
    </font>
    <font>
      <b/>
      <sz val="10"/>
      <name val="Arial"/>
      <family val="2"/>
    </font>
    <font>
      <sz val="8"/>
      <name val="Arial"/>
      <family val="2"/>
    </font>
    <font>
      <sz val="14"/>
      <color theme="0"/>
      <name val="Arial"/>
      <family val="2"/>
    </font>
    <font>
      <sz val="14"/>
      <name val="Arial"/>
      <family val="2"/>
    </font>
    <font>
      <sz val="10"/>
      <color theme="0"/>
      <name val="Arial"/>
      <family val="2"/>
    </font>
    <font>
      <b/>
      <sz val="12"/>
      <name val="Arial"/>
      <family val="2"/>
    </font>
    <font>
      <b/>
      <sz val="14"/>
      <name val="Arial"/>
      <family val="2"/>
    </font>
    <font>
      <sz val="9.3000000000000007"/>
      <name val="Arial"/>
      <family val="2"/>
    </font>
    <font>
      <b/>
      <sz val="9.3000000000000007"/>
      <name val="Arial"/>
      <family val="2"/>
    </font>
    <font>
      <sz val="9.3000000000000007"/>
      <color theme="9" tint="-0.249977111117893"/>
      <name val="Arial"/>
      <family val="2"/>
    </font>
    <font>
      <b/>
      <i/>
      <sz val="9"/>
      <name val="Arial"/>
      <family val="2"/>
    </font>
    <font>
      <b/>
      <sz val="8"/>
      <name val="Arial"/>
      <family val="2"/>
    </font>
    <font>
      <b/>
      <sz val="10"/>
      <name val="Arial Black"/>
      <family val="2"/>
    </font>
    <font>
      <i/>
      <sz val="10"/>
      <name val="Arial"/>
      <family val="2"/>
    </font>
    <font>
      <b/>
      <sz val="10"/>
      <color rgb="FFFF0000"/>
      <name val="Arial"/>
      <family val="2"/>
    </font>
    <font>
      <b/>
      <sz val="9"/>
      <name val="Arial"/>
      <family val="2"/>
    </font>
    <font>
      <sz val="10"/>
      <color theme="1"/>
      <name val="Arial"/>
      <family val="2"/>
    </font>
    <font>
      <b/>
      <sz val="10"/>
      <color rgb="FF002060"/>
      <name val="Arial"/>
      <family val="2"/>
    </font>
    <font>
      <b/>
      <sz val="10"/>
      <color theme="1"/>
      <name val="Arial"/>
      <family val="2"/>
    </font>
    <font>
      <b/>
      <sz val="10"/>
      <color theme="3"/>
      <name val="Arial"/>
      <family val="2"/>
    </font>
  </fonts>
  <fills count="18">
    <fill>
      <patternFill patternType="none"/>
    </fill>
    <fill>
      <patternFill patternType="gray125"/>
    </fill>
    <fill>
      <patternFill patternType="solid">
        <fgColor indexed="9"/>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EBF1DE"/>
        <bgColor indexed="64"/>
      </patternFill>
    </fill>
    <fill>
      <patternFill patternType="solid">
        <fgColor theme="6" tint="0.79995117038483843"/>
        <bgColor indexed="64"/>
      </patternFill>
    </fill>
    <fill>
      <patternFill patternType="solid">
        <fgColor theme="4" tint="0.7999511703848384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0" tint="-0.149967955565050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5">
    <xf numFmtId="0" fontId="0"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88">
    <xf numFmtId="0" fontId="0" fillId="0" borderId="0" xfId="0"/>
    <xf numFmtId="0" fontId="2" fillId="2" borderId="0" xfId="1" applyFont="1" applyFill="1" applyAlignment="1">
      <alignment vertical="top" wrapText="1"/>
    </xf>
    <xf numFmtId="0" fontId="3" fillId="2" borderId="0" xfId="1" applyFont="1" applyFill="1" applyAlignment="1">
      <alignment vertical="top" wrapText="1"/>
    </xf>
    <xf numFmtId="0" fontId="4" fillId="0" borderId="0" xfId="1" applyFont="1"/>
    <xf numFmtId="0" fontId="5" fillId="0" borderId="0" xfId="1" applyFont="1" applyAlignment="1">
      <alignment horizontal="right" vertical="top"/>
    </xf>
    <xf numFmtId="0" fontId="1" fillId="2" borderId="0" xfId="1" applyFill="1"/>
    <xf numFmtId="0" fontId="1" fillId="0" borderId="0" xfId="1"/>
    <xf numFmtId="0" fontId="6" fillId="2" borderId="0" xfId="1" applyFont="1" applyFill="1"/>
    <xf numFmtId="0" fontId="7" fillId="2" borderId="0" xfId="1" applyFont="1" applyFill="1"/>
    <xf numFmtId="0" fontId="1" fillId="2" borderId="0" xfId="1" applyFill="1" applyAlignment="1">
      <alignment horizontal="left" indent="1"/>
    </xf>
    <xf numFmtId="0" fontId="8" fillId="2" borderId="0" xfId="1" applyFont="1" applyFill="1"/>
    <xf numFmtId="0" fontId="9" fillId="2" borderId="0" xfId="1" applyFont="1" applyFill="1"/>
    <xf numFmtId="0" fontId="8" fillId="0" borderId="0" xfId="1" applyFont="1"/>
    <xf numFmtId="0" fontId="10" fillId="0" borderId="0" xfId="1" applyFont="1"/>
    <xf numFmtId="0" fontId="1" fillId="0" borderId="0" xfId="1" applyProtection="1">
      <protection locked="0"/>
    </xf>
    <xf numFmtId="0" fontId="8" fillId="3" borderId="1" xfId="1" applyFont="1" applyFill="1" applyBorder="1"/>
    <xf numFmtId="0" fontId="9" fillId="0" borderId="0" xfId="1" applyFont="1"/>
    <xf numFmtId="0" fontId="4" fillId="0" borderId="1" xfId="1" applyFont="1" applyBorder="1" applyAlignment="1">
      <alignment horizontal="center" vertical="center"/>
    </xf>
    <xf numFmtId="0" fontId="4" fillId="0" borderId="1" xfId="1" applyFont="1" applyBorder="1" applyAlignment="1">
      <alignment horizontal="center" vertical="center" wrapText="1"/>
    </xf>
    <xf numFmtId="0" fontId="4" fillId="4" borderId="1" xfId="1" applyFont="1" applyFill="1" applyBorder="1" applyAlignment="1">
      <alignment horizontal="center" vertical="center" wrapText="1"/>
    </xf>
    <xf numFmtId="0" fontId="4" fillId="0" borderId="1" xfId="1" applyFont="1" applyBorder="1" applyAlignment="1">
      <alignment horizontal="center" wrapText="1"/>
    </xf>
    <xf numFmtId="0" fontId="8" fillId="5" borderId="0" xfId="1" applyFont="1" applyFill="1"/>
    <xf numFmtId="0" fontId="17" fillId="5" borderId="2" xfId="1" applyFont="1" applyFill="1" applyBorder="1" applyAlignment="1" applyProtection="1">
      <alignment vertical="top"/>
      <protection locked="0"/>
    </xf>
    <xf numFmtId="0" fontId="1" fillId="5" borderId="3" xfId="1" applyFill="1" applyBorder="1" applyAlignment="1" applyProtection="1">
      <alignment vertical="top"/>
      <protection locked="0"/>
    </xf>
    <xf numFmtId="0" fontId="1" fillId="5" borderId="4" xfId="1" applyFill="1" applyBorder="1" applyAlignment="1" applyProtection="1">
      <alignment vertical="top"/>
      <protection locked="0"/>
    </xf>
    <xf numFmtId="0" fontId="4" fillId="5" borderId="1" xfId="1" applyFont="1" applyFill="1" applyBorder="1" applyAlignment="1" applyProtection="1">
      <alignment horizontal="center" vertical="center"/>
      <protection locked="0"/>
    </xf>
    <xf numFmtId="0" fontId="1" fillId="6" borderId="1" xfId="1" applyFill="1" applyBorder="1" applyAlignment="1" applyProtection="1">
      <alignment horizontal="center" vertical="center"/>
      <protection locked="0"/>
    </xf>
    <xf numFmtId="0" fontId="1" fillId="7" borderId="1" xfId="1" applyFill="1" applyBorder="1" applyAlignment="1" applyProtection="1">
      <alignment horizontal="center" vertical="center"/>
      <protection locked="0"/>
    </xf>
    <xf numFmtId="0" fontId="1" fillId="5" borderId="1" xfId="1" applyFill="1" applyBorder="1" applyAlignment="1">
      <alignment horizontal="center" vertical="center"/>
    </xf>
    <xf numFmtId="164" fontId="0" fillId="0" borderId="1" xfId="2" applyNumberFormat="1" applyFont="1" applyBorder="1" applyAlignment="1" applyProtection="1">
      <alignment horizontal="center" vertical="center"/>
      <protection locked="0"/>
    </xf>
    <xf numFmtId="3" fontId="0" fillId="0" borderId="1" xfId="0" applyNumberFormat="1" applyBorder="1" applyProtection="1">
      <protection locked="0"/>
    </xf>
    <xf numFmtId="0" fontId="8" fillId="0" borderId="0" xfId="1" applyFont="1" applyProtection="1">
      <protection locked="0"/>
    </xf>
    <xf numFmtId="3" fontId="0" fillId="8" borderId="1" xfId="0" applyNumberFormat="1" applyFill="1" applyBorder="1" applyProtection="1">
      <protection locked="0"/>
    </xf>
    <xf numFmtId="0" fontId="17" fillId="9" borderId="2" xfId="1" applyFont="1" applyFill="1" applyBorder="1" applyAlignment="1" applyProtection="1">
      <alignment vertical="top"/>
      <protection locked="0"/>
    </xf>
    <xf numFmtId="0" fontId="1" fillId="9" borderId="3" xfId="1" applyFill="1" applyBorder="1" applyAlignment="1" applyProtection="1">
      <alignment vertical="top"/>
      <protection locked="0"/>
    </xf>
    <xf numFmtId="0" fontId="1" fillId="9" borderId="4" xfId="1" applyFill="1" applyBorder="1" applyAlignment="1" applyProtection="1">
      <alignment vertical="top"/>
      <protection locked="0"/>
    </xf>
    <xf numFmtId="0" fontId="4" fillId="12" borderId="1" xfId="1" applyFont="1" applyFill="1" applyBorder="1" applyAlignment="1">
      <alignment horizontal="center" vertical="center"/>
    </xf>
    <xf numFmtId="0" fontId="1" fillId="0" borderId="1" xfId="1" applyBorder="1" applyAlignment="1">
      <alignment horizontal="center" vertical="center"/>
    </xf>
    <xf numFmtId="44" fontId="0" fillId="0" borderId="1" xfId="3" applyFont="1" applyBorder="1" applyAlignment="1" applyProtection="1">
      <alignment horizontal="center" vertical="center"/>
    </xf>
    <xf numFmtId="165" fontId="0" fillId="0" borderId="1" xfId="4" applyNumberFormat="1" applyFont="1" applyBorder="1" applyAlignment="1" applyProtection="1">
      <alignment horizontal="center" vertical="center"/>
    </xf>
    <xf numFmtId="0" fontId="1" fillId="5" borderId="0" xfId="1" applyFill="1" applyAlignment="1">
      <alignment horizontal="left" vertical="top"/>
    </xf>
    <xf numFmtId="0" fontId="1" fillId="0" borderId="0" xfId="1" applyAlignment="1">
      <alignment horizontal="center" vertical="center"/>
    </xf>
    <xf numFmtId="44" fontId="0" fillId="0" borderId="0" xfId="3" applyFont="1" applyBorder="1" applyAlignment="1" applyProtection="1">
      <alignment horizontal="center" vertical="center"/>
    </xf>
    <xf numFmtId="165" fontId="0" fillId="0" borderId="0" xfId="4" applyNumberFormat="1" applyFont="1" applyBorder="1" applyAlignment="1" applyProtection="1">
      <alignment horizontal="center" vertical="center"/>
    </xf>
    <xf numFmtId="0" fontId="1" fillId="13" borderId="0" xfId="1" applyFill="1" applyProtection="1">
      <protection locked="0"/>
    </xf>
    <xf numFmtId="0" fontId="8" fillId="13" borderId="0" xfId="1" applyFont="1" applyFill="1" applyProtection="1">
      <protection locked="0"/>
    </xf>
    <xf numFmtId="0" fontId="4" fillId="0" borderId="0" xfId="1" applyFont="1" applyAlignment="1" applyProtection="1">
      <alignment horizontal="right" vertical="center"/>
      <protection locked="0"/>
    </xf>
    <xf numFmtId="0" fontId="19" fillId="5" borderId="0" xfId="1" applyFont="1" applyFill="1" applyAlignment="1" applyProtection="1">
      <alignment vertical="top"/>
      <protection locked="0"/>
    </xf>
    <xf numFmtId="164" fontId="4" fillId="5" borderId="1" xfId="2" applyNumberFormat="1" applyFont="1" applyFill="1" applyBorder="1" applyAlignment="1" applyProtection="1">
      <alignment horizontal="center" vertical="center"/>
      <protection locked="0"/>
    </xf>
    <xf numFmtId="0" fontId="4" fillId="0" borderId="0" xfId="1" applyFont="1" applyProtection="1">
      <protection locked="0"/>
    </xf>
    <xf numFmtId="0" fontId="9" fillId="5" borderId="0" xfId="1" applyFont="1" applyFill="1" applyAlignment="1" applyProtection="1">
      <alignment vertical="center"/>
      <protection locked="0"/>
    </xf>
    <xf numFmtId="0" fontId="4" fillId="0" borderId="0" xfId="1" applyFont="1" applyAlignment="1" applyProtection="1">
      <alignment horizontal="left"/>
      <protection locked="0"/>
    </xf>
    <xf numFmtId="0" fontId="4" fillId="0" borderId="0" xfId="1" applyFont="1" applyAlignment="1" applyProtection="1">
      <alignment horizontal="center"/>
      <protection locked="0"/>
    </xf>
    <xf numFmtId="0" fontId="9" fillId="0" borderId="0" xfId="1" applyFont="1" applyAlignment="1" applyProtection="1">
      <alignment horizontal="center"/>
      <protection locked="0"/>
    </xf>
    <xf numFmtId="166" fontId="4" fillId="5" borderId="1" xfId="4" applyNumberFormat="1" applyFont="1" applyFill="1" applyBorder="1" applyProtection="1">
      <protection locked="0"/>
    </xf>
    <xf numFmtId="0" fontId="1" fillId="0" borderId="0" xfId="1" applyAlignment="1">
      <alignment vertical="top"/>
    </xf>
    <xf numFmtId="0" fontId="4" fillId="0" borderId="14" xfId="1" applyFont="1" applyBorder="1" applyAlignment="1" applyProtection="1">
      <alignment horizontal="center"/>
      <protection locked="0"/>
    </xf>
    <xf numFmtId="0" fontId="4" fillId="0" borderId="9" xfId="1" applyFont="1" applyBorder="1" applyAlignment="1" applyProtection="1">
      <alignment horizontal="center"/>
      <protection locked="0"/>
    </xf>
    <xf numFmtId="0" fontId="4" fillId="0" borderId="7" xfId="1" applyFont="1" applyBorder="1" applyAlignment="1" applyProtection="1">
      <alignment horizontal="center"/>
      <protection locked="0"/>
    </xf>
    <xf numFmtId="0" fontId="4" fillId="0" borderId="13" xfId="1" quotePrefix="1" applyFont="1" applyBorder="1" applyAlignment="1" applyProtection="1">
      <alignment horizontal="center"/>
      <protection locked="0"/>
    </xf>
    <xf numFmtId="0" fontId="4" fillId="0" borderId="12" xfId="1" quotePrefix="1" applyFont="1" applyBorder="1" applyAlignment="1" applyProtection="1">
      <alignment horizontal="center"/>
      <protection locked="0"/>
    </xf>
    <xf numFmtId="0" fontId="8" fillId="5" borderId="0" xfId="1" applyFont="1" applyFill="1" applyProtection="1">
      <protection locked="0"/>
    </xf>
    <xf numFmtId="0" fontId="1" fillId="5" borderId="0" xfId="1" applyFill="1" applyAlignment="1" applyProtection="1">
      <alignment vertical="top"/>
      <protection locked="0"/>
    </xf>
    <xf numFmtId="44" fontId="4" fillId="5" borderId="15" xfId="3" applyFont="1" applyFill="1" applyBorder="1" applyAlignment="1" applyProtection="1">
      <alignment horizontal="left" vertical="center"/>
      <protection locked="0"/>
    </xf>
    <xf numFmtId="0" fontId="1" fillId="0" borderId="15" xfId="1" applyBorder="1" applyAlignment="1" applyProtection="1">
      <alignment vertical="center"/>
      <protection locked="0"/>
    </xf>
    <xf numFmtId="44" fontId="20" fillId="0" borderId="9" xfId="3" applyFont="1" applyBorder="1" applyAlignment="1" applyProtection="1">
      <alignment vertical="center"/>
      <protection locked="0"/>
    </xf>
    <xf numFmtId="44" fontId="21" fillId="5" borderId="15" xfId="3" applyFont="1" applyFill="1" applyBorder="1" applyAlignment="1" applyProtection="1">
      <alignment horizontal="left" vertical="center"/>
      <protection locked="0"/>
    </xf>
    <xf numFmtId="0" fontId="21" fillId="0" borderId="9" xfId="1" applyFont="1" applyBorder="1" applyAlignment="1" applyProtection="1">
      <alignment vertical="center"/>
      <protection locked="0"/>
    </xf>
    <xf numFmtId="44" fontId="21" fillId="0" borderId="9" xfId="3" applyFont="1" applyBorder="1" applyAlignment="1" applyProtection="1">
      <alignment vertical="center"/>
      <protection locked="0"/>
    </xf>
    <xf numFmtId="44" fontId="1" fillId="0" borderId="15" xfId="1" applyNumberFormat="1" applyBorder="1" applyAlignment="1" applyProtection="1">
      <alignment vertical="center"/>
      <protection locked="0"/>
    </xf>
    <xf numFmtId="10" fontId="20" fillId="0" borderId="9" xfId="4" applyNumberFormat="1" applyFont="1" applyBorder="1" applyAlignment="1" applyProtection="1">
      <alignment vertical="center"/>
      <protection locked="0"/>
    </xf>
    <xf numFmtId="167" fontId="4" fillId="5" borderId="15" xfId="3" applyNumberFormat="1" applyFont="1" applyFill="1" applyBorder="1" applyAlignment="1" applyProtection="1">
      <alignment horizontal="left" vertical="center"/>
      <protection locked="0"/>
    </xf>
    <xf numFmtId="167" fontId="21" fillId="5" borderId="15" xfId="3" applyNumberFormat="1" applyFont="1" applyFill="1" applyBorder="1" applyAlignment="1" applyProtection="1">
      <alignment horizontal="left" vertical="center"/>
      <protection locked="0"/>
    </xf>
    <xf numFmtId="0" fontId="21" fillId="0" borderId="15" xfId="1" applyFont="1" applyBorder="1" applyAlignment="1" applyProtection="1">
      <alignment vertical="center"/>
      <protection locked="0"/>
    </xf>
    <xf numFmtId="0" fontId="4" fillId="12" borderId="2" xfId="1" applyFont="1" applyFill="1" applyBorder="1" applyAlignment="1" applyProtection="1">
      <alignment vertical="top"/>
      <protection locked="0"/>
    </xf>
    <xf numFmtId="0" fontId="1" fillId="12" borderId="3" xfId="1" applyFill="1" applyBorder="1" applyAlignment="1" applyProtection="1">
      <alignment vertical="top"/>
      <protection locked="0"/>
    </xf>
    <xf numFmtId="167" fontId="4" fillId="12" borderId="1" xfId="3" applyNumberFormat="1" applyFont="1" applyFill="1" applyBorder="1" applyAlignment="1" applyProtection="1">
      <alignment horizontal="left" vertical="center"/>
      <protection locked="0"/>
    </xf>
    <xf numFmtId="0" fontId="4" fillId="12" borderId="1" xfId="1" applyFont="1" applyFill="1" applyBorder="1" applyAlignment="1" applyProtection="1">
      <alignment vertical="center"/>
      <protection locked="0"/>
    </xf>
    <xf numFmtId="44" fontId="22" fillId="12" borderId="4" xfId="3" applyFont="1" applyFill="1" applyBorder="1" applyAlignment="1" applyProtection="1">
      <alignment vertical="center"/>
      <protection locked="0"/>
    </xf>
    <xf numFmtId="167" fontId="23" fillId="12" borderId="1" xfId="3" applyNumberFormat="1" applyFont="1" applyFill="1" applyBorder="1" applyAlignment="1" applyProtection="1">
      <alignment horizontal="left" vertical="center"/>
      <protection locked="0"/>
    </xf>
    <xf numFmtId="0" fontId="4" fillId="12" borderId="4" xfId="1" applyFont="1" applyFill="1" applyBorder="1" applyAlignment="1" applyProtection="1">
      <alignment vertical="center"/>
      <protection locked="0"/>
    </xf>
    <xf numFmtId="44" fontId="4" fillId="12" borderId="1" xfId="1" applyNumberFormat="1" applyFont="1" applyFill="1" applyBorder="1" applyAlignment="1" applyProtection="1">
      <alignment vertical="center"/>
      <protection locked="0"/>
    </xf>
    <xf numFmtId="10" fontId="4" fillId="12" borderId="4" xfId="4" applyNumberFormat="1" applyFont="1" applyFill="1" applyBorder="1" applyAlignment="1" applyProtection="1">
      <alignment vertical="center"/>
      <protection locked="0"/>
    </xf>
    <xf numFmtId="0" fontId="1" fillId="0" borderId="0" xfId="1" applyAlignment="1">
      <alignment vertical="top" wrapText="1"/>
    </xf>
    <xf numFmtId="164" fontId="1" fillId="3" borderId="15" xfId="2" applyNumberFormat="1" applyFont="1" applyFill="1" applyBorder="1" applyAlignment="1" applyProtection="1">
      <alignment vertical="center"/>
      <protection locked="0"/>
    </xf>
    <xf numFmtId="164" fontId="21" fillId="3" borderId="15" xfId="2" applyNumberFormat="1" applyFont="1" applyFill="1" applyBorder="1" applyAlignment="1" applyProtection="1">
      <alignment vertical="center"/>
      <protection locked="0"/>
    </xf>
    <xf numFmtId="164" fontId="1" fillId="0" borderId="15" xfId="2" applyNumberFormat="1" applyFont="1" applyFill="1" applyBorder="1" applyAlignment="1" applyProtection="1">
      <alignment vertical="center"/>
      <protection locked="0"/>
    </xf>
    <xf numFmtId="164" fontId="21" fillId="0" borderId="15" xfId="2" applyNumberFormat="1" applyFont="1" applyFill="1" applyBorder="1" applyAlignment="1" applyProtection="1">
      <alignment vertical="center"/>
      <protection locked="0"/>
    </xf>
    <xf numFmtId="168" fontId="4" fillId="5" borderId="15" xfId="3" applyNumberFormat="1" applyFont="1" applyFill="1" applyBorder="1" applyAlignment="1" applyProtection="1">
      <alignment horizontal="left" vertical="center"/>
      <protection locked="0"/>
    </xf>
    <xf numFmtId="168" fontId="21" fillId="5" borderId="15" xfId="3" applyNumberFormat="1" applyFont="1" applyFill="1" applyBorder="1" applyAlignment="1" applyProtection="1">
      <alignment horizontal="left" vertical="center"/>
      <protection locked="0"/>
    </xf>
    <xf numFmtId="0" fontId="4" fillId="12" borderId="2" xfId="1" applyFont="1" applyFill="1" applyBorder="1" applyAlignment="1" applyProtection="1">
      <alignment vertical="top" wrapText="1"/>
      <protection locked="0"/>
    </xf>
    <xf numFmtId="0" fontId="1" fillId="12" borderId="3" xfId="1" applyFill="1" applyBorder="1" applyProtection="1">
      <protection locked="0"/>
    </xf>
    <xf numFmtId="0" fontId="4" fillId="12" borderId="1" xfId="1" applyFont="1" applyFill="1" applyBorder="1" applyAlignment="1" applyProtection="1">
      <alignment horizontal="left" vertical="center"/>
      <protection locked="0"/>
    </xf>
    <xf numFmtId="0" fontId="1" fillId="12" borderId="1" xfId="1" applyFill="1" applyBorder="1" applyAlignment="1" applyProtection="1">
      <alignment vertical="center"/>
      <protection locked="0"/>
    </xf>
    <xf numFmtId="44" fontId="4" fillId="12" borderId="4" xfId="1" applyNumberFormat="1" applyFont="1" applyFill="1" applyBorder="1" applyAlignment="1" applyProtection="1">
      <alignment vertical="center"/>
      <protection locked="0"/>
    </xf>
    <xf numFmtId="0" fontId="23" fillId="12" borderId="1" xfId="1" applyFont="1" applyFill="1" applyBorder="1" applyAlignment="1" applyProtection="1">
      <alignment horizontal="left" vertical="center"/>
      <protection locked="0"/>
    </xf>
    <xf numFmtId="0" fontId="1" fillId="12" borderId="4" xfId="1" applyFill="1" applyBorder="1" applyAlignment="1" applyProtection="1">
      <alignment vertical="center"/>
      <protection locked="0"/>
    </xf>
    <xf numFmtId="0" fontId="1" fillId="0" borderId="0" xfId="1" applyAlignment="1">
      <alignment vertical="center"/>
    </xf>
    <xf numFmtId="167" fontId="23" fillId="5" borderId="15" xfId="3" applyNumberFormat="1" applyFont="1" applyFill="1" applyBorder="1" applyAlignment="1" applyProtection="1">
      <alignment horizontal="left" vertical="center"/>
      <protection locked="0"/>
    </xf>
    <xf numFmtId="0" fontId="1" fillId="0" borderId="11" xfId="1" applyBorder="1" applyAlignment="1">
      <alignment vertical="center" wrapText="1"/>
    </xf>
    <xf numFmtId="0" fontId="1" fillId="0" borderId="0" xfId="1" applyAlignment="1" applyProtection="1">
      <alignment vertical="top" wrapText="1"/>
      <protection locked="0"/>
    </xf>
    <xf numFmtId="44" fontId="1" fillId="0" borderId="9" xfId="3" applyFont="1" applyBorder="1" applyAlignment="1" applyProtection="1">
      <alignment vertical="center"/>
      <protection locked="0"/>
    </xf>
    <xf numFmtId="0" fontId="1" fillId="0" borderId="0" xfId="1" applyAlignment="1" applyProtection="1">
      <alignment vertical="top"/>
      <protection locked="0"/>
    </xf>
    <xf numFmtId="167" fontId="4" fillId="0" borderId="15" xfId="3" applyNumberFormat="1" applyFont="1" applyFill="1" applyBorder="1" applyAlignment="1" applyProtection="1">
      <alignment horizontal="left" vertical="center"/>
      <protection locked="0"/>
    </xf>
    <xf numFmtId="164" fontId="1" fillId="5" borderId="15" xfId="2" applyNumberFormat="1" applyFont="1" applyFill="1" applyBorder="1" applyAlignment="1" applyProtection="1">
      <alignment vertical="center"/>
      <protection locked="0"/>
    </xf>
    <xf numFmtId="167" fontId="21" fillId="0" borderId="15" xfId="3" applyNumberFormat="1" applyFont="1" applyFill="1" applyBorder="1" applyAlignment="1" applyProtection="1">
      <alignment horizontal="left" vertical="center"/>
      <protection locked="0"/>
    </xf>
    <xf numFmtId="164" fontId="21" fillId="5" borderId="15" xfId="2" applyNumberFormat="1" applyFont="1" applyFill="1" applyBorder="1" applyAlignment="1" applyProtection="1">
      <alignment vertical="center"/>
      <protection locked="0"/>
    </xf>
    <xf numFmtId="167" fontId="4" fillId="14" borderId="15" xfId="3" applyNumberFormat="1" applyFont="1" applyFill="1" applyBorder="1" applyAlignment="1" applyProtection="1">
      <alignment horizontal="left" vertical="center"/>
      <protection locked="0"/>
    </xf>
    <xf numFmtId="167" fontId="21" fillId="14" borderId="15" xfId="3" applyNumberFormat="1" applyFont="1" applyFill="1" applyBorder="1" applyAlignment="1" applyProtection="1">
      <alignment horizontal="left" vertical="center"/>
      <protection locked="0"/>
    </xf>
    <xf numFmtId="0" fontId="1" fillId="15" borderId="16" xfId="1" applyFill="1" applyBorder="1" applyProtection="1">
      <protection locked="0"/>
    </xf>
    <xf numFmtId="0" fontId="1" fillId="15" borderId="17" xfId="1" applyFill="1" applyBorder="1" applyAlignment="1" applyProtection="1">
      <alignment vertical="top"/>
      <protection locked="0"/>
    </xf>
    <xf numFmtId="167" fontId="1" fillId="15" borderId="18" xfId="3" applyNumberFormat="1" applyFont="1" applyFill="1" applyBorder="1" applyAlignment="1" applyProtection="1">
      <alignment vertical="top"/>
      <protection locked="0"/>
    </xf>
    <xf numFmtId="0" fontId="1" fillId="15" borderId="19" xfId="1" applyFill="1" applyBorder="1" applyAlignment="1" applyProtection="1">
      <alignment vertical="center"/>
      <protection locked="0"/>
    </xf>
    <xf numFmtId="44" fontId="1" fillId="15" borderId="17" xfId="3" applyFont="1" applyFill="1" applyBorder="1" applyAlignment="1" applyProtection="1">
      <alignment vertical="center"/>
      <protection locked="0"/>
    </xf>
    <xf numFmtId="0" fontId="1" fillId="15" borderId="18" xfId="1" applyFill="1" applyBorder="1" applyAlignment="1" applyProtection="1">
      <alignment vertical="center"/>
      <protection locked="0"/>
    </xf>
    <xf numFmtId="44" fontId="1" fillId="15" borderId="18" xfId="1" applyNumberFormat="1" applyFill="1" applyBorder="1" applyAlignment="1" applyProtection="1">
      <alignment vertical="center"/>
      <protection locked="0"/>
    </xf>
    <xf numFmtId="10" fontId="1" fillId="15" borderId="20" xfId="4" applyNumberFormat="1" applyFont="1" applyFill="1" applyBorder="1" applyAlignment="1" applyProtection="1">
      <alignment vertical="center"/>
      <protection locked="0"/>
    </xf>
    <xf numFmtId="0" fontId="4" fillId="0" borderId="0" xfId="1" applyFont="1" applyAlignment="1" applyProtection="1">
      <alignment vertical="top"/>
      <protection locked="0"/>
    </xf>
    <xf numFmtId="9" fontId="1" fillId="0" borderId="15" xfId="1" applyNumberFormat="1" applyBorder="1" applyAlignment="1" applyProtection="1">
      <alignment vertical="top"/>
      <protection locked="0"/>
    </xf>
    <xf numFmtId="9" fontId="1" fillId="0" borderId="0" xfId="1" applyNumberFormat="1" applyAlignment="1" applyProtection="1">
      <alignment vertical="center"/>
      <protection locked="0"/>
    </xf>
    <xf numFmtId="44" fontId="4" fillId="0" borderId="8" xfId="1" applyNumberFormat="1" applyFont="1" applyBorder="1" applyAlignment="1" applyProtection="1">
      <alignment vertical="center"/>
      <protection locked="0"/>
    </xf>
    <xf numFmtId="9" fontId="4" fillId="0" borderId="15" xfId="1" applyNumberFormat="1" applyFont="1" applyBorder="1" applyAlignment="1" applyProtection="1">
      <alignment vertical="center"/>
      <protection locked="0"/>
    </xf>
    <xf numFmtId="44" fontId="4" fillId="0" borderId="15" xfId="1" applyNumberFormat="1" applyFont="1" applyBorder="1" applyAlignment="1" applyProtection="1">
      <alignment vertical="center"/>
      <protection locked="0"/>
    </xf>
    <xf numFmtId="10" fontId="4" fillId="0" borderId="9" xfId="4" applyNumberFormat="1" applyFont="1" applyFill="1" applyBorder="1" applyAlignment="1" applyProtection="1">
      <alignment vertical="center"/>
      <protection locked="0"/>
    </xf>
    <xf numFmtId="0" fontId="1" fillId="0" borderId="0" xfId="1" applyAlignment="1" applyProtection="1">
      <alignment horizontal="left" vertical="top" indent="1"/>
      <protection locked="0"/>
    </xf>
    <xf numFmtId="0" fontId="1" fillId="0" borderId="0" xfId="1" applyAlignment="1" applyProtection="1">
      <alignment vertical="center"/>
      <protection locked="0"/>
    </xf>
    <xf numFmtId="44" fontId="1" fillId="0" borderId="8" xfId="1" applyNumberFormat="1" applyBorder="1" applyAlignment="1" applyProtection="1">
      <alignment vertical="center"/>
      <protection locked="0"/>
    </xf>
    <xf numFmtId="9" fontId="1" fillId="0" borderId="15" xfId="1" applyNumberFormat="1" applyBorder="1" applyAlignment="1" applyProtection="1">
      <alignment vertical="center"/>
      <protection locked="0"/>
    </xf>
    <xf numFmtId="10" fontId="1" fillId="0" borderId="9" xfId="4" applyNumberFormat="1" applyFont="1" applyFill="1" applyBorder="1" applyAlignment="1" applyProtection="1">
      <alignment vertical="center"/>
      <protection locked="0"/>
    </xf>
    <xf numFmtId="165" fontId="1" fillId="0" borderId="15" xfId="1" applyNumberFormat="1" applyBorder="1" applyAlignment="1" applyProtection="1">
      <alignment vertical="top"/>
      <protection locked="0"/>
    </xf>
    <xf numFmtId="0" fontId="1" fillId="16" borderId="13" xfId="1" applyFill="1" applyBorder="1" applyAlignment="1" applyProtection="1">
      <alignment vertical="top"/>
      <protection locked="0"/>
    </xf>
    <xf numFmtId="0" fontId="1" fillId="16" borderId="11" xfId="1" applyFill="1" applyBorder="1" applyAlignment="1" applyProtection="1">
      <alignment vertical="center"/>
      <protection locked="0"/>
    </xf>
    <xf numFmtId="44" fontId="4" fillId="16" borderId="8" xfId="1" applyNumberFormat="1" applyFont="1" applyFill="1" applyBorder="1" applyAlignment="1" applyProtection="1">
      <alignment vertical="center"/>
      <protection locked="0"/>
    </xf>
    <xf numFmtId="0" fontId="4" fillId="16" borderId="13" xfId="1" applyFont="1" applyFill="1" applyBorder="1" applyAlignment="1" applyProtection="1">
      <alignment vertical="center"/>
      <protection locked="0"/>
    </xf>
    <xf numFmtId="44" fontId="4" fillId="16" borderId="10" xfId="1" applyNumberFormat="1" applyFont="1" applyFill="1" applyBorder="1" applyAlignment="1" applyProtection="1">
      <alignment vertical="center"/>
      <protection locked="0"/>
    </xf>
    <xf numFmtId="44" fontId="4" fillId="16" borderId="13" xfId="1" applyNumberFormat="1" applyFont="1" applyFill="1" applyBorder="1" applyAlignment="1" applyProtection="1">
      <alignment vertical="center"/>
      <protection locked="0"/>
    </xf>
    <xf numFmtId="10" fontId="4" fillId="16" borderId="12" xfId="4" applyNumberFormat="1" applyFont="1" applyFill="1" applyBorder="1" applyAlignment="1" applyProtection="1">
      <alignment vertical="center"/>
      <protection locked="0"/>
    </xf>
    <xf numFmtId="0" fontId="1" fillId="16" borderId="15" xfId="1" applyFill="1" applyBorder="1" applyAlignment="1" applyProtection="1">
      <alignment vertical="top"/>
      <protection locked="0"/>
    </xf>
    <xf numFmtId="0" fontId="1" fillId="16" borderId="0" xfId="1" applyFill="1" applyAlignment="1" applyProtection="1">
      <alignment vertical="center"/>
      <protection locked="0"/>
    </xf>
    <xf numFmtId="0" fontId="4" fillId="16" borderId="15" xfId="1" applyFont="1" applyFill="1" applyBorder="1" applyAlignment="1" applyProtection="1">
      <alignment vertical="center"/>
      <protection locked="0"/>
    </xf>
    <xf numFmtId="44" fontId="4" fillId="16" borderId="15" xfId="1" applyNumberFormat="1" applyFont="1" applyFill="1" applyBorder="1" applyAlignment="1" applyProtection="1">
      <alignment vertical="center"/>
      <protection locked="0"/>
    </xf>
    <xf numFmtId="10" fontId="4" fillId="16" borderId="9" xfId="4" applyNumberFormat="1" applyFont="1" applyFill="1" applyBorder="1" applyAlignment="1" applyProtection="1">
      <alignment vertical="center"/>
      <protection locked="0"/>
    </xf>
    <xf numFmtId="167" fontId="1" fillId="15" borderId="19" xfId="3" applyNumberFormat="1" applyFont="1" applyFill="1" applyBorder="1" applyAlignment="1" applyProtection="1">
      <alignment vertical="top"/>
      <protection locked="0"/>
    </xf>
    <xf numFmtId="0" fontId="1" fillId="15" borderId="17" xfId="1" applyFill="1" applyBorder="1" applyAlignment="1" applyProtection="1">
      <alignment vertical="center"/>
      <protection locked="0"/>
    </xf>
    <xf numFmtId="44" fontId="1" fillId="15" borderId="21" xfId="3" applyFont="1" applyFill="1" applyBorder="1" applyAlignment="1" applyProtection="1">
      <alignment vertical="center"/>
      <protection locked="0"/>
    </xf>
    <xf numFmtId="44" fontId="1" fillId="15" borderId="19" xfId="1" applyNumberFormat="1" applyFill="1" applyBorder="1" applyAlignment="1" applyProtection="1">
      <alignment vertical="center"/>
      <protection locked="0"/>
    </xf>
    <xf numFmtId="167" fontId="1" fillId="15" borderId="19" xfId="3" applyNumberFormat="1" applyFill="1" applyBorder="1" applyAlignment="1" applyProtection="1">
      <alignment vertical="top"/>
      <protection locked="0"/>
    </xf>
    <xf numFmtId="44" fontId="1" fillId="15" borderId="21" xfId="3" applyFill="1" applyBorder="1" applyAlignment="1" applyProtection="1">
      <alignment vertical="center"/>
      <protection locked="0"/>
    </xf>
    <xf numFmtId="10" fontId="1" fillId="15" borderId="20" xfId="4" applyNumberFormat="1" applyFill="1" applyBorder="1" applyAlignment="1" applyProtection="1">
      <alignment vertical="center"/>
      <protection locked="0"/>
    </xf>
    <xf numFmtId="168" fontId="4" fillId="17" borderId="15" xfId="3" applyNumberFormat="1" applyFont="1" applyFill="1" applyBorder="1" applyAlignment="1" applyProtection="1">
      <alignment horizontal="left" vertical="center"/>
      <protection locked="0"/>
    </xf>
    <xf numFmtId="0" fontId="1" fillId="17" borderId="15" xfId="1" applyFill="1" applyBorder="1" applyAlignment="1" applyProtection="1">
      <alignment vertical="center"/>
      <protection locked="0"/>
    </xf>
    <xf numFmtId="44" fontId="1" fillId="17" borderId="9" xfId="3" applyFont="1" applyFill="1" applyBorder="1" applyAlignment="1" applyProtection="1">
      <alignment vertical="center"/>
      <protection locked="0"/>
    </xf>
    <xf numFmtId="168" fontId="21" fillId="17" borderId="15" xfId="3" applyNumberFormat="1" applyFont="1" applyFill="1" applyBorder="1" applyAlignment="1" applyProtection="1">
      <alignment horizontal="left" vertical="center"/>
      <protection locked="0"/>
    </xf>
    <xf numFmtId="0" fontId="21" fillId="17" borderId="9" xfId="1" applyFont="1" applyFill="1" applyBorder="1" applyAlignment="1" applyProtection="1">
      <alignment vertical="center"/>
      <protection locked="0"/>
    </xf>
    <xf numFmtId="44" fontId="21" fillId="17" borderId="9" xfId="3" applyFont="1" applyFill="1" applyBorder="1" applyAlignment="1" applyProtection="1">
      <alignment vertical="center"/>
      <protection locked="0"/>
    </xf>
    <xf numFmtId="44" fontId="1" fillId="17" borderId="15" xfId="1" applyNumberFormat="1" applyFill="1" applyBorder="1" applyAlignment="1" applyProtection="1">
      <alignment vertical="center"/>
      <protection locked="0"/>
    </xf>
    <xf numFmtId="10" fontId="20" fillId="17" borderId="9" xfId="4" applyNumberFormat="1" applyFont="1" applyFill="1" applyBorder="1" applyAlignment="1" applyProtection="1">
      <alignment vertical="center"/>
      <protection locked="0"/>
    </xf>
    <xf numFmtId="0" fontId="4" fillId="10" borderId="1" xfId="1" applyFont="1" applyFill="1" applyBorder="1" applyAlignment="1">
      <alignment horizontal="center" vertical="center"/>
    </xf>
    <xf numFmtId="0" fontId="4" fillId="11" borderId="1" xfId="1" applyFont="1" applyFill="1" applyBorder="1" applyAlignment="1">
      <alignment horizontal="center" vertical="center"/>
    </xf>
    <xf numFmtId="0" fontId="7" fillId="2" borderId="0" xfId="1" applyFont="1" applyFill="1" applyAlignment="1">
      <alignment horizontal="left" indent="7"/>
    </xf>
    <xf numFmtId="0" fontId="10" fillId="0" borderId="0" xfId="1" applyFont="1" applyAlignment="1">
      <alignment horizontal="center"/>
    </xf>
    <xf numFmtId="0" fontId="11" fillId="0" borderId="0" xfId="1" applyFont="1" applyAlignment="1">
      <alignment horizontal="left" vertical="top" wrapText="1"/>
    </xf>
    <xf numFmtId="0" fontId="4" fillId="0" borderId="2" xfId="1" applyFont="1" applyBorder="1" applyAlignment="1">
      <alignment horizontal="left" vertical="center" wrapText="1"/>
    </xf>
    <xf numFmtId="0" fontId="4" fillId="0" borderId="3" xfId="1" applyFont="1" applyBorder="1" applyAlignment="1">
      <alignment horizontal="left" vertical="center"/>
    </xf>
    <xf numFmtId="0" fontId="4" fillId="0" borderId="4" xfId="1" applyFont="1" applyBorder="1" applyAlignment="1">
      <alignment horizontal="left" vertical="center"/>
    </xf>
    <xf numFmtId="0" fontId="1" fillId="5" borderId="1" xfId="1" applyFill="1" applyBorder="1" applyAlignment="1">
      <alignment horizontal="left" vertical="top"/>
    </xf>
    <xf numFmtId="0" fontId="4" fillId="0" borderId="5" xfId="1" applyFont="1" applyBorder="1" applyAlignment="1">
      <alignment horizontal="left" vertical="center" wrapText="1"/>
    </xf>
    <xf numFmtId="0" fontId="4" fillId="0" borderId="6"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left" vertical="center"/>
    </xf>
    <xf numFmtId="0" fontId="4" fillId="0" borderId="0" xfId="1" applyFont="1" applyAlignment="1">
      <alignment horizontal="left" vertical="center"/>
    </xf>
    <xf numFmtId="0" fontId="4" fillId="0" borderId="9" xfId="1" applyFont="1" applyBorder="1" applyAlignment="1">
      <alignment horizontal="left" vertical="center"/>
    </xf>
    <xf numFmtId="0" fontId="4" fillId="0" borderId="10" xfId="1" applyFont="1" applyBorder="1" applyAlignment="1">
      <alignment horizontal="left" vertical="center"/>
    </xf>
    <xf numFmtId="0" fontId="4" fillId="0" borderId="11" xfId="1" applyFont="1" applyBorder="1" applyAlignment="1">
      <alignment horizontal="left" vertical="center"/>
    </xf>
    <xf numFmtId="0" fontId="4" fillId="0" borderId="12" xfId="1" applyFont="1" applyBorder="1" applyAlignment="1">
      <alignment horizontal="left" vertical="center"/>
    </xf>
    <xf numFmtId="0" fontId="4" fillId="0" borderId="1" xfId="1" applyFont="1" applyBorder="1" applyAlignment="1">
      <alignment horizontal="center" vertical="center"/>
    </xf>
    <xf numFmtId="0" fontId="18" fillId="5" borderId="1" xfId="1" applyFont="1" applyFill="1" applyBorder="1" applyAlignment="1" applyProtection="1">
      <alignment horizontal="left" vertical="top"/>
      <protection locked="0"/>
    </xf>
    <xf numFmtId="0" fontId="4" fillId="5" borderId="13" xfId="1" applyFont="1" applyFill="1" applyBorder="1" applyAlignment="1" applyProtection="1">
      <alignment horizontal="left" vertical="top"/>
      <protection locked="0"/>
    </xf>
    <xf numFmtId="0" fontId="4" fillId="0" borderId="2" xfId="1" applyFont="1" applyBorder="1" applyAlignment="1" applyProtection="1">
      <alignment horizontal="center"/>
      <protection locked="0"/>
    </xf>
    <xf numFmtId="0" fontId="4" fillId="0" borderId="3" xfId="1" applyFont="1" applyBorder="1" applyAlignment="1" applyProtection="1">
      <alignment horizontal="center"/>
      <protection locked="0"/>
    </xf>
    <xf numFmtId="0" fontId="4" fillId="0" borderId="4" xfId="1" applyFont="1" applyBorder="1" applyAlignment="1" applyProtection="1">
      <alignment horizontal="center"/>
      <protection locked="0"/>
    </xf>
    <xf numFmtId="0" fontId="4" fillId="16" borderId="0" xfId="1" applyFont="1" applyFill="1" applyAlignment="1" applyProtection="1">
      <alignment horizontal="left" vertical="top" wrapText="1"/>
      <protection locked="0"/>
    </xf>
    <xf numFmtId="0" fontId="4" fillId="5" borderId="0" xfId="1" applyFont="1" applyFill="1" applyAlignment="1" applyProtection="1">
      <alignment horizontal="center" wrapText="1"/>
      <protection locked="0"/>
    </xf>
    <xf numFmtId="0" fontId="1" fillId="5" borderId="0" xfId="1" applyFill="1" applyAlignment="1" applyProtection="1">
      <alignment horizontal="center" wrapText="1"/>
      <protection locked="0"/>
    </xf>
    <xf numFmtId="0" fontId="4" fillId="0" borderId="15" xfId="1" applyFont="1" applyBorder="1" applyAlignment="1" applyProtection="1">
      <alignment horizontal="center" wrapText="1"/>
      <protection locked="0"/>
    </xf>
    <xf numFmtId="0" fontId="1" fillId="0" borderId="13" xfId="1" applyBorder="1" applyAlignment="1" applyProtection="1">
      <alignment wrapText="1"/>
      <protection locked="0"/>
    </xf>
    <xf numFmtId="0" fontId="4" fillId="0" borderId="9" xfId="1" applyFont="1" applyBorder="1" applyAlignment="1" applyProtection="1">
      <alignment horizontal="center" wrapText="1"/>
      <protection locked="0"/>
    </xf>
    <xf numFmtId="0" fontId="1" fillId="0" borderId="12" xfId="1" applyBorder="1" applyAlignment="1" applyProtection="1">
      <alignment wrapText="1"/>
      <protection locked="0"/>
    </xf>
  </cellXfs>
  <cellStyles count="5">
    <cellStyle name="Comma 4" xfId="2" xr:uid="{84CABBB6-E9BA-4302-B913-120C76B3B7CE}"/>
    <cellStyle name="Currency 2" xfId="3" xr:uid="{260283F5-D11E-470B-9077-BC83CB49FD83}"/>
    <cellStyle name="Normal" xfId="0" builtinId="0"/>
    <cellStyle name="Normal 2" xfId="1" xr:uid="{FA3FBCAB-6666-443D-BDFB-EA31DFEC1263}"/>
    <cellStyle name="Percent 2" xfId="4" xr:uid="{71DBA5C2-07A8-4A00-B47B-8070769E4516}"/>
  </cellStyles>
  <dxfs count="3">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28575</xdr:colOff>
      <xdr:row>0</xdr:row>
      <xdr:rowOff>57150</xdr:rowOff>
    </xdr:from>
    <xdr:to>
      <xdr:col>13</xdr:col>
      <xdr:colOff>1438275</xdr:colOff>
      <xdr:row>8</xdr:row>
      <xdr:rowOff>1884</xdr:rowOff>
    </xdr:to>
    <xdr:pic>
      <xdr:nvPicPr>
        <xdr:cNvPr id="2" name="Picture 1">
          <a:extLst>
            <a:ext uri="{FF2B5EF4-FFF2-40B4-BE49-F238E27FC236}">
              <a16:creationId xmlns:a16="http://schemas.microsoft.com/office/drawing/2014/main" id="{8F1EF55D-D00B-4342-86FC-62F3954E844A}"/>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47875" y="57150"/>
          <a:ext cx="14097000" cy="1411584"/>
        </a:xfrm>
        <a:prstGeom prst="rect">
          <a:avLst/>
        </a:prstGeom>
        <a:ln>
          <a:noFill/>
        </a:ln>
        <a:effectLst>
          <a:softEdge rad="112500"/>
        </a:effectLst>
      </xdr:spPr>
    </xdr:pic>
    <xdr:clientData/>
  </xdr:twoCellAnchor>
  <xdr:twoCellAnchor>
    <xdr:from>
      <xdr:col>3</xdr:col>
      <xdr:colOff>1814300</xdr:colOff>
      <xdr:row>1</xdr:row>
      <xdr:rowOff>47154</xdr:rowOff>
    </xdr:from>
    <xdr:to>
      <xdr:col>12</xdr:col>
      <xdr:colOff>508335</xdr:colOff>
      <xdr:row>4</xdr:row>
      <xdr:rowOff>18168</xdr:rowOff>
    </xdr:to>
    <xdr:sp macro="" textlink="">
      <xdr:nvSpPr>
        <xdr:cNvPr id="3" name="Rectangle 2">
          <a:extLst>
            <a:ext uri="{FF2B5EF4-FFF2-40B4-BE49-F238E27FC236}">
              <a16:creationId xmlns:a16="http://schemas.microsoft.com/office/drawing/2014/main" id="{8778864A-1E76-4816-B054-2A90F1D4F6F3}"/>
            </a:ext>
          </a:extLst>
        </xdr:cNvPr>
        <xdr:cNvSpPr/>
      </xdr:nvSpPr>
      <xdr:spPr>
        <a:xfrm>
          <a:off x="4068550" y="339254"/>
          <a:ext cx="10047835" cy="63776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2024 Filers</a:t>
          </a:r>
        </a:p>
        <a:p>
          <a:pPr algn="ctr" rtl="0"/>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3</xdr:col>
      <xdr:colOff>16357</xdr:colOff>
      <xdr:row>1</xdr:row>
      <xdr:rowOff>6409</xdr:rowOff>
    </xdr:from>
    <xdr:to>
      <xdr:col>3</xdr:col>
      <xdr:colOff>407593</xdr:colOff>
      <xdr:row>3</xdr:row>
      <xdr:rowOff>20475</xdr:rowOff>
    </xdr:to>
    <xdr:pic>
      <xdr:nvPicPr>
        <xdr:cNvPr id="4" name="Picture 3">
          <a:extLst>
            <a:ext uri="{FF2B5EF4-FFF2-40B4-BE49-F238E27FC236}">
              <a16:creationId xmlns:a16="http://schemas.microsoft.com/office/drawing/2014/main" id="{D4A4F153-0A46-4789-AEB0-E8188BFAF5D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70607" y="298509"/>
          <a:ext cx="391236" cy="4585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358613</xdr:colOff>
      <xdr:row>0</xdr:row>
      <xdr:rowOff>165301</xdr:rowOff>
    </xdr:from>
    <xdr:to>
      <xdr:col>4</xdr:col>
      <xdr:colOff>640216</xdr:colOff>
      <xdr:row>2</xdr:row>
      <xdr:rowOff>135597</xdr:rowOff>
    </xdr:to>
    <xdr:sp macro="" textlink="">
      <xdr:nvSpPr>
        <xdr:cNvPr id="5" name="Rectangle 4">
          <a:extLst>
            <a:ext uri="{FF2B5EF4-FFF2-40B4-BE49-F238E27FC236}">
              <a16:creationId xmlns:a16="http://schemas.microsoft.com/office/drawing/2014/main" id="{04B04313-ECF0-46EB-8DB1-A768A6EFC673}"/>
            </a:ext>
          </a:extLst>
        </xdr:cNvPr>
        <xdr:cNvSpPr/>
      </xdr:nvSpPr>
      <xdr:spPr>
        <a:xfrm>
          <a:off x="2612863" y="165301"/>
          <a:ext cx="2707303" cy="484646"/>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9DE15-4112-4B1B-A296-5266A3723CDC}">
  <sheetPr>
    <tabColor rgb="FFFFFF00"/>
  </sheetPr>
  <dimension ref="A1:CA580"/>
  <sheetViews>
    <sheetView tabSelected="1" topLeftCell="C1" zoomScale="85" zoomScaleNormal="85" workbookViewId="0">
      <selection activeCell="C72" sqref="C72"/>
    </sheetView>
  </sheetViews>
  <sheetFormatPr defaultColWidth="9.26953125" defaultRowHeight="12.5" x14ac:dyDescent="0.25"/>
  <cols>
    <col min="1" max="1" width="17.1796875" style="14" hidden="1" customWidth="1"/>
    <col min="2" max="2" width="11.81640625" style="14" hidden="1" customWidth="1"/>
    <col min="3" max="3" width="3.453125" style="31" customWidth="1"/>
    <col min="4" max="4" width="34.7265625" style="14" customWidth="1"/>
    <col min="5" max="5" width="13.26953125" style="14" customWidth="1"/>
    <col min="6" max="6" width="26.7265625" style="14" customWidth="1"/>
    <col min="7" max="7" width="10.26953125" style="14" bestFit="1" customWidth="1"/>
    <col min="8" max="8" width="18.26953125" style="14" customWidth="1"/>
    <col min="9" max="9" width="12.7265625" style="14" customWidth="1"/>
    <col min="10" max="10" width="14.26953125" style="14" bestFit="1" customWidth="1"/>
    <col min="11" max="11" width="18.7265625" style="14" bestFit="1" customWidth="1"/>
    <col min="12" max="12" width="14.453125" style="14" bestFit="1" customWidth="1"/>
    <col min="13" max="13" width="15.7265625" style="14" customWidth="1"/>
    <col min="14" max="14" width="22.26953125" style="14" customWidth="1"/>
    <col min="15" max="15" width="14.453125" style="14" customWidth="1"/>
    <col min="16" max="16" width="3.7265625" style="14" customWidth="1"/>
    <col min="17" max="17" width="11.26953125" style="14" customWidth="1"/>
    <col min="18" max="19" width="9.26953125" style="14"/>
    <col min="20" max="20" width="9.26953125" style="14" hidden="1" customWidth="1"/>
    <col min="21" max="16384" width="9.26953125" style="14"/>
  </cols>
  <sheetData>
    <row r="1" spans="3:79" s="5" customFormat="1" ht="23" x14ac:dyDescent="0.3">
      <c r="C1" s="1"/>
      <c r="D1" s="2"/>
      <c r="E1" s="2"/>
      <c r="F1" s="2"/>
      <c r="G1" s="2"/>
      <c r="H1" s="2"/>
      <c r="I1" s="2"/>
      <c r="J1" s="2"/>
      <c r="K1" s="2"/>
      <c r="L1" s="3"/>
      <c r="M1" s="4"/>
      <c r="P1" s="6"/>
      <c r="AZ1" s="5" t="s">
        <v>0</v>
      </c>
      <c r="CA1" s="5">
        <v>1</v>
      </c>
    </row>
    <row r="2" spans="3:79" s="5" customFormat="1" ht="17.5" x14ac:dyDescent="0.35">
      <c r="C2" s="7"/>
      <c r="D2" s="8"/>
      <c r="E2" s="8"/>
      <c r="F2" s="8"/>
      <c r="G2" s="8"/>
      <c r="H2" s="8"/>
      <c r="I2" s="8"/>
      <c r="J2" s="8"/>
      <c r="K2" s="8"/>
      <c r="L2" s="3"/>
      <c r="M2" s="4"/>
      <c r="P2" s="6"/>
    </row>
    <row r="3" spans="3:79" s="5" customFormat="1" ht="17.5" x14ac:dyDescent="0.35">
      <c r="C3" s="159"/>
      <c r="D3" s="159"/>
      <c r="E3" s="159"/>
      <c r="F3" s="159"/>
      <c r="G3" s="159"/>
      <c r="H3" s="159"/>
      <c r="I3" s="159"/>
      <c r="J3" s="159"/>
      <c r="K3" s="159"/>
      <c r="L3" s="3"/>
      <c r="M3" s="4"/>
      <c r="P3" s="6"/>
    </row>
    <row r="4" spans="3:79" s="5" customFormat="1" ht="17.5" x14ac:dyDescent="0.35">
      <c r="C4" s="7"/>
      <c r="D4" s="8"/>
      <c r="E4" s="8"/>
      <c r="F4" s="8"/>
      <c r="G4" s="8"/>
      <c r="H4" s="8"/>
      <c r="I4" s="9"/>
      <c r="J4" s="9"/>
      <c r="K4" s="9"/>
      <c r="L4" s="3"/>
      <c r="M4" s="4"/>
      <c r="P4" s="6"/>
    </row>
    <row r="5" spans="3:79" s="5" customFormat="1" ht="15.5" x14ac:dyDescent="0.35">
      <c r="C5" s="10"/>
      <c r="E5" s="11"/>
      <c r="L5" s="3"/>
      <c r="M5" s="4"/>
      <c r="P5" s="6"/>
    </row>
    <row r="6" spans="3:79" s="5" customFormat="1" ht="13" x14ac:dyDescent="0.3">
      <c r="C6" s="10"/>
      <c r="L6" s="3"/>
      <c r="M6" s="4"/>
      <c r="P6" s="6"/>
    </row>
    <row r="7" spans="3:79" s="5" customFormat="1" ht="9.75" customHeight="1" x14ac:dyDescent="0.3">
      <c r="C7" s="10"/>
      <c r="L7" s="3"/>
      <c r="M7" s="4"/>
      <c r="P7" s="6"/>
    </row>
    <row r="8" spans="3:79" s="5" customFormat="1" ht="2.25" customHeight="1" x14ac:dyDescent="0.25">
      <c r="C8" s="10"/>
      <c r="M8" s="4"/>
      <c r="N8" s="6"/>
      <c r="O8" s="6"/>
      <c r="P8" s="6"/>
    </row>
    <row r="9" spans="3:79" s="6" customFormat="1" ht="2.25" customHeight="1" x14ac:dyDescent="0.25">
      <c r="C9" s="12"/>
    </row>
    <row r="10" spans="3:79" s="6" customFormat="1" ht="2.25" customHeight="1" x14ac:dyDescent="0.4">
      <c r="C10" s="12"/>
      <c r="D10" s="160"/>
      <c r="E10" s="160"/>
      <c r="F10" s="160"/>
      <c r="G10" s="160"/>
      <c r="H10" s="160"/>
      <c r="I10" s="160"/>
      <c r="J10" s="160"/>
      <c r="K10" s="160"/>
      <c r="L10" s="160"/>
      <c r="M10" s="160"/>
      <c r="N10" s="13"/>
      <c r="O10" s="13"/>
    </row>
    <row r="11" spans="3:79" s="6" customFormat="1" ht="2.25" customHeight="1" x14ac:dyDescent="0.4">
      <c r="C11" s="12"/>
      <c r="D11" s="160"/>
      <c r="E11" s="160"/>
      <c r="F11" s="160"/>
      <c r="G11" s="160"/>
      <c r="H11" s="160"/>
      <c r="I11" s="160"/>
      <c r="J11" s="160"/>
      <c r="K11" s="160"/>
      <c r="L11" s="160"/>
      <c r="M11" s="160"/>
      <c r="N11" s="160"/>
      <c r="O11" s="160"/>
    </row>
    <row r="12" spans="3:79" s="6" customFormat="1" ht="149.25" customHeight="1" x14ac:dyDescent="0.25">
      <c r="C12" s="12"/>
      <c r="D12" s="161" t="s">
        <v>1</v>
      </c>
      <c r="E12" s="161"/>
      <c r="F12" s="161"/>
      <c r="G12" s="161"/>
      <c r="H12" s="161"/>
      <c r="I12" s="161"/>
      <c r="J12" s="161"/>
      <c r="K12" s="161"/>
      <c r="L12" s="161"/>
      <c r="M12" s="161"/>
      <c r="N12" s="161"/>
      <c r="R12" s="14"/>
      <c r="S12" s="14"/>
      <c r="T12" s="14"/>
      <c r="U12" s="14"/>
      <c r="V12" s="14"/>
    </row>
    <row r="13" spans="3:79" s="6" customFormat="1" ht="13.5" customHeight="1" x14ac:dyDescent="0.25">
      <c r="C13" s="15"/>
      <c r="D13" s="6" t="s">
        <v>2</v>
      </c>
      <c r="R13" s="14"/>
      <c r="S13" s="14"/>
      <c r="T13" s="14"/>
      <c r="U13" s="14"/>
      <c r="V13" s="14"/>
    </row>
    <row r="14" spans="3:79" s="6" customFormat="1" x14ac:dyDescent="0.25">
      <c r="C14" s="12"/>
      <c r="R14" s="14"/>
      <c r="S14" s="14"/>
      <c r="T14" s="14"/>
      <c r="U14" s="14"/>
      <c r="V14" s="14"/>
    </row>
    <row r="15" spans="3:79" s="6" customFormat="1" ht="27.75" hidden="1" customHeight="1" x14ac:dyDescent="0.25">
      <c r="C15" s="12"/>
      <c r="R15" s="14"/>
      <c r="S15" s="14"/>
      <c r="T15" s="14"/>
      <c r="U15" s="14"/>
      <c r="V15" s="14"/>
    </row>
    <row r="16" spans="3:79" s="6" customFormat="1" hidden="1" x14ac:dyDescent="0.25">
      <c r="C16" s="12"/>
      <c r="R16" s="14"/>
      <c r="S16" s="14"/>
      <c r="T16" s="14"/>
      <c r="U16" s="14"/>
      <c r="V16" s="14"/>
    </row>
    <row r="17" spans="2:45" s="6" customFormat="1" hidden="1" x14ac:dyDescent="0.25">
      <c r="C17" s="12"/>
      <c r="R17" s="14"/>
      <c r="S17" s="14"/>
      <c r="T17" s="14"/>
      <c r="U17" s="14"/>
      <c r="V17" s="14"/>
    </row>
    <row r="18" spans="2:45" s="6" customFormat="1" hidden="1" x14ac:dyDescent="0.25">
      <c r="C18" s="12"/>
      <c r="R18" s="14"/>
      <c r="S18" s="14"/>
      <c r="T18" s="14"/>
      <c r="U18" s="14"/>
      <c r="V18" s="14"/>
    </row>
    <row r="19" spans="2:45" s="6" customFormat="1" hidden="1" x14ac:dyDescent="0.25">
      <c r="C19" s="12"/>
      <c r="R19" s="14"/>
      <c r="S19" s="14"/>
      <c r="T19" s="14"/>
      <c r="U19" s="14"/>
      <c r="V19" s="14"/>
    </row>
    <row r="20" spans="2:45" s="6" customFormat="1" hidden="1" x14ac:dyDescent="0.25">
      <c r="C20" s="12"/>
      <c r="R20" s="14"/>
      <c r="S20" s="14"/>
      <c r="T20" s="14"/>
      <c r="U20" s="14"/>
      <c r="V20" s="14"/>
    </row>
    <row r="21" spans="2:45" s="6" customFormat="1" hidden="1" x14ac:dyDescent="0.25">
      <c r="C21" s="12"/>
      <c r="R21" s="14"/>
      <c r="S21" s="14"/>
      <c r="T21" s="14"/>
      <c r="U21" s="14"/>
      <c r="V21" s="14"/>
    </row>
    <row r="22" spans="2:45" s="6" customFormat="1" hidden="1" x14ac:dyDescent="0.25">
      <c r="C22" s="12"/>
      <c r="R22" s="14"/>
      <c r="S22" s="14"/>
      <c r="T22" s="14"/>
      <c r="U22" s="14"/>
      <c r="V22" s="14"/>
    </row>
    <row r="23" spans="2:45" s="6" customFormat="1" hidden="1" x14ac:dyDescent="0.25">
      <c r="C23" s="12"/>
      <c r="R23" s="14"/>
      <c r="S23" s="14"/>
      <c r="T23" s="14"/>
      <c r="U23" s="14"/>
      <c r="V23" s="14"/>
    </row>
    <row r="24" spans="2:45" s="6" customFormat="1" hidden="1" x14ac:dyDescent="0.25">
      <c r="C24" s="12"/>
      <c r="R24" s="14"/>
      <c r="S24" s="14"/>
      <c r="T24" s="14"/>
      <c r="U24" s="14"/>
      <c r="V24" s="14"/>
    </row>
    <row r="25" spans="2:45" s="6" customFormat="1" hidden="1" x14ac:dyDescent="0.25">
      <c r="C25" s="12"/>
      <c r="R25" s="14"/>
      <c r="S25" s="14"/>
      <c r="T25" s="14"/>
      <c r="U25" s="14"/>
      <c r="V25" s="14"/>
    </row>
    <row r="26" spans="2:45" s="6" customFormat="1" hidden="1" x14ac:dyDescent="0.25">
      <c r="C26" s="12"/>
      <c r="R26" s="14"/>
      <c r="S26" s="14"/>
      <c r="T26" s="14"/>
      <c r="U26" s="14"/>
      <c r="V26" s="14"/>
    </row>
    <row r="27" spans="2:45" s="6" customFormat="1" hidden="1" x14ac:dyDescent="0.25">
      <c r="C27" s="12"/>
      <c r="R27" s="14"/>
      <c r="S27" s="14"/>
      <c r="T27" s="14"/>
      <c r="U27" s="14"/>
      <c r="V27" s="14"/>
    </row>
    <row r="28" spans="2:45" s="6" customFormat="1" ht="15.5" x14ac:dyDescent="0.35">
      <c r="C28" s="12"/>
      <c r="D28" s="16" t="s">
        <v>3</v>
      </c>
      <c r="R28" s="14"/>
      <c r="S28" s="14"/>
      <c r="T28" s="14"/>
      <c r="U28" s="14"/>
      <c r="V28" s="14"/>
    </row>
    <row r="29" spans="2:45" s="6" customFormat="1" ht="78" customHeight="1" x14ac:dyDescent="0.3">
      <c r="C29" s="12"/>
      <c r="D29" s="162" t="s">
        <v>4</v>
      </c>
      <c r="E29" s="163"/>
      <c r="F29" s="164"/>
      <c r="G29" s="17" t="s">
        <v>5</v>
      </c>
      <c r="H29" s="18" t="s">
        <v>6</v>
      </c>
      <c r="I29" s="18" t="s">
        <v>7</v>
      </c>
      <c r="J29" s="18" t="s">
        <v>8</v>
      </c>
      <c r="K29" s="18" t="s">
        <v>9</v>
      </c>
      <c r="L29" s="18" t="s">
        <v>10</v>
      </c>
      <c r="M29" s="19" t="s">
        <v>11</v>
      </c>
      <c r="N29" s="20" t="s">
        <v>12</v>
      </c>
      <c r="R29" s="14"/>
      <c r="S29" s="14"/>
      <c r="T29" s="14"/>
      <c r="U29" s="14"/>
      <c r="V29" s="14"/>
    </row>
    <row r="30" spans="2:45" s="6" customFormat="1" ht="14.5" x14ac:dyDescent="0.35">
      <c r="B30" s="6">
        <v>1</v>
      </c>
      <c r="C30" s="21">
        <v>1</v>
      </c>
      <c r="D30" s="22" t="s">
        <v>13</v>
      </c>
      <c r="E30" s="23"/>
      <c r="F30" s="24"/>
      <c r="G30" s="25" t="s">
        <v>14</v>
      </c>
      <c r="H30" s="26" t="s">
        <v>15</v>
      </c>
      <c r="I30" s="27">
        <v>1.0561</v>
      </c>
      <c r="J30" s="28">
        <f t="shared" ref="J30:J49" si="0">IF(ISBLANK(I30),"", I30)</f>
        <v>1.0561</v>
      </c>
      <c r="K30" s="29">
        <v>750</v>
      </c>
      <c r="L30" s="29"/>
      <c r="M30" s="26" t="s">
        <v>16</v>
      </c>
      <c r="N30" s="30"/>
      <c r="R30" s="14"/>
      <c r="S30" s="14"/>
      <c r="T30" s="14">
        <f t="shared" ref="T30:T49" si="1">SUM(I30:L30)</f>
        <v>752.11220000000003</v>
      </c>
      <c r="U30" s="31">
        <v>78</v>
      </c>
      <c r="V30" s="14"/>
      <c r="AS30" s="6">
        <v>1</v>
      </c>
    </row>
    <row r="31" spans="2:45" s="6" customFormat="1" ht="14.5" x14ac:dyDescent="0.35">
      <c r="B31" s="6">
        <v>2</v>
      </c>
      <c r="C31" s="21">
        <v>2</v>
      </c>
      <c r="D31" s="22" t="s">
        <v>17</v>
      </c>
      <c r="E31" s="23"/>
      <c r="F31" s="24"/>
      <c r="G31" s="25" t="s">
        <v>14</v>
      </c>
      <c r="H31" s="26" t="s">
        <v>15</v>
      </c>
      <c r="I31" s="27">
        <v>1.0561</v>
      </c>
      <c r="J31" s="28">
        <f t="shared" si="0"/>
        <v>1.0561</v>
      </c>
      <c r="K31" s="29">
        <v>2000</v>
      </c>
      <c r="L31" s="29"/>
      <c r="M31" s="26" t="s">
        <v>16</v>
      </c>
      <c r="N31" s="30"/>
      <c r="R31" s="14"/>
      <c r="S31" s="14"/>
      <c r="T31" s="14">
        <f t="shared" si="1"/>
        <v>2002.1122</v>
      </c>
      <c r="U31" s="31">
        <f t="shared" ref="U31:U49" si="2">U30+68</f>
        <v>146</v>
      </c>
      <c r="V31" s="14"/>
      <c r="AS31" s="6">
        <v>2</v>
      </c>
    </row>
    <row r="32" spans="2:45" s="6" customFormat="1" ht="14.5" x14ac:dyDescent="0.35">
      <c r="B32" s="6">
        <v>3</v>
      </c>
      <c r="C32" s="21">
        <v>3</v>
      </c>
      <c r="D32" s="22" t="s">
        <v>18</v>
      </c>
      <c r="E32" s="23"/>
      <c r="F32" s="24"/>
      <c r="G32" s="25" t="s">
        <v>19</v>
      </c>
      <c r="H32" s="26" t="s">
        <v>20</v>
      </c>
      <c r="I32" s="27">
        <v>1.0561</v>
      </c>
      <c r="J32" s="28">
        <f t="shared" si="0"/>
        <v>1.0561</v>
      </c>
      <c r="K32" s="29">
        <v>80000</v>
      </c>
      <c r="L32" s="29">
        <v>200</v>
      </c>
      <c r="M32" s="26" t="s">
        <v>21</v>
      </c>
      <c r="N32" s="30"/>
      <c r="R32" s="14"/>
      <c r="S32" s="14"/>
      <c r="T32" s="14">
        <f t="shared" si="1"/>
        <v>80202.112200000003</v>
      </c>
      <c r="U32" s="31">
        <f t="shared" si="2"/>
        <v>214</v>
      </c>
      <c r="V32" s="14"/>
      <c r="AS32" s="6">
        <v>3</v>
      </c>
    </row>
    <row r="33" spans="2:45" s="6" customFormat="1" ht="14.5" x14ac:dyDescent="0.35">
      <c r="B33" s="6">
        <v>4</v>
      </c>
      <c r="C33" s="21">
        <v>4</v>
      </c>
      <c r="D33" s="22" t="s">
        <v>22</v>
      </c>
      <c r="E33" s="23"/>
      <c r="F33" s="24"/>
      <c r="G33" s="25" t="s">
        <v>14</v>
      </c>
      <c r="H33" s="26" t="s">
        <v>15</v>
      </c>
      <c r="I33" s="27">
        <v>1.0561</v>
      </c>
      <c r="J33" s="28">
        <f t="shared" si="0"/>
        <v>1.0561</v>
      </c>
      <c r="K33" s="29">
        <v>100</v>
      </c>
      <c r="L33" s="29"/>
      <c r="M33" s="26" t="s">
        <v>16</v>
      </c>
      <c r="N33" s="32">
        <v>1</v>
      </c>
      <c r="R33" s="14"/>
      <c r="S33" s="14"/>
      <c r="T33" s="14">
        <f t="shared" si="1"/>
        <v>102.1122</v>
      </c>
      <c r="U33" s="31">
        <f t="shared" si="2"/>
        <v>282</v>
      </c>
      <c r="V33" s="14"/>
      <c r="AS33" s="6">
        <v>4</v>
      </c>
    </row>
    <row r="34" spans="2:45" s="6" customFormat="1" ht="14.5" x14ac:dyDescent="0.35">
      <c r="B34" s="6">
        <v>5</v>
      </c>
      <c r="C34" s="21">
        <v>5</v>
      </c>
      <c r="D34" s="22" t="s">
        <v>23</v>
      </c>
      <c r="E34" s="23"/>
      <c r="F34" s="24"/>
      <c r="G34" s="25" t="s">
        <v>19</v>
      </c>
      <c r="H34" s="26" t="s">
        <v>15</v>
      </c>
      <c r="I34" s="27">
        <v>1.0561</v>
      </c>
      <c r="J34" s="28">
        <f t="shared" si="0"/>
        <v>1.0561</v>
      </c>
      <c r="K34" s="29">
        <v>500</v>
      </c>
      <c r="L34" s="29">
        <v>1</v>
      </c>
      <c r="M34" s="26" t="s">
        <v>21</v>
      </c>
      <c r="N34" s="32">
        <v>0</v>
      </c>
      <c r="R34" s="14"/>
      <c r="S34" s="14"/>
      <c r="T34" s="14">
        <f t="shared" si="1"/>
        <v>503.11219999999997</v>
      </c>
      <c r="U34" s="31">
        <f t="shared" si="2"/>
        <v>350</v>
      </c>
      <c r="V34" s="14"/>
      <c r="AS34" s="6">
        <v>5</v>
      </c>
    </row>
    <row r="35" spans="2:45" s="6" customFormat="1" ht="14.5" x14ac:dyDescent="0.35">
      <c r="B35" s="6">
        <v>6</v>
      </c>
      <c r="C35" s="21">
        <v>6</v>
      </c>
      <c r="D35" s="22" t="s">
        <v>24</v>
      </c>
      <c r="E35" s="23"/>
      <c r="F35" s="24"/>
      <c r="G35" s="25" t="s">
        <v>19</v>
      </c>
      <c r="H35" s="26" t="s">
        <v>25</v>
      </c>
      <c r="I35" s="27">
        <v>1.0561</v>
      </c>
      <c r="J35" s="28">
        <f t="shared" si="0"/>
        <v>1.0561</v>
      </c>
      <c r="K35" s="29">
        <v>200000</v>
      </c>
      <c r="L35" s="29">
        <v>590</v>
      </c>
      <c r="M35" s="26" t="s">
        <v>21</v>
      </c>
      <c r="N35" s="32">
        <v>3760</v>
      </c>
      <c r="R35" s="14"/>
      <c r="S35" s="14"/>
      <c r="T35" s="14">
        <f t="shared" si="1"/>
        <v>200592.1122</v>
      </c>
      <c r="U35" s="31">
        <f t="shared" si="2"/>
        <v>418</v>
      </c>
      <c r="V35" s="14"/>
      <c r="AS35" s="6">
        <v>6</v>
      </c>
    </row>
    <row r="36" spans="2:45" s="6" customFormat="1" ht="14.5" x14ac:dyDescent="0.35">
      <c r="B36" s="6">
        <v>7</v>
      </c>
      <c r="C36" s="21">
        <v>7</v>
      </c>
      <c r="D36" s="22" t="s">
        <v>26</v>
      </c>
      <c r="E36" s="23"/>
      <c r="F36" s="24"/>
      <c r="G36" s="25" t="s">
        <v>19</v>
      </c>
      <c r="H36" s="26"/>
      <c r="I36" s="27">
        <v>1.0561</v>
      </c>
      <c r="J36" s="28">
        <f t="shared" si="0"/>
        <v>1.0561</v>
      </c>
      <c r="K36" s="29"/>
      <c r="L36" s="29"/>
      <c r="M36" s="26"/>
      <c r="N36" s="30"/>
      <c r="R36" s="14"/>
      <c r="S36" s="14"/>
      <c r="T36" s="14">
        <f t="shared" si="1"/>
        <v>2.1122000000000001</v>
      </c>
      <c r="U36" s="31">
        <f t="shared" si="2"/>
        <v>486</v>
      </c>
      <c r="V36" s="14"/>
      <c r="AS36" s="6">
        <v>7</v>
      </c>
    </row>
    <row r="37" spans="2:45" s="6" customFormat="1" ht="14.5" x14ac:dyDescent="0.35">
      <c r="B37" s="6">
        <v>8</v>
      </c>
      <c r="C37" s="21">
        <f>IF(ISERROR(VLOOKUP(D37, D30:AS49, 42, FALSE)),"", VLOOKUP(D37, D30:AS49, 42, FALSE))</f>
        <v>1</v>
      </c>
      <c r="D37" s="33" t="s">
        <v>13</v>
      </c>
      <c r="E37" s="34"/>
      <c r="F37" s="35"/>
      <c r="G37" s="25" t="s">
        <v>14</v>
      </c>
      <c r="H37" s="26" t="s">
        <v>25</v>
      </c>
      <c r="I37" s="27">
        <v>1.0561</v>
      </c>
      <c r="J37" s="28">
        <f t="shared" si="0"/>
        <v>1.0561</v>
      </c>
      <c r="K37" s="29">
        <v>750</v>
      </c>
      <c r="L37" s="29"/>
      <c r="M37" s="26" t="s">
        <v>16</v>
      </c>
      <c r="N37" s="30"/>
      <c r="R37" s="14"/>
      <c r="S37" s="14"/>
      <c r="T37" s="14">
        <f t="shared" si="1"/>
        <v>752.11220000000003</v>
      </c>
      <c r="U37" s="31">
        <f t="shared" si="2"/>
        <v>554</v>
      </c>
      <c r="V37" s="14"/>
      <c r="AS37" s="6">
        <v>8</v>
      </c>
    </row>
    <row r="38" spans="2:45" s="6" customFormat="1" ht="14.5" x14ac:dyDescent="0.35">
      <c r="B38" s="6">
        <v>9</v>
      </c>
      <c r="C38" s="21">
        <f>IF(ISERROR(VLOOKUP(D38, D30:AS49, 42, FALSE)),"", VLOOKUP(D38, D30:AS49, 42, FALSE))</f>
        <v>2</v>
      </c>
      <c r="D38" s="33" t="s">
        <v>17</v>
      </c>
      <c r="E38" s="34"/>
      <c r="F38" s="35"/>
      <c r="G38" s="25" t="s">
        <v>14</v>
      </c>
      <c r="H38" s="26" t="s">
        <v>25</v>
      </c>
      <c r="I38" s="27">
        <v>1.0561</v>
      </c>
      <c r="J38" s="28">
        <f t="shared" si="0"/>
        <v>1.0561</v>
      </c>
      <c r="K38" s="29">
        <v>2000</v>
      </c>
      <c r="L38" s="29"/>
      <c r="M38" s="26" t="s">
        <v>16</v>
      </c>
      <c r="N38" s="30"/>
      <c r="R38" s="14"/>
      <c r="S38" s="14"/>
      <c r="T38" s="14">
        <f t="shared" si="1"/>
        <v>2002.1122</v>
      </c>
      <c r="U38" s="31">
        <f t="shared" si="2"/>
        <v>622</v>
      </c>
      <c r="V38" s="14"/>
      <c r="AS38" s="6">
        <v>9</v>
      </c>
    </row>
    <row r="39" spans="2:45" s="6" customFormat="1" ht="14.5" x14ac:dyDescent="0.35">
      <c r="B39" s="6">
        <v>10</v>
      </c>
      <c r="C39" s="21">
        <f>IF(ISERROR(VLOOKUP(D39, D30:AS49, 42, FALSE)),"", VLOOKUP(D39, D30:AS49, 42, FALSE))</f>
        <v>10</v>
      </c>
      <c r="D39" s="33" t="s">
        <v>27</v>
      </c>
      <c r="E39" s="34"/>
      <c r="F39" s="35"/>
      <c r="G39" s="25" t="s">
        <v>28</v>
      </c>
      <c r="H39" s="26"/>
      <c r="I39" s="27">
        <v>1.0561</v>
      </c>
      <c r="J39" s="28">
        <f t="shared" si="0"/>
        <v>1.0561</v>
      </c>
      <c r="K39" s="29"/>
      <c r="L39" s="29"/>
      <c r="M39" s="26"/>
      <c r="N39" s="30"/>
      <c r="R39" s="14"/>
      <c r="S39" s="14"/>
      <c r="T39" s="14">
        <f t="shared" si="1"/>
        <v>2.1122000000000001</v>
      </c>
      <c r="U39" s="31">
        <f t="shared" si="2"/>
        <v>690</v>
      </c>
      <c r="V39" s="14"/>
      <c r="AS39" s="6">
        <v>10</v>
      </c>
    </row>
    <row r="40" spans="2:45" s="6" customFormat="1" ht="14.5" x14ac:dyDescent="0.35">
      <c r="B40" s="6">
        <v>11</v>
      </c>
      <c r="C40" s="21">
        <f>IF(ISERROR(VLOOKUP(D37, D30:AS49, 42, FALSE)),"", VLOOKUP(D37, D30:AS49, 42, FALSE))</f>
        <v>1</v>
      </c>
      <c r="D40" s="33" t="s">
        <v>27</v>
      </c>
      <c r="E40" s="34"/>
      <c r="F40" s="35"/>
      <c r="G40" s="25" t="s">
        <v>28</v>
      </c>
      <c r="H40" s="26"/>
      <c r="I40" s="27">
        <v>1.0561</v>
      </c>
      <c r="J40" s="28">
        <f t="shared" si="0"/>
        <v>1.0561</v>
      </c>
      <c r="K40" s="29"/>
      <c r="L40" s="29"/>
      <c r="M40" s="26"/>
      <c r="N40" s="30"/>
      <c r="R40" s="14"/>
      <c r="S40" s="14"/>
      <c r="T40" s="14">
        <f t="shared" si="1"/>
        <v>2.1122000000000001</v>
      </c>
      <c r="U40" s="31">
        <f t="shared" si="2"/>
        <v>758</v>
      </c>
      <c r="V40" s="14"/>
      <c r="AS40" s="6">
        <v>11</v>
      </c>
    </row>
    <row r="41" spans="2:45" s="6" customFormat="1" ht="14.5" x14ac:dyDescent="0.35">
      <c r="B41" s="6">
        <v>12</v>
      </c>
      <c r="C41" s="21">
        <f>IF(ISERROR(VLOOKUP(D38, D30:AS49, 42, FALSE)),"", VLOOKUP(D38, D30:AS49, 42, FALSE))</f>
        <v>2</v>
      </c>
      <c r="D41" s="33" t="s">
        <v>27</v>
      </c>
      <c r="E41" s="34"/>
      <c r="F41" s="35"/>
      <c r="G41" s="25" t="s">
        <v>28</v>
      </c>
      <c r="H41" s="26"/>
      <c r="I41" s="27">
        <v>1.0561</v>
      </c>
      <c r="J41" s="28">
        <f t="shared" si="0"/>
        <v>1.0561</v>
      </c>
      <c r="K41" s="29"/>
      <c r="L41" s="29"/>
      <c r="M41" s="26"/>
      <c r="N41" s="30"/>
      <c r="R41" s="14"/>
      <c r="S41" s="14"/>
      <c r="T41" s="14">
        <f t="shared" si="1"/>
        <v>2.1122000000000001</v>
      </c>
      <c r="U41" s="31">
        <f t="shared" si="2"/>
        <v>826</v>
      </c>
      <c r="V41" s="14"/>
    </row>
    <row r="42" spans="2:45" s="6" customFormat="1" ht="14.5" x14ac:dyDescent="0.35">
      <c r="B42" s="6">
        <v>13</v>
      </c>
      <c r="C42" s="21">
        <f>IF(ISERROR(VLOOKUP(D39, D30:AS49, 42, FALSE)),"", VLOOKUP(D39, D30:AS49, 42, FALSE))</f>
        <v>10</v>
      </c>
      <c r="D42" s="33" t="s">
        <v>27</v>
      </c>
      <c r="E42" s="34"/>
      <c r="F42" s="35"/>
      <c r="G42" s="25" t="s">
        <v>28</v>
      </c>
      <c r="H42" s="26"/>
      <c r="I42" s="27">
        <v>1.0561</v>
      </c>
      <c r="J42" s="28">
        <f t="shared" si="0"/>
        <v>1.0561</v>
      </c>
      <c r="K42" s="29"/>
      <c r="L42" s="29"/>
      <c r="M42" s="26"/>
      <c r="N42" s="30"/>
      <c r="R42" s="14"/>
      <c r="S42" s="14"/>
      <c r="T42" s="14">
        <f t="shared" si="1"/>
        <v>2.1122000000000001</v>
      </c>
      <c r="U42" s="31">
        <f t="shared" si="2"/>
        <v>894</v>
      </c>
      <c r="V42" s="14"/>
    </row>
    <row r="43" spans="2:45" s="6" customFormat="1" ht="14.5" x14ac:dyDescent="0.35">
      <c r="B43" s="6">
        <v>14</v>
      </c>
      <c r="C43" s="21">
        <f>IF(ISERROR(VLOOKUP(D40, D30:AS49, 42, FALSE)),"", VLOOKUP(D40, D30:AS49, 42, FALSE))</f>
        <v>10</v>
      </c>
      <c r="D43" s="33" t="s">
        <v>27</v>
      </c>
      <c r="E43" s="34"/>
      <c r="F43" s="35"/>
      <c r="G43" s="25" t="s">
        <v>28</v>
      </c>
      <c r="H43" s="26"/>
      <c r="I43" s="27">
        <v>1.0561</v>
      </c>
      <c r="J43" s="28">
        <f t="shared" si="0"/>
        <v>1.0561</v>
      </c>
      <c r="K43" s="29"/>
      <c r="L43" s="29"/>
      <c r="M43" s="26"/>
      <c r="N43" s="30"/>
      <c r="R43" s="14"/>
      <c r="S43" s="14"/>
      <c r="T43" s="14">
        <f t="shared" si="1"/>
        <v>2.1122000000000001</v>
      </c>
      <c r="U43" s="31">
        <f t="shared" si="2"/>
        <v>962</v>
      </c>
      <c r="V43" s="14"/>
    </row>
    <row r="44" spans="2:45" s="6" customFormat="1" ht="14.5" x14ac:dyDescent="0.35">
      <c r="B44" s="6">
        <v>15</v>
      </c>
      <c r="C44" s="21">
        <f>IF(ISERROR(VLOOKUP(D41, D30:AS49, 42, FALSE)),"", VLOOKUP(D41, D30:AS49, 42, FALSE))</f>
        <v>10</v>
      </c>
      <c r="D44" s="33" t="s">
        <v>27</v>
      </c>
      <c r="E44" s="34"/>
      <c r="F44" s="35"/>
      <c r="G44" s="25" t="s">
        <v>28</v>
      </c>
      <c r="H44" s="26"/>
      <c r="I44" s="27">
        <v>1.0561</v>
      </c>
      <c r="J44" s="28">
        <f t="shared" si="0"/>
        <v>1.0561</v>
      </c>
      <c r="K44" s="29"/>
      <c r="L44" s="29"/>
      <c r="M44" s="26"/>
      <c r="N44" s="30"/>
      <c r="R44" s="14"/>
      <c r="S44" s="14"/>
      <c r="T44" s="14">
        <f t="shared" si="1"/>
        <v>2.1122000000000001</v>
      </c>
      <c r="U44" s="31">
        <f t="shared" si="2"/>
        <v>1030</v>
      </c>
      <c r="V44" s="14"/>
    </row>
    <row r="45" spans="2:45" s="6" customFormat="1" ht="14.5" x14ac:dyDescent="0.35">
      <c r="B45" s="6">
        <v>16</v>
      </c>
      <c r="C45" s="21">
        <f>IF(ISERROR(VLOOKUP(D42, D30:AS49, 42, FALSE)),"", VLOOKUP(D42, D30:AS49, 42, FALSE))</f>
        <v>10</v>
      </c>
      <c r="D45" s="33" t="s">
        <v>27</v>
      </c>
      <c r="E45" s="34"/>
      <c r="F45" s="35"/>
      <c r="G45" s="25" t="s">
        <v>28</v>
      </c>
      <c r="H45" s="26"/>
      <c r="I45" s="27">
        <v>1.0561</v>
      </c>
      <c r="J45" s="28">
        <f t="shared" si="0"/>
        <v>1.0561</v>
      </c>
      <c r="K45" s="29"/>
      <c r="L45" s="29"/>
      <c r="M45" s="26"/>
      <c r="N45" s="30"/>
      <c r="R45" s="14"/>
      <c r="S45" s="14"/>
      <c r="T45" s="14">
        <f t="shared" si="1"/>
        <v>2.1122000000000001</v>
      </c>
      <c r="U45" s="31">
        <f t="shared" si="2"/>
        <v>1098</v>
      </c>
      <c r="V45" s="14"/>
    </row>
    <row r="46" spans="2:45" s="6" customFormat="1" ht="14.5" x14ac:dyDescent="0.35">
      <c r="B46" s="6">
        <v>17</v>
      </c>
      <c r="C46" s="21">
        <f>IF(ISERROR(VLOOKUP(D43, D30:AS49, 42, FALSE)),"", VLOOKUP(D43, D30:AS49, 42, FALSE))</f>
        <v>10</v>
      </c>
      <c r="D46" s="33" t="s">
        <v>27</v>
      </c>
      <c r="E46" s="34"/>
      <c r="F46" s="35"/>
      <c r="G46" s="25" t="s">
        <v>28</v>
      </c>
      <c r="H46" s="26"/>
      <c r="I46" s="27">
        <v>1.0561</v>
      </c>
      <c r="J46" s="28">
        <f t="shared" si="0"/>
        <v>1.0561</v>
      </c>
      <c r="K46" s="29"/>
      <c r="L46" s="29"/>
      <c r="M46" s="26"/>
      <c r="N46" s="30"/>
      <c r="R46" s="14"/>
      <c r="S46" s="14"/>
      <c r="T46" s="14">
        <f t="shared" si="1"/>
        <v>2.1122000000000001</v>
      </c>
      <c r="U46" s="31">
        <f t="shared" si="2"/>
        <v>1166</v>
      </c>
      <c r="V46" s="14"/>
    </row>
    <row r="47" spans="2:45" s="6" customFormat="1" ht="14.5" x14ac:dyDescent="0.35">
      <c r="B47" s="6">
        <v>18</v>
      </c>
      <c r="C47" s="21">
        <f>IF(ISERROR(VLOOKUP(D44, D30:AS49, 42, FALSE)),"", VLOOKUP(D44, D30:AS49, 42, FALSE))</f>
        <v>10</v>
      </c>
      <c r="D47" s="33" t="s">
        <v>27</v>
      </c>
      <c r="E47" s="34"/>
      <c r="F47" s="35"/>
      <c r="G47" s="25" t="s">
        <v>28</v>
      </c>
      <c r="H47" s="26"/>
      <c r="I47" s="27">
        <v>1.0561</v>
      </c>
      <c r="J47" s="28">
        <f t="shared" si="0"/>
        <v>1.0561</v>
      </c>
      <c r="K47" s="29"/>
      <c r="L47" s="29"/>
      <c r="M47" s="26"/>
      <c r="N47" s="30"/>
      <c r="R47" s="14"/>
      <c r="S47" s="14"/>
      <c r="T47" s="14">
        <f t="shared" si="1"/>
        <v>2.1122000000000001</v>
      </c>
      <c r="U47" s="31">
        <f t="shared" si="2"/>
        <v>1234</v>
      </c>
      <c r="V47" s="14"/>
    </row>
    <row r="48" spans="2:45" s="6" customFormat="1" ht="14.5" x14ac:dyDescent="0.35">
      <c r="B48" s="6">
        <v>19</v>
      </c>
      <c r="C48" s="21">
        <f>IF(ISERROR(VLOOKUP(D45, D30:AS49, 42, FALSE)),"", VLOOKUP(D45, D30:AS49, 42, FALSE))</f>
        <v>10</v>
      </c>
      <c r="D48" s="33" t="s">
        <v>27</v>
      </c>
      <c r="E48" s="34"/>
      <c r="F48" s="35"/>
      <c r="G48" s="25" t="s">
        <v>28</v>
      </c>
      <c r="H48" s="26"/>
      <c r="I48" s="27">
        <v>1.0561</v>
      </c>
      <c r="J48" s="28">
        <f t="shared" si="0"/>
        <v>1.0561</v>
      </c>
      <c r="K48" s="29"/>
      <c r="L48" s="29"/>
      <c r="M48" s="26"/>
      <c r="N48" s="30"/>
      <c r="R48" s="14"/>
      <c r="S48" s="14"/>
      <c r="T48" s="14">
        <f t="shared" si="1"/>
        <v>2.1122000000000001</v>
      </c>
      <c r="U48" s="31">
        <f t="shared" si="2"/>
        <v>1302</v>
      </c>
      <c r="V48" s="14"/>
    </row>
    <row r="49" spans="2:22" s="6" customFormat="1" ht="14.5" x14ac:dyDescent="0.35">
      <c r="B49" s="6">
        <v>20</v>
      </c>
      <c r="C49" s="21">
        <f>IF(ISERROR(VLOOKUP(D46, D30:AS49, 42, FALSE)),"", VLOOKUP(D46, D30:AS49, 42, FALSE))</f>
        <v>10</v>
      </c>
      <c r="D49" s="33" t="s">
        <v>27</v>
      </c>
      <c r="E49" s="34"/>
      <c r="F49" s="35"/>
      <c r="G49" s="25" t="s">
        <v>28</v>
      </c>
      <c r="H49" s="26"/>
      <c r="I49" s="27">
        <v>1.0561</v>
      </c>
      <c r="J49" s="28">
        <f t="shared" si="0"/>
        <v>1.0561</v>
      </c>
      <c r="K49" s="29"/>
      <c r="L49" s="29"/>
      <c r="M49" s="26"/>
      <c r="N49" s="30"/>
      <c r="R49" s="14"/>
      <c r="S49" s="14"/>
      <c r="T49" s="14">
        <f t="shared" si="1"/>
        <v>2.1122000000000001</v>
      </c>
      <c r="U49" s="31">
        <f t="shared" si="2"/>
        <v>1370</v>
      </c>
      <c r="V49" s="14"/>
    </row>
    <row r="50" spans="2:22" s="6" customFormat="1" x14ac:dyDescent="0.25">
      <c r="C50" s="12"/>
      <c r="R50" s="14"/>
      <c r="S50" s="14"/>
      <c r="T50" s="14" t="s">
        <v>29</v>
      </c>
      <c r="U50" s="14"/>
      <c r="V50" s="14"/>
    </row>
    <row r="51" spans="2:22" s="6" customFormat="1" ht="15.5" x14ac:dyDescent="0.35">
      <c r="C51" s="12"/>
      <c r="D51" s="16" t="s">
        <v>30</v>
      </c>
      <c r="R51" s="14"/>
      <c r="S51" s="14"/>
      <c r="T51" s="14"/>
      <c r="U51" s="14"/>
      <c r="V51" s="14"/>
    </row>
    <row r="52" spans="2:22" s="6" customFormat="1" ht="12.75" customHeight="1" x14ac:dyDescent="0.25">
      <c r="C52" s="12"/>
      <c r="D52" s="166" t="s">
        <v>4</v>
      </c>
      <c r="E52" s="167"/>
      <c r="F52" s="168"/>
      <c r="G52" s="175" t="s">
        <v>5</v>
      </c>
      <c r="H52" s="157" t="s">
        <v>31</v>
      </c>
      <c r="I52" s="157"/>
      <c r="J52" s="157"/>
      <c r="K52" s="157"/>
      <c r="L52" s="157"/>
      <c r="M52" s="157"/>
      <c r="N52" s="157" t="s">
        <v>32</v>
      </c>
      <c r="O52" s="157"/>
      <c r="R52" s="14"/>
      <c r="S52" s="14"/>
      <c r="T52" s="14"/>
      <c r="U52" s="14"/>
      <c r="V52" s="14"/>
    </row>
    <row r="53" spans="2:22" s="6" customFormat="1" ht="13" x14ac:dyDescent="0.25">
      <c r="C53" s="12"/>
      <c r="D53" s="169"/>
      <c r="E53" s="170"/>
      <c r="F53" s="171"/>
      <c r="G53" s="175"/>
      <c r="H53" s="158" t="s">
        <v>33</v>
      </c>
      <c r="I53" s="158"/>
      <c r="J53" s="158" t="s">
        <v>34</v>
      </c>
      <c r="K53" s="158"/>
      <c r="L53" s="158" t="s">
        <v>35</v>
      </c>
      <c r="M53" s="158"/>
      <c r="N53" s="158" t="s">
        <v>36</v>
      </c>
      <c r="O53" s="158"/>
      <c r="R53" s="14"/>
      <c r="S53" s="14"/>
      <c r="T53" s="14"/>
      <c r="U53" s="14"/>
      <c r="V53" s="14"/>
    </row>
    <row r="54" spans="2:22" s="6" customFormat="1" ht="13" x14ac:dyDescent="0.25">
      <c r="C54" s="12"/>
      <c r="D54" s="172"/>
      <c r="E54" s="173"/>
      <c r="F54" s="174"/>
      <c r="G54" s="175"/>
      <c r="H54" s="36" t="s">
        <v>37</v>
      </c>
      <c r="I54" s="36" t="s">
        <v>38</v>
      </c>
      <c r="J54" s="36" t="s">
        <v>37</v>
      </c>
      <c r="K54" s="36" t="s">
        <v>38</v>
      </c>
      <c r="L54" s="36" t="s">
        <v>37</v>
      </c>
      <c r="M54" s="36" t="s">
        <v>38</v>
      </c>
      <c r="N54" s="36" t="s">
        <v>37</v>
      </c>
      <c r="O54" s="36" t="s">
        <v>38</v>
      </c>
      <c r="R54" s="14"/>
      <c r="S54" s="14"/>
      <c r="T54" s="14"/>
      <c r="U54" s="14"/>
      <c r="V54" s="14"/>
    </row>
    <row r="55" spans="2:22" s="6" customFormat="1" ht="14.5" x14ac:dyDescent="0.25">
      <c r="B55" s="6" t="str">
        <f t="shared" ref="B55:B74" si="3">H30</f>
        <v>RPP</v>
      </c>
      <c r="C55" s="12">
        <v>1</v>
      </c>
      <c r="D55" s="165" t="str">
        <f t="shared" ref="D55:D74" si="4">IF(ISBLANK(D30), "", IF(D30 = "Add additional scenarios if required", "", IF(M30="YES", D30 &amp; " - " &amp; H30 &amp; " - Interval Customers", D30 &amp; " - " &amp;H30)))</f>
        <v>RESIDENTIAL SERVICE CLASSIFICATION - RPP</v>
      </c>
      <c r="E55" s="165"/>
      <c r="F55" s="165"/>
      <c r="G55" s="37" t="str">
        <f t="shared" ref="G55:G74" si="5">IF(ISBLANK(G30), "", G30)</f>
        <v>kWh</v>
      </c>
      <c r="H55" s="38" cm="1">
        <f t="array" ref="H55">IF(LEN($G55)&gt;1, (SUMPRODUCT(--($C$79:$C$2001=$B30), --($A$79:$A$2001=$D30), --($B$79:$B$2001="ST_A"), $L$79:$L$2001)), "")</f>
        <v>8.4400000000000013</v>
      </c>
      <c r="I55" s="39">
        <f t="shared" ref="I55:I74" si="6">IF(LEN($G55)&gt;1, (SUMPRODUCT(--($C$79:$C$2001=$B30), --($A$79:$A$2001=$D30), --($B$79:$B$2001="ST_A"), $M$79:$M$2001)), "")</f>
        <v>0.38768948093706945</v>
      </c>
      <c r="J55" s="38">
        <f t="shared" ref="J55:J74" si="7">IF(LEN($G55)&gt;1, (SUMPRODUCT(--($C$79:$C$2001=$B30), --($A$79:$A$2001=$D30), --($B$79:$B$2001="ST_B"), $L$79:$L$2001)), "")</f>
        <v>6.913845225325236</v>
      </c>
      <c r="K55" s="39">
        <f t="shared" ref="K55:K74" si="8">IF(LEN($G55)&gt;1, (SUMPRODUCT(--($C$79:$C$2001=$B30), --($A$79:$A$2001=$D30), --($B$79:$B$2001="ST_B"), $M$79:$M$2001)), "")</f>
        <v>0.22571277223367253</v>
      </c>
      <c r="L55" s="38">
        <f t="shared" ref="L55:L74" si="9">IF(LEN($G55)&gt;1, (SUMPRODUCT(--($C$79:$C$2001=$B30), --($A$79:$A$2001=$D30), --($B$79:$B$2001="ST_C"), $L$79:$L$2001)), "")</f>
        <v>6.9138452253252396</v>
      </c>
      <c r="M55" s="39">
        <f t="shared" ref="M55:M74" si="10">IF(LEN($G55)&gt;1, (SUMPRODUCT(--($C$79:$C$2001=$B30), --($A$79:$A$2001=$D30), --($B$79:$B$2001="ST_C"), $M$79:$M$2001)), "")</f>
        <v>0.15936551065461152</v>
      </c>
      <c r="N55" s="38">
        <f t="shared" ref="N55:N74" si="11">IF(LEN($G55)&gt;1, (SUMPRODUCT(--($C$79:$C$2001=$B30), --($A$79:$A$2001=$D30), --($B$79:$B$2001=$B55&amp;"_TOTAL"), $L$79:$L$2001)), "")</f>
        <v>7.0037252132544552</v>
      </c>
      <c r="O55" s="39">
        <f t="shared" ref="O55:O74" si="12">IF(LEN($G55)&gt;1, (SUMPRODUCT(--($C$79:$C$2001=$B30), --($A$79:$A$2001=$D30), --($B$79:$B$2001=$B55&amp;"_TOTAL"), $M$79:$M$2001)), "")</f>
        <v>5.8589494231035211E-2</v>
      </c>
      <c r="R55" s="14"/>
      <c r="S55" s="14"/>
      <c r="T55" s="14"/>
      <c r="U55" s="14"/>
      <c r="V55" s="14"/>
    </row>
    <row r="56" spans="2:22" s="6" customFormat="1" ht="14.5" x14ac:dyDescent="0.25">
      <c r="B56" s="6" t="str">
        <f t="shared" si="3"/>
        <v>RPP</v>
      </c>
      <c r="C56" s="12">
        <v>2</v>
      </c>
      <c r="D56" s="165" t="str">
        <f t="shared" si="4"/>
        <v>GENERAL SERVICE LESS THAN 50 KW SERVICE CLASSIFICATION - RPP</v>
      </c>
      <c r="E56" s="165"/>
      <c r="F56" s="165"/>
      <c r="G56" s="37" t="str">
        <f t="shared" si="5"/>
        <v>kWh</v>
      </c>
      <c r="H56" s="38">
        <f t="shared" ref="H56:H74" si="13">IF(LEN($G56)&gt;1, (SUMPRODUCT(--($C$79:$C$2001=$B31), --($A$79:$A$2001=$D31), --($B$79:$B$2001="ST_A"), $L$79:$L$2001)), "")</f>
        <v>11.200000000000003</v>
      </c>
      <c r="I56" s="39">
        <f t="shared" si="6"/>
        <v>0.16684045881126178</v>
      </c>
      <c r="J56" s="38">
        <f t="shared" si="7"/>
        <v>6.4889129140305783</v>
      </c>
      <c r="K56" s="39">
        <f t="shared" si="8"/>
        <v>7.1732579323386073E-2</v>
      </c>
      <c r="L56" s="38">
        <f t="shared" si="9"/>
        <v>6.4889129140305783</v>
      </c>
      <c r="M56" s="39">
        <f t="shared" si="10"/>
        <v>5.3870905331024573E-2</v>
      </c>
      <c r="N56" s="38">
        <f t="shared" si="11"/>
        <v>6.5732687819129865</v>
      </c>
      <c r="O56" s="39">
        <f t="shared" si="12"/>
        <v>2.0339733061856335E-2</v>
      </c>
      <c r="R56" s="14"/>
      <c r="S56" s="14"/>
      <c r="T56" s="14"/>
      <c r="U56" s="14"/>
      <c r="V56" s="14"/>
    </row>
    <row r="57" spans="2:22" s="6" customFormat="1" ht="14.5" x14ac:dyDescent="0.25">
      <c r="B57" s="6" t="str">
        <f t="shared" si="3"/>
        <v>Non-RPP (Other)</v>
      </c>
      <c r="C57" s="12">
        <v>3</v>
      </c>
      <c r="D57" s="165" t="str">
        <f t="shared" si="4"/>
        <v>GENERAL SERVICE 50 to 4,999 kW SERVICE CLASSIFICATION - Non-RPP (Other)</v>
      </c>
      <c r="E57" s="165"/>
      <c r="F57" s="165"/>
      <c r="G57" s="37" t="str">
        <f t="shared" si="5"/>
        <v>kW</v>
      </c>
      <c r="H57" s="38">
        <f t="shared" si="13"/>
        <v>215.01999999999987</v>
      </c>
      <c r="I57" s="39">
        <f t="shared" si="6"/>
        <v>0.25386368197971626</v>
      </c>
      <c r="J57" s="38">
        <f t="shared" si="7"/>
        <v>-763.05718720729442</v>
      </c>
      <c r="K57" s="39">
        <f t="shared" si="8"/>
        <v>-0.53455966037850333</v>
      </c>
      <c r="L57" s="38">
        <f t="shared" si="9"/>
        <v>-760.15718720729433</v>
      </c>
      <c r="M57" s="39">
        <f t="shared" si="10"/>
        <v>-0.28918819108620758</v>
      </c>
      <c r="N57" s="38">
        <f t="shared" si="11"/>
        <v>-858.97762154424345</v>
      </c>
      <c r="O57" s="39">
        <f t="shared" si="12"/>
        <v>-6.2517623627322452E-2</v>
      </c>
      <c r="R57" s="14"/>
      <c r="S57" s="14"/>
      <c r="T57" s="14"/>
      <c r="U57" s="14"/>
      <c r="V57" s="14"/>
    </row>
    <row r="58" spans="2:22" s="6" customFormat="1" ht="14.5" x14ac:dyDescent="0.25">
      <c r="B58" s="6" t="str">
        <f t="shared" si="3"/>
        <v>RPP</v>
      </c>
      <c r="C58" s="12">
        <v>4</v>
      </c>
      <c r="D58" s="165" t="str">
        <f t="shared" si="4"/>
        <v>UNMETERED SCATTERED LOAD SERVICE CLASSIFICATION - RPP</v>
      </c>
      <c r="E58" s="165"/>
      <c r="F58" s="165"/>
      <c r="G58" s="37" t="str">
        <f t="shared" si="5"/>
        <v>kWh</v>
      </c>
      <c r="H58" s="38">
        <f t="shared" si="13"/>
        <v>0.97000000000000064</v>
      </c>
      <c r="I58" s="39">
        <f t="shared" si="6"/>
        <v>9.1769157994323627E-2</v>
      </c>
      <c r="J58" s="38">
        <f t="shared" si="7"/>
        <v>0.72355423162672139</v>
      </c>
      <c r="K58" s="39">
        <f t="shared" si="8"/>
        <v>6.1760482226125263E-2</v>
      </c>
      <c r="L58" s="38">
        <f t="shared" si="9"/>
        <v>0.72355423162672139</v>
      </c>
      <c r="M58" s="39">
        <f t="shared" si="10"/>
        <v>5.4751871397631609E-2</v>
      </c>
      <c r="N58" s="38">
        <f t="shared" si="11"/>
        <v>0.73296043663786747</v>
      </c>
      <c r="O58" s="39">
        <f t="shared" si="12"/>
        <v>3.0945821197135272E-2</v>
      </c>
      <c r="R58" s="14"/>
      <c r="S58" s="14"/>
      <c r="T58" s="14"/>
      <c r="U58" s="14"/>
      <c r="V58" s="14"/>
    </row>
    <row r="59" spans="2:22" s="6" customFormat="1" ht="14.5" x14ac:dyDescent="0.25">
      <c r="B59" s="6" t="str">
        <f t="shared" si="3"/>
        <v>RPP</v>
      </c>
      <c r="C59" s="12">
        <v>5</v>
      </c>
      <c r="D59" s="165" t="str">
        <f t="shared" si="4"/>
        <v>SENTINEL LIGHTING SERVICE CLASSIFICATION - RPP</v>
      </c>
      <c r="E59" s="165"/>
      <c r="F59" s="165"/>
      <c r="G59" s="37" t="str">
        <f t="shared" si="5"/>
        <v>kW</v>
      </c>
      <c r="H59" s="38">
        <f t="shared" si="13"/>
        <v>0</v>
      </c>
      <c r="I59" s="39">
        <f t="shared" si="6"/>
        <v>0</v>
      </c>
      <c r="J59" s="38">
        <f t="shared" si="7"/>
        <v>-0.16914059134266246</v>
      </c>
      <c r="K59" s="39">
        <f t="shared" si="8"/>
        <v>-1.3066151377382403E-2</v>
      </c>
      <c r="L59" s="38">
        <f t="shared" si="9"/>
        <v>-0.16914059134266246</v>
      </c>
      <c r="M59" s="39">
        <f t="shared" si="10"/>
        <v>-1.3066151377382403E-2</v>
      </c>
      <c r="N59" s="38">
        <f t="shared" si="11"/>
        <v>-0.17133941903012584</v>
      </c>
      <c r="O59" s="39">
        <f t="shared" si="12"/>
        <v>-2.705132631245132E-3</v>
      </c>
      <c r="R59" s="14"/>
      <c r="S59" s="14"/>
      <c r="T59" s="14"/>
      <c r="U59" s="14"/>
      <c r="V59" s="14"/>
    </row>
    <row r="60" spans="2:22" s="6" customFormat="1" ht="14.5" x14ac:dyDescent="0.25">
      <c r="B60" s="6" t="str">
        <f t="shared" si="3"/>
        <v>Non-RPP (Retailer)</v>
      </c>
      <c r="C60" s="12">
        <v>6</v>
      </c>
      <c r="D60" s="165" t="str">
        <f t="shared" si="4"/>
        <v>STREET LIGHTING SERVICE CLASSIFICATION - Non-RPP (Retailer)</v>
      </c>
      <c r="E60" s="165"/>
      <c r="F60" s="165"/>
      <c r="G60" s="37" t="str">
        <f t="shared" si="5"/>
        <v>kW</v>
      </c>
      <c r="H60" s="38">
        <f t="shared" si="13"/>
        <v>7016.398000000001</v>
      </c>
      <c r="I60" s="39">
        <f t="shared" si="6"/>
        <v>0.36779538568780507</v>
      </c>
      <c r="J60" s="38">
        <f t="shared" si="7"/>
        <v>3835.9991148506306</v>
      </c>
      <c r="K60" s="39">
        <f t="shared" si="8"/>
        <v>0.18470632769792553</v>
      </c>
      <c r="L60" s="38">
        <f t="shared" si="9"/>
        <v>3842.3711148506336</v>
      </c>
      <c r="M60" s="39">
        <f t="shared" si="10"/>
        <v>0.16426125888283014</v>
      </c>
      <c r="N60" s="38">
        <f t="shared" si="11"/>
        <v>4341.8793597812182</v>
      </c>
      <c r="O60" s="39">
        <f t="shared" si="12"/>
        <v>8.1376093014493459E-2</v>
      </c>
      <c r="R60" s="14"/>
      <c r="S60" s="14"/>
      <c r="T60" s="14"/>
      <c r="U60" s="14"/>
      <c r="V60" s="14"/>
    </row>
    <row r="61" spans="2:22" s="6" customFormat="1" ht="14.5" x14ac:dyDescent="0.25">
      <c r="B61" s="6">
        <f t="shared" si="3"/>
        <v>0</v>
      </c>
      <c r="C61" s="12">
        <v>7</v>
      </c>
      <c r="D61" s="165" t="str">
        <f t="shared" si="4"/>
        <v xml:space="preserve">STANDBY POWER SERVICE CLASSIFICATION - </v>
      </c>
      <c r="E61" s="165"/>
      <c r="F61" s="165"/>
      <c r="G61" s="37" t="str">
        <f t="shared" si="5"/>
        <v>kW</v>
      </c>
      <c r="H61" s="38">
        <f t="shared" si="13"/>
        <v>0</v>
      </c>
      <c r="I61" s="39">
        <f t="shared" si="6"/>
        <v>0</v>
      </c>
      <c r="J61" s="38">
        <f t="shared" si="7"/>
        <v>0</v>
      </c>
      <c r="K61" s="39">
        <f t="shared" si="8"/>
        <v>0</v>
      </c>
      <c r="L61" s="38">
        <f t="shared" si="9"/>
        <v>0</v>
      </c>
      <c r="M61" s="39">
        <f t="shared" si="10"/>
        <v>0</v>
      </c>
      <c r="N61" s="38">
        <f t="shared" si="11"/>
        <v>0</v>
      </c>
      <c r="O61" s="39">
        <f t="shared" si="12"/>
        <v>0</v>
      </c>
      <c r="R61" s="14"/>
      <c r="S61" s="14"/>
      <c r="T61" s="14"/>
      <c r="U61" s="14"/>
      <c r="V61" s="14"/>
    </row>
    <row r="62" spans="2:22" s="6" customFormat="1" ht="14.5" x14ac:dyDescent="0.25">
      <c r="B62" s="6" t="str">
        <f t="shared" si="3"/>
        <v>Non-RPP (Retailer)</v>
      </c>
      <c r="C62" s="12">
        <v>8</v>
      </c>
      <c r="D62" s="165" t="str">
        <f t="shared" si="4"/>
        <v>RESIDENTIAL SERVICE CLASSIFICATION - Non-RPP (Retailer)</v>
      </c>
      <c r="E62" s="165"/>
      <c r="F62" s="165"/>
      <c r="G62" s="37" t="str">
        <f t="shared" si="5"/>
        <v>kWh</v>
      </c>
      <c r="H62" s="38">
        <f t="shared" si="13"/>
        <v>8.4400000000000013</v>
      </c>
      <c r="I62" s="39">
        <f t="shared" si="6"/>
        <v>0.38768948093706945</v>
      </c>
      <c r="J62" s="38">
        <f t="shared" si="7"/>
        <v>-1.4861547746747554</v>
      </c>
      <c r="K62" s="39">
        <f t="shared" si="8"/>
        <v>-4.5216860867201787E-2</v>
      </c>
      <c r="L62" s="38">
        <f t="shared" si="9"/>
        <v>-1.486154774674759</v>
      </c>
      <c r="M62" s="39">
        <f t="shared" si="10"/>
        <v>-3.2577055694327492E-2</v>
      </c>
      <c r="N62" s="38">
        <f t="shared" si="11"/>
        <v>-1.6793548953824597</v>
      </c>
      <c r="O62" s="39">
        <f t="shared" si="12"/>
        <v>-1.1393531395749824E-2</v>
      </c>
      <c r="R62" s="14"/>
      <c r="S62" s="14"/>
      <c r="T62" s="14"/>
      <c r="U62" s="14"/>
      <c r="V62" s="14"/>
    </row>
    <row r="63" spans="2:22" s="6" customFormat="1" ht="14.5" x14ac:dyDescent="0.25">
      <c r="B63" s="6" t="str">
        <f t="shared" si="3"/>
        <v>Non-RPP (Retailer)</v>
      </c>
      <c r="C63" s="12">
        <v>9</v>
      </c>
      <c r="D63" s="165" t="str">
        <f t="shared" si="4"/>
        <v>GENERAL SERVICE LESS THAN 50 KW SERVICE CLASSIFICATION - Non-RPP (Retailer)</v>
      </c>
      <c r="E63" s="165"/>
      <c r="F63" s="165"/>
      <c r="G63" s="37" t="str">
        <f t="shared" si="5"/>
        <v>kWh</v>
      </c>
      <c r="H63" s="38">
        <f t="shared" si="13"/>
        <v>11.200000000000003</v>
      </c>
      <c r="I63" s="39">
        <f t="shared" si="6"/>
        <v>0.16684045881126178</v>
      </c>
      <c r="J63" s="38">
        <f t="shared" si="7"/>
        <v>-14.311087085969419</v>
      </c>
      <c r="K63" s="39">
        <f t="shared" si="8"/>
        <v>-0.15092466326603388</v>
      </c>
      <c r="L63" s="38">
        <f t="shared" si="9"/>
        <v>-14.311087085969419</v>
      </c>
      <c r="M63" s="39">
        <f t="shared" si="10"/>
        <v>-0.11465750923174742</v>
      </c>
      <c r="N63" s="38">
        <f t="shared" si="11"/>
        <v>-16.171528407145502</v>
      </c>
      <c r="O63" s="39">
        <f t="shared" si="12"/>
        <v>-4.0772397576661012E-2</v>
      </c>
      <c r="R63" s="14"/>
      <c r="S63" s="14"/>
      <c r="T63" s="14"/>
      <c r="U63" s="14"/>
      <c r="V63" s="14"/>
    </row>
    <row r="64" spans="2:22" s="6" customFormat="1" ht="14.5" x14ac:dyDescent="0.25">
      <c r="B64" s="6">
        <f t="shared" si="3"/>
        <v>0</v>
      </c>
      <c r="C64" s="12">
        <v>10</v>
      </c>
      <c r="D64" s="165" t="str">
        <f t="shared" si="4"/>
        <v/>
      </c>
      <c r="E64" s="165"/>
      <c r="F64" s="165"/>
      <c r="G64" s="37" t="str">
        <f t="shared" si="5"/>
        <v/>
      </c>
      <c r="H64" s="38" t="str">
        <f t="shared" si="13"/>
        <v/>
      </c>
      <c r="I64" s="39" t="str">
        <f t="shared" si="6"/>
        <v/>
      </c>
      <c r="J64" s="38" t="str">
        <f t="shared" si="7"/>
        <v/>
      </c>
      <c r="K64" s="39" t="str">
        <f t="shared" si="8"/>
        <v/>
      </c>
      <c r="L64" s="38" t="str">
        <f t="shared" si="9"/>
        <v/>
      </c>
      <c r="M64" s="39" t="str">
        <f t="shared" si="10"/>
        <v/>
      </c>
      <c r="N64" s="38" t="str">
        <f t="shared" si="11"/>
        <v/>
      </c>
      <c r="O64" s="39" t="str">
        <f t="shared" si="12"/>
        <v/>
      </c>
      <c r="R64" s="14"/>
      <c r="S64" s="14"/>
      <c r="T64" s="14"/>
      <c r="U64" s="14"/>
      <c r="V64" s="14"/>
    </row>
    <row r="65" spans="1:22" s="6" customFormat="1" ht="14.5" x14ac:dyDescent="0.25">
      <c r="B65" s="6">
        <f t="shared" si="3"/>
        <v>0</v>
      </c>
      <c r="C65" s="12">
        <v>11</v>
      </c>
      <c r="D65" s="165" t="str">
        <f t="shared" si="4"/>
        <v/>
      </c>
      <c r="E65" s="165"/>
      <c r="F65" s="165"/>
      <c r="G65" s="37" t="str">
        <f t="shared" si="5"/>
        <v/>
      </c>
      <c r="H65" s="38" t="str">
        <f t="shared" si="13"/>
        <v/>
      </c>
      <c r="I65" s="39" t="str">
        <f t="shared" si="6"/>
        <v/>
      </c>
      <c r="J65" s="38" t="str">
        <f t="shared" si="7"/>
        <v/>
      </c>
      <c r="K65" s="39" t="str">
        <f t="shared" si="8"/>
        <v/>
      </c>
      <c r="L65" s="38" t="str">
        <f t="shared" si="9"/>
        <v/>
      </c>
      <c r="M65" s="39" t="str">
        <f t="shared" si="10"/>
        <v/>
      </c>
      <c r="N65" s="38" t="str">
        <f t="shared" si="11"/>
        <v/>
      </c>
      <c r="O65" s="39" t="str">
        <f t="shared" si="12"/>
        <v/>
      </c>
      <c r="R65" s="14"/>
      <c r="S65" s="14"/>
      <c r="T65" s="14"/>
      <c r="U65" s="14"/>
      <c r="V65" s="14"/>
    </row>
    <row r="66" spans="1:22" s="6" customFormat="1" ht="14.5" x14ac:dyDescent="0.25">
      <c r="B66" s="6">
        <f t="shared" si="3"/>
        <v>0</v>
      </c>
      <c r="C66" s="12">
        <v>12</v>
      </c>
      <c r="D66" s="165" t="str">
        <f t="shared" si="4"/>
        <v/>
      </c>
      <c r="E66" s="165"/>
      <c r="F66" s="165"/>
      <c r="G66" s="37" t="str">
        <f t="shared" si="5"/>
        <v/>
      </c>
      <c r="H66" s="38" t="str">
        <f t="shared" si="13"/>
        <v/>
      </c>
      <c r="I66" s="39" t="str">
        <f t="shared" si="6"/>
        <v/>
      </c>
      <c r="J66" s="38" t="str">
        <f t="shared" si="7"/>
        <v/>
      </c>
      <c r="K66" s="39" t="str">
        <f t="shared" si="8"/>
        <v/>
      </c>
      <c r="L66" s="38" t="str">
        <f t="shared" si="9"/>
        <v/>
      </c>
      <c r="M66" s="39" t="str">
        <f t="shared" si="10"/>
        <v/>
      </c>
      <c r="N66" s="38" t="str">
        <f t="shared" si="11"/>
        <v/>
      </c>
      <c r="O66" s="39" t="str">
        <f t="shared" si="12"/>
        <v/>
      </c>
      <c r="R66" s="14"/>
      <c r="S66" s="14"/>
      <c r="T66" s="14"/>
      <c r="U66" s="14"/>
      <c r="V66" s="14"/>
    </row>
    <row r="67" spans="1:22" s="6" customFormat="1" ht="14.5" x14ac:dyDescent="0.25">
      <c r="B67" s="6">
        <f t="shared" si="3"/>
        <v>0</v>
      </c>
      <c r="C67" s="12">
        <v>13</v>
      </c>
      <c r="D67" s="165" t="str">
        <f t="shared" si="4"/>
        <v/>
      </c>
      <c r="E67" s="165"/>
      <c r="F67" s="165"/>
      <c r="G67" s="37" t="str">
        <f t="shared" si="5"/>
        <v/>
      </c>
      <c r="H67" s="38" t="str">
        <f t="shared" si="13"/>
        <v/>
      </c>
      <c r="I67" s="39" t="str">
        <f t="shared" si="6"/>
        <v/>
      </c>
      <c r="J67" s="38" t="str">
        <f t="shared" si="7"/>
        <v/>
      </c>
      <c r="K67" s="39" t="str">
        <f t="shared" si="8"/>
        <v/>
      </c>
      <c r="L67" s="38" t="str">
        <f t="shared" si="9"/>
        <v/>
      </c>
      <c r="M67" s="39" t="str">
        <f t="shared" si="10"/>
        <v/>
      </c>
      <c r="N67" s="38" t="str">
        <f t="shared" si="11"/>
        <v/>
      </c>
      <c r="O67" s="39" t="str">
        <f t="shared" si="12"/>
        <v/>
      </c>
      <c r="R67" s="14"/>
      <c r="S67" s="14"/>
      <c r="T67" s="14"/>
      <c r="U67" s="14"/>
      <c r="V67" s="14"/>
    </row>
    <row r="68" spans="1:22" s="6" customFormat="1" ht="14.5" x14ac:dyDescent="0.25">
      <c r="B68" s="6">
        <f t="shared" si="3"/>
        <v>0</v>
      </c>
      <c r="C68" s="12">
        <v>14</v>
      </c>
      <c r="D68" s="165" t="str">
        <f t="shared" si="4"/>
        <v/>
      </c>
      <c r="E68" s="165"/>
      <c r="F68" s="165"/>
      <c r="G68" s="37" t="str">
        <f t="shared" si="5"/>
        <v/>
      </c>
      <c r="H68" s="38" t="str">
        <f t="shared" si="13"/>
        <v/>
      </c>
      <c r="I68" s="39" t="str">
        <f t="shared" si="6"/>
        <v/>
      </c>
      <c r="J68" s="38" t="str">
        <f t="shared" si="7"/>
        <v/>
      </c>
      <c r="K68" s="39" t="str">
        <f t="shared" si="8"/>
        <v/>
      </c>
      <c r="L68" s="38" t="str">
        <f t="shared" si="9"/>
        <v/>
      </c>
      <c r="M68" s="39" t="str">
        <f t="shared" si="10"/>
        <v/>
      </c>
      <c r="N68" s="38" t="str">
        <f t="shared" si="11"/>
        <v/>
      </c>
      <c r="O68" s="39" t="str">
        <f t="shared" si="12"/>
        <v/>
      </c>
      <c r="R68" s="14"/>
      <c r="S68" s="14"/>
      <c r="T68" s="14"/>
      <c r="U68" s="14"/>
      <c r="V68" s="14"/>
    </row>
    <row r="69" spans="1:22" s="6" customFormat="1" ht="14.5" x14ac:dyDescent="0.25">
      <c r="B69" s="6">
        <f t="shared" si="3"/>
        <v>0</v>
      </c>
      <c r="C69" s="12">
        <v>15</v>
      </c>
      <c r="D69" s="165" t="str">
        <f t="shared" si="4"/>
        <v/>
      </c>
      <c r="E69" s="165"/>
      <c r="F69" s="165"/>
      <c r="G69" s="37" t="str">
        <f t="shared" si="5"/>
        <v/>
      </c>
      <c r="H69" s="38" t="str">
        <f t="shared" si="13"/>
        <v/>
      </c>
      <c r="I69" s="39" t="str">
        <f t="shared" si="6"/>
        <v/>
      </c>
      <c r="J69" s="38" t="str">
        <f t="shared" si="7"/>
        <v/>
      </c>
      <c r="K69" s="39" t="str">
        <f t="shared" si="8"/>
        <v/>
      </c>
      <c r="L69" s="38" t="str">
        <f t="shared" si="9"/>
        <v/>
      </c>
      <c r="M69" s="39" t="str">
        <f t="shared" si="10"/>
        <v/>
      </c>
      <c r="N69" s="38" t="str">
        <f t="shared" si="11"/>
        <v/>
      </c>
      <c r="O69" s="39" t="str">
        <f t="shared" si="12"/>
        <v/>
      </c>
      <c r="R69" s="14"/>
      <c r="S69" s="14"/>
      <c r="T69" s="14"/>
      <c r="U69" s="14"/>
      <c r="V69" s="14"/>
    </row>
    <row r="70" spans="1:22" s="6" customFormat="1" ht="14.5" x14ac:dyDescent="0.25">
      <c r="B70" s="6">
        <f t="shared" si="3"/>
        <v>0</v>
      </c>
      <c r="C70" s="12">
        <v>16</v>
      </c>
      <c r="D70" s="165" t="str">
        <f t="shared" si="4"/>
        <v/>
      </c>
      <c r="E70" s="165"/>
      <c r="F70" s="165"/>
      <c r="G70" s="37" t="str">
        <f t="shared" si="5"/>
        <v/>
      </c>
      <c r="H70" s="38" t="str">
        <f t="shared" si="13"/>
        <v/>
      </c>
      <c r="I70" s="39" t="str">
        <f t="shared" si="6"/>
        <v/>
      </c>
      <c r="J70" s="38" t="str">
        <f t="shared" si="7"/>
        <v/>
      </c>
      <c r="K70" s="39" t="str">
        <f t="shared" si="8"/>
        <v/>
      </c>
      <c r="L70" s="38" t="str">
        <f t="shared" si="9"/>
        <v/>
      </c>
      <c r="M70" s="39" t="str">
        <f t="shared" si="10"/>
        <v/>
      </c>
      <c r="N70" s="38" t="str">
        <f t="shared" si="11"/>
        <v/>
      </c>
      <c r="O70" s="39" t="str">
        <f t="shared" si="12"/>
        <v/>
      </c>
      <c r="R70" s="14"/>
      <c r="S70" s="14"/>
      <c r="T70" s="14"/>
      <c r="U70" s="14"/>
      <c r="V70" s="14"/>
    </row>
    <row r="71" spans="1:22" s="6" customFormat="1" ht="14.5" x14ac:dyDescent="0.25">
      <c r="B71" s="6">
        <f t="shared" si="3"/>
        <v>0</v>
      </c>
      <c r="C71" s="12">
        <v>17</v>
      </c>
      <c r="D71" s="165" t="str">
        <f t="shared" si="4"/>
        <v/>
      </c>
      <c r="E71" s="165"/>
      <c r="F71" s="165"/>
      <c r="G71" s="37" t="str">
        <f t="shared" si="5"/>
        <v/>
      </c>
      <c r="H71" s="38" t="str">
        <f t="shared" si="13"/>
        <v/>
      </c>
      <c r="I71" s="39" t="str">
        <f t="shared" si="6"/>
        <v/>
      </c>
      <c r="J71" s="38" t="str">
        <f t="shared" si="7"/>
        <v/>
      </c>
      <c r="K71" s="39" t="str">
        <f t="shared" si="8"/>
        <v/>
      </c>
      <c r="L71" s="38" t="str">
        <f t="shared" si="9"/>
        <v/>
      </c>
      <c r="M71" s="39" t="str">
        <f t="shared" si="10"/>
        <v/>
      </c>
      <c r="N71" s="38" t="str">
        <f t="shared" si="11"/>
        <v/>
      </c>
      <c r="O71" s="39" t="str">
        <f t="shared" si="12"/>
        <v/>
      </c>
      <c r="R71" s="14"/>
      <c r="S71" s="14"/>
      <c r="T71" s="14"/>
      <c r="U71" s="14"/>
      <c r="V71" s="14"/>
    </row>
    <row r="72" spans="1:22" s="6" customFormat="1" ht="14.5" x14ac:dyDescent="0.25">
      <c r="B72" s="6">
        <f t="shared" si="3"/>
        <v>0</v>
      </c>
      <c r="C72" s="12">
        <v>18</v>
      </c>
      <c r="D72" s="165" t="str">
        <f t="shared" si="4"/>
        <v/>
      </c>
      <c r="E72" s="165"/>
      <c r="F72" s="165"/>
      <c r="G72" s="37" t="str">
        <f t="shared" si="5"/>
        <v/>
      </c>
      <c r="H72" s="38" t="str">
        <f t="shared" si="13"/>
        <v/>
      </c>
      <c r="I72" s="39" t="str">
        <f t="shared" si="6"/>
        <v/>
      </c>
      <c r="J72" s="38" t="str">
        <f t="shared" si="7"/>
        <v/>
      </c>
      <c r="K72" s="39" t="str">
        <f t="shared" si="8"/>
        <v/>
      </c>
      <c r="L72" s="38" t="str">
        <f t="shared" si="9"/>
        <v/>
      </c>
      <c r="M72" s="39" t="str">
        <f t="shared" si="10"/>
        <v/>
      </c>
      <c r="N72" s="38" t="str">
        <f t="shared" si="11"/>
        <v/>
      </c>
      <c r="O72" s="39" t="str">
        <f t="shared" si="12"/>
        <v/>
      </c>
      <c r="R72" s="14"/>
      <c r="S72" s="14"/>
      <c r="T72" s="14"/>
      <c r="U72" s="14"/>
      <c r="V72" s="14"/>
    </row>
    <row r="73" spans="1:22" s="6" customFormat="1" ht="14.5" x14ac:dyDescent="0.25">
      <c r="B73" s="6">
        <f t="shared" si="3"/>
        <v>0</v>
      </c>
      <c r="C73" s="12">
        <v>19</v>
      </c>
      <c r="D73" s="165" t="str">
        <f t="shared" si="4"/>
        <v/>
      </c>
      <c r="E73" s="165"/>
      <c r="F73" s="165"/>
      <c r="G73" s="37" t="str">
        <f t="shared" si="5"/>
        <v/>
      </c>
      <c r="H73" s="38" t="str">
        <f t="shared" si="13"/>
        <v/>
      </c>
      <c r="I73" s="39" t="str">
        <f t="shared" si="6"/>
        <v/>
      </c>
      <c r="J73" s="38" t="str">
        <f t="shared" si="7"/>
        <v/>
      </c>
      <c r="K73" s="39" t="str">
        <f t="shared" si="8"/>
        <v/>
      </c>
      <c r="L73" s="38" t="str">
        <f t="shared" si="9"/>
        <v/>
      </c>
      <c r="M73" s="39" t="str">
        <f t="shared" si="10"/>
        <v/>
      </c>
      <c r="N73" s="38" t="str">
        <f t="shared" si="11"/>
        <v/>
      </c>
      <c r="O73" s="39" t="str">
        <f t="shared" si="12"/>
        <v/>
      </c>
      <c r="R73" s="14"/>
      <c r="S73" s="14"/>
      <c r="T73" s="14"/>
      <c r="U73" s="14"/>
      <c r="V73" s="14"/>
    </row>
    <row r="74" spans="1:22" s="6" customFormat="1" ht="14.5" x14ac:dyDescent="0.25">
      <c r="B74" s="6">
        <f t="shared" si="3"/>
        <v>0</v>
      </c>
      <c r="C74" s="12">
        <v>20</v>
      </c>
      <c r="D74" s="165" t="str">
        <f t="shared" si="4"/>
        <v/>
      </c>
      <c r="E74" s="165"/>
      <c r="F74" s="165"/>
      <c r="G74" s="37" t="str">
        <f t="shared" si="5"/>
        <v/>
      </c>
      <c r="H74" s="38" t="str">
        <f t="shared" si="13"/>
        <v/>
      </c>
      <c r="I74" s="39" t="str">
        <f t="shared" si="6"/>
        <v/>
      </c>
      <c r="J74" s="38" t="str">
        <f t="shared" si="7"/>
        <v/>
      </c>
      <c r="K74" s="39" t="str">
        <f t="shared" si="8"/>
        <v/>
      </c>
      <c r="L74" s="38" t="str">
        <f t="shared" si="9"/>
        <v/>
      </c>
      <c r="M74" s="39" t="str">
        <f t="shared" si="10"/>
        <v/>
      </c>
      <c r="N74" s="38" t="str">
        <f t="shared" si="11"/>
        <v/>
      </c>
      <c r="O74" s="39" t="str">
        <f t="shared" si="12"/>
        <v/>
      </c>
      <c r="R74" s="14"/>
      <c r="S74" s="14"/>
      <c r="T74" s="14"/>
      <c r="U74" s="14"/>
      <c r="V74" s="14"/>
    </row>
    <row r="75" spans="1:22" s="6" customFormat="1" ht="14.5" x14ac:dyDescent="0.25">
      <c r="C75" s="12"/>
      <c r="D75" s="40"/>
      <c r="E75" s="40"/>
      <c r="F75" s="40"/>
      <c r="G75" s="41"/>
      <c r="H75" s="42"/>
      <c r="I75" s="43"/>
      <c r="J75" s="42"/>
      <c r="K75" s="43"/>
      <c r="L75" s="42"/>
      <c r="M75" s="43"/>
      <c r="N75" s="42"/>
      <c r="O75" s="43"/>
      <c r="R75" s="14"/>
      <c r="S75" s="14"/>
      <c r="T75" s="14"/>
      <c r="U75" s="14"/>
      <c r="V75" s="14"/>
    </row>
    <row r="76" spans="1:22" s="6" customFormat="1" x14ac:dyDescent="0.25">
      <c r="C76" s="12"/>
      <c r="R76" s="14"/>
      <c r="S76" s="14"/>
      <c r="T76" s="14"/>
      <c r="U76" s="14"/>
      <c r="V76" s="14"/>
    </row>
    <row r="77" spans="1:22" ht="5.25" customHeight="1" x14ac:dyDescent="0.25">
      <c r="A77" s="44"/>
      <c r="B77" s="44"/>
      <c r="C77" s="45"/>
      <c r="D77" s="44"/>
      <c r="E77" s="44"/>
      <c r="F77" s="44"/>
      <c r="G77" s="44"/>
      <c r="H77" s="44"/>
      <c r="I77" s="44"/>
      <c r="J77" s="44"/>
      <c r="K77" s="44"/>
      <c r="L77" s="44"/>
      <c r="M77" s="44"/>
      <c r="N77" s="44"/>
      <c r="O77" s="44"/>
    </row>
    <row r="78" spans="1:22" s="6" customFormat="1" x14ac:dyDescent="0.25">
      <c r="C78" s="12"/>
    </row>
    <row r="79" spans="1:22" ht="13" x14ac:dyDescent="0.25">
      <c r="C79" s="14"/>
      <c r="D79" s="46" t="s">
        <v>39</v>
      </c>
      <c r="E79" s="176" t="str">
        <f>D30</f>
        <v>RESIDENTIAL SERVICE CLASSIFICATION</v>
      </c>
      <c r="F79" s="176"/>
      <c r="G79" s="176"/>
      <c r="H79" s="176"/>
      <c r="I79" s="176"/>
      <c r="J79" s="176"/>
      <c r="K79" s="14" t="str">
        <f>IF(N30="DEMAND - INTERVAL","RTSR - INTERVAL METERED","")</f>
        <v/>
      </c>
      <c r="T79" s="14" t="s">
        <v>29</v>
      </c>
    </row>
    <row r="80" spans="1:22" ht="13" x14ac:dyDescent="0.25">
      <c r="C80" s="14"/>
      <c r="D80" s="46" t="s">
        <v>40</v>
      </c>
      <c r="E80" s="177" t="str">
        <f>H30</f>
        <v>RPP</v>
      </c>
      <c r="F80" s="177"/>
      <c r="G80" s="177"/>
      <c r="H80" s="47"/>
      <c r="I80" s="47"/>
    </row>
    <row r="81" spans="1:14" ht="15.5" x14ac:dyDescent="0.3">
      <c r="C81" s="14"/>
      <c r="D81" s="46" t="s">
        <v>41</v>
      </c>
      <c r="E81" s="48">
        <f>K30</f>
        <v>750</v>
      </c>
      <c r="F81" s="49" t="s">
        <v>14</v>
      </c>
      <c r="J81" s="50"/>
      <c r="K81" s="50"/>
      <c r="L81" s="50"/>
      <c r="M81" s="50"/>
      <c r="N81" s="50"/>
    </row>
    <row r="82" spans="1:14" ht="15.5" x14ac:dyDescent="0.35">
      <c r="C82" s="14"/>
      <c r="D82" s="46" t="s">
        <v>42</v>
      </c>
      <c r="E82" s="48">
        <f>L30</f>
        <v>0</v>
      </c>
      <c r="F82" s="51" t="s">
        <v>19</v>
      </c>
      <c r="G82" s="52"/>
      <c r="H82" s="53"/>
      <c r="I82" s="53"/>
      <c r="J82" s="53"/>
    </row>
    <row r="83" spans="1:14" ht="13" x14ac:dyDescent="0.3">
      <c r="C83" s="14"/>
      <c r="D83" s="46" t="s">
        <v>43</v>
      </c>
      <c r="E83" s="54">
        <f>I30</f>
        <v>1.0561</v>
      </c>
    </row>
    <row r="84" spans="1:14" ht="13" x14ac:dyDescent="0.3">
      <c r="B84" s="55"/>
      <c r="C84" s="14"/>
      <c r="D84" s="46" t="s">
        <v>44</v>
      </c>
      <c r="E84" s="54">
        <f>J30</f>
        <v>1.0561</v>
      </c>
    </row>
    <row r="85" spans="1:14" x14ac:dyDescent="0.25">
      <c r="C85" s="14"/>
    </row>
    <row r="86" spans="1:14" ht="13" x14ac:dyDescent="0.3">
      <c r="C86" s="14"/>
      <c r="E86" s="49"/>
      <c r="F86" s="178" t="s">
        <v>45</v>
      </c>
      <c r="G86" s="179"/>
      <c r="H86" s="180"/>
      <c r="I86" s="178" t="s">
        <v>46</v>
      </c>
      <c r="J86" s="179"/>
      <c r="K86" s="180"/>
      <c r="L86" s="178" t="s">
        <v>47</v>
      </c>
      <c r="M86" s="180"/>
    </row>
    <row r="87" spans="1:14" ht="13" x14ac:dyDescent="0.3">
      <c r="C87" s="14"/>
      <c r="E87" s="182"/>
      <c r="F87" s="56" t="s">
        <v>48</v>
      </c>
      <c r="G87" s="56" t="s">
        <v>49</v>
      </c>
      <c r="H87" s="57" t="s">
        <v>50</v>
      </c>
      <c r="I87" s="56" t="s">
        <v>48</v>
      </c>
      <c r="J87" s="58" t="s">
        <v>49</v>
      </c>
      <c r="K87" s="57" t="s">
        <v>50</v>
      </c>
      <c r="L87" s="184" t="s">
        <v>51</v>
      </c>
      <c r="M87" s="186" t="s">
        <v>52</v>
      </c>
    </row>
    <row r="88" spans="1:14" ht="13" x14ac:dyDescent="0.3">
      <c r="C88" s="14"/>
      <c r="E88" s="183"/>
      <c r="F88" s="59" t="s">
        <v>53</v>
      </c>
      <c r="G88" s="59"/>
      <c r="H88" s="60" t="s">
        <v>53</v>
      </c>
      <c r="I88" s="59" t="s">
        <v>53</v>
      </c>
      <c r="J88" s="60"/>
      <c r="K88" s="60" t="s">
        <v>53</v>
      </c>
      <c r="L88" s="185"/>
      <c r="M88" s="187"/>
    </row>
    <row r="89" spans="1:14" ht="13" x14ac:dyDescent="0.25">
      <c r="A89" s="14" t="str">
        <f>$E79</f>
        <v>RESIDENTIAL SERVICE CLASSIFICATION</v>
      </c>
      <c r="C89" s="61"/>
      <c r="D89" s="55" t="s">
        <v>54</v>
      </c>
      <c r="E89" s="62"/>
      <c r="F89" s="63">
        <v>27.93</v>
      </c>
      <c r="G89" s="64">
        <v>1</v>
      </c>
      <c r="H89" s="65">
        <f>G89*F89</f>
        <v>27.93</v>
      </c>
      <c r="I89" s="66">
        <v>27.93</v>
      </c>
      <c r="J89" s="67">
        <f>G89</f>
        <v>1</v>
      </c>
      <c r="K89" s="68">
        <f>J89*I89</f>
        <v>27.93</v>
      </c>
      <c r="L89" s="69">
        <f>K89-H89</f>
        <v>0</v>
      </c>
      <c r="M89" s="70">
        <f>IF(ISERROR(L89/H89), "", L89/H89)</f>
        <v>0</v>
      </c>
    </row>
    <row r="90" spans="1:14" ht="13" x14ac:dyDescent="0.25">
      <c r="A90" s="14" t="str">
        <f t="shared" ref="A90:A132" si="14">A89</f>
        <v>RESIDENTIAL SERVICE CLASSIFICATION</v>
      </c>
      <c r="C90" s="61"/>
      <c r="D90" s="55" t="s">
        <v>55</v>
      </c>
      <c r="E90" s="62"/>
      <c r="F90" s="71">
        <v>0</v>
      </c>
      <c r="G90" s="64">
        <f>IF($E82&gt;0, $E82, $E81)</f>
        <v>750</v>
      </c>
      <c r="H90" s="65">
        <f>G90*F90</f>
        <v>0</v>
      </c>
      <c r="I90" s="72">
        <v>0</v>
      </c>
      <c r="J90" s="67">
        <f>IF($E82&gt;0, $E82, $E81)</f>
        <v>750</v>
      </c>
      <c r="K90" s="68">
        <f>J90*I90</f>
        <v>0</v>
      </c>
      <c r="L90" s="69">
        <f>K90-H90</f>
        <v>0</v>
      </c>
      <c r="M90" s="70" t="str">
        <f>IF(ISERROR(L90/H90), "", L90/H90)</f>
        <v/>
      </c>
    </row>
    <row r="91" spans="1:14" ht="13" x14ac:dyDescent="0.25">
      <c r="A91" s="14" t="str">
        <f t="shared" si="14"/>
        <v>RESIDENTIAL SERVICE CLASSIFICATION</v>
      </c>
      <c r="C91" s="61"/>
      <c r="D91" s="55" t="s">
        <v>56</v>
      </c>
      <c r="E91" s="62"/>
      <c r="F91" s="71"/>
      <c r="G91" s="64">
        <f>IF($E82&gt;0, $E82, $E81)</f>
        <v>750</v>
      </c>
      <c r="H91" s="65">
        <v>0</v>
      </c>
      <c r="I91" s="72"/>
      <c r="J91" s="67">
        <f>IF($E82&gt;0, $E82, $E81)</f>
        <v>750</v>
      </c>
      <c r="K91" s="68">
        <v>0</v>
      </c>
      <c r="L91" s="69"/>
      <c r="M91" s="70"/>
    </row>
    <row r="92" spans="1:14" ht="13" x14ac:dyDescent="0.25">
      <c r="A92" s="14" t="str">
        <f t="shared" si="14"/>
        <v>RESIDENTIAL SERVICE CLASSIFICATION</v>
      </c>
      <c r="C92" s="61"/>
      <c r="D92" s="55" t="s">
        <v>57</v>
      </c>
      <c r="E92" s="62"/>
      <c r="F92" s="71"/>
      <c r="G92" s="64">
        <f>IF($E82&gt;0, $E82, $E81)</f>
        <v>750</v>
      </c>
      <c r="H92" s="65">
        <v>0</v>
      </c>
      <c r="I92" s="72"/>
      <c r="J92" s="73">
        <f>IF($E82&gt;0, $E82, $E81)</f>
        <v>750</v>
      </c>
      <c r="K92" s="68">
        <v>0</v>
      </c>
      <c r="L92" s="69">
        <f t="shared" ref="L92:L110" si="15">K92-H92</f>
        <v>0</v>
      </c>
      <c r="M92" s="70" t="str">
        <f>IF(ISERROR(L92/H92), "", L92/H92)</f>
        <v/>
      </c>
    </row>
    <row r="93" spans="1:14" ht="13" x14ac:dyDescent="0.25">
      <c r="A93" s="14" t="str">
        <f t="shared" si="14"/>
        <v>RESIDENTIAL SERVICE CLASSIFICATION</v>
      </c>
      <c r="C93" s="61"/>
      <c r="D93" s="55" t="s">
        <v>58</v>
      </c>
      <c r="E93" s="62"/>
      <c r="F93" s="63">
        <v>-7.06</v>
      </c>
      <c r="G93" s="64">
        <v>1</v>
      </c>
      <c r="H93" s="65">
        <f>G93*F93</f>
        <v>-7.06</v>
      </c>
      <c r="I93" s="66">
        <v>2.2800000000000002</v>
      </c>
      <c r="J93" s="67">
        <f>G93</f>
        <v>1</v>
      </c>
      <c r="K93" s="68">
        <f>J93*I93</f>
        <v>2.2800000000000002</v>
      </c>
      <c r="L93" s="69">
        <f t="shared" si="15"/>
        <v>9.34</v>
      </c>
      <c r="M93" s="70">
        <f>IF(ISERROR(L93/H93), "", IF(H93&lt;0,(K93-(H93))/ABS(H93),L93/H93))</f>
        <v>1.3229461756373939</v>
      </c>
    </row>
    <row r="94" spans="1:14" ht="13" x14ac:dyDescent="0.25">
      <c r="A94" s="14" t="str">
        <f t="shared" si="14"/>
        <v>RESIDENTIAL SERVICE CLASSIFICATION</v>
      </c>
      <c r="C94" s="61"/>
      <c r="D94" s="55" t="s">
        <v>59</v>
      </c>
      <c r="E94" s="62"/>
      <c r="F94" s="71">
        <v>1.1999999999999999E-3</v>
      </c>
      <c r="G94" s="64">
        <f>IF($E82&gt;0, $E82, $E81)</f>
        <v>750</v>
      </c>
      <c r="H94" s="65">
        <f>G94*F94</f>
        <v>0.89999999999999991</v>
      </c>
      <c r="I94" s="72">
        <v>0</v>
      </c>
      <c r="J94" s="67">
        <f>IF($E82&gt;0, $E82, $E81)</f>
        <v>750</v>
      </c>
      <c r="K94" s="68">
        <f>J94*I94</f>
        <v>0</v>
      </c>
      <c r="L94" s="69">
        <f t="shared" si="15"/>
        <v>-0.89999999999999991</v>
      </c>
      <c r="M94" s="70">
        <f>IF(ISERROR(L94/H94), "", L94/H94)</f>
        <v>-1</v>
      </c>
    </row>
    <row r="95" spans="1:14" ht="13" x14ac:dyDescent="0.25">
      <c r="A95" s="14" t="str">
        <f t="shared" si="14"/>
        <v>RESIDENTIAL SERVICE CLASSIFICATION</v>
      </c>
      <c r="B95" s="14" t="s">
        <v>60</v>
      </c>
      <c r="C95" s="61">
        <f>B30</f>
        <v>1</v>
      </c>
      <c r="D95" s="74" t="s">
        <v>61</v>
      </c>
      <c r="E95" s="75"/>
      <c r="F95" s="76"/>
      <c r="G95" s="77"/>
      <c r="H95" s="78">
        <f>SUM(H89:H94)</f>
        <v>21.77</v>
      </c>
      <c r="I95" s="79"/>
      <c r="J95" s="80"/>
      <c r="K95" s="78">
        <f>SUM(K89:K94)</f>
        <v>30.21</v>
      </c>
      <c r="L95" s="81">
        <f t="shared" si="15"/>
        <v>8.4400000000000013</v>
      </c>
      <c r="M95" s="82">
        <f>IF((H95)=0,"",(L95/H95))</f>
        <v>0.38768948093706945</v>
      </c>
    </row>
    <row r="96" spans="1:14" ht="13" x14ac:dyDescent="0.25">
      <c r="A96" s="14" t="str">
        <f t="shared" si="14"/>
        <v>RESIDENTIAL SERVICE CLASSIFICATION</v>
      </c>
      <c r="C96" s="61"/>
      <c r="D96" s="83" t="s">
        <v>62</v>
      </c>
      <c r="E96" s="62"/>
      <c r="F96" s="71">
        <v>9.3670000000000003E-2</v>
      </c>
      <c r="G96" s="84">
        <f>IF(F96=0, 0, $E81*E83-E81)</f>
        <v>42.075000000000045</v>
      </c>
      <c r="H96" s="65">
        <f t="shared" ref="H96:H103" si="16">G96*F96</f>
        <v>3.9411652500000045</v>
      </c>
      <c r="I96" s="72">
        <v>9.3670000000000003E-2</v>
      </c>
      <c r="J96" s="85">
        <f>IF(I96=0, 0, E81*E84-E81)</f>
        <v>42.075000000000045</v>
      </c>
      <c r="K96" s="68">
        <f t="shared" ref="K96:K103" si="17">J96*I96</f>
        <v>3.9411652500000045</v>
      </c>
      <c r="L96" s="69">
        <f t="shared" si="15"/>
        <v>0</v>
      </c>
      <c r="M96" s="70">
        <f t="shared" ref="M96:M103" si="18">IF(ISERROR(L96/H96), "", L96/H96)</f>
        <v>0</v>
      </c>
    </row>
    <row r="97" spans="1:13" ht="25" x14ac:dyDescent="0.25">
      <c r="A97" s="14" t="str">
        <f t="shared" si="14"/>
        <v>RESIDENTIAL SERVICE CLASSIFICATION</v>
      </c>
      <c r="C97" s="61"/>
      <c r="D97" s="83" t="s">
        <v>63</v>
      </c>
      <c r="E97" s="62"/>
      <c r="F97" s="71">
        <v>5.5999999999999999E-3</v>
      </c>
      <c r="G97" s="86">
        <f>IF($E82&gt;0, $E82, $E81)</f>
        <v>750</v>
      </c>
      <c r="H97" s="65">
        <f t="shared" si="16"/>
        <v>4.2</v>
      </c>
      <c r="I97" s="72">
        <v>2.7000000000000001E-3</v>
      </c>
      <c r="J97" s="87">
        <f>IF($E82&gt;0, $E82, $E81)</f>
        <v>750</v>
      </c>
      <c r="K97" s="68">
        <f t="shared" si="17"/>
        <v>2.0249999999999999</v>
      </c>
      <c r="L97" s="69">
        <f t="shared" si="15"/>
        <v>-2.1750000000000003</v>
      </c>
      <c r="M97" s="70">
        <f t="shared" si="18"/>
        <v>-0.5178571428571429</v>
      </c>
    </row>
    <row r="98" spans="1:13" ht="13" x14ac:dyDescent="0.25">
      <c r="A98" s="14" t="str">
        <f t="shared" si="14"/>
        <v>RESIDENTIAL SERVICE CLASSIFICATION</v>
      </c>
      <c r="C98" s="61"/>
      <c r="D98" s="83" t="s">
        <v>64</v>
      </c>
      <c r="E98" s="62"/>
      <c r="F98" s="71">
        <v>-2.0000000000000001E-4</v>
      </c>
      <c r="G98" s="86">
        <f>IF($E82&gt;0, $E82, $E81)</f>
        <v>750</v>
      </c>
      <c r="H98" s="65">
        <f t="shared" si="16"/>
        <v>-0.15</v>
      </c>
      <c r="I98" s="72">
        <v>-4.0000000000000002E-4</v>
      </c>
      <c r="J98" s="87">
        <f>IF($E82&gt;0, $E82, $E81)</f>
        <v>750</v>
      </c>
      <c r="K98" s="68">
        <f t="shared" si="17"/>
        <v>-0.3</v>
      </c>
      <c r="L98" s="69">
        <f t="shared" si="15"/>
        <v>-0.15</v>
      </c>
      <c r="M98" s="70">
        <f>IF(ISERROR(L98/H98), "", IF(H98&lt;0,(K98-(H98))/ABS(H98),L98/H98))</f>
        <v>-1</v>
      </c>
    </row>
    <row r="99" spans="1:13" ht="13" x14ac:dyDescent="0.25">
      <c r="A99" s="14" t="str">
        <f t="shared" si="14"/>
        <v>RESIDENTIAL SERVICE CLASSIFICATION</v>
      </c>
      <c r="C99" s="61"/>
      <c r="D99" s="83" t="s">
        <v>65</v>
      </c>
      <c r="E99" s="62"/>
      <c r="F99" s="71">
        <v>0</v>
      </c>
      <c r="G99" s="86">
        <f>E81</f>
        <v>750</v>
      </c>
      <c r="H99" s="65">
        <f t="shared" si="16"/>
        <v>0</v>
      </c>
      <c r="I99" s="72">
        <v>0</v>
      </c>
      <c r="J99" s="87">
        <f>E81</f>
        <v>750</v>
      </c>
      <c r="K99" s="68">
        <f t="shared" si="17"/>
        <v>0</v>
      </c>
      <c r="L99" s="69">
        <f t="shared" si="15"/>
        <v>0</v>
      </c>
      <c r="M99" s="70" t="str">
        <f t="shared" si="18"/>
        <v/>
      </c>
    </row>
    <row r="100" spans="1:13" ht="13" x14ac:dyDescent="0.25">
      <c r="A100" s="14" t="str">
        <f t="shared" si="14"/>
        <v>RESIDENTIAL SERVICE CLASSIFICATION</v>
      </c>
      <c r="C100" s="61"/>
      <c r="D100" s="55" t="s">
        <v>66</v>
      </c>
      <c r="E100" s="62"/>
      <c r="F100" s="71">
        <v>5.9999999999999995E-4</v>
      </c>
      <c r="G100" s="86">
        <f>IF($E82&gt;0, $E82, $E81)</f>
        <v>750</v>
      </c>
      <c r="H100" s="65">
        <f t="shared" si="16"/>
        <v>0.44999999999999996</v>
      </c>
      <c r="I100" s="72">
        <v>1.6651269671003146E-3</v>
      </c>
      <c r="J100" s="87">
        <f>IF($E82&gt;0, $E82, $E81)</f>
        <v>750</v>
      </c>
      <c r="K100" s="68">
        <f t="shared" si="17"/>
        <v>1.248845225325236</v>
      </c>
      <c r="L100" s="69">
        <f t="shared" si="15"/>
        <v>0.79884522532523605</v>
      </c>
      <c r="M100" s="70">
        <f t="shared" si="18"/>
        <v>1.7752116118338581</v>
      </c>
    </row>
    <row r="101" spans="1:13" ht="13" x14ac:dyDescent="0.25">
      <c r="A101" s="14" t="str">
        <f t="shared" si="14"/>
        <v>RESIDENTIAL SERVICE CLASSIFICATION</v>
      </c>
      <c r="C101" s="61"/>
      <c r="D101" s="83" t="s">
        <v>67</v>
      </c>
      <c r="E101" s="62"/>
      <c r="F101" s="88">
        <v>0.42</v>
      </c>
      <c r="G101" s="64">
        <v>1</v>
      </c>
      <c r="H101" s="65">
        <f t="shared" si="16"/>
        <v>0.42</v>
      </c>
      <c r="I101" s="89">
        <v>0.42</v>
      </c>
      <c r="J101" s="73">
        <v>1</v>
      </c>
      <c r="K101" s="68">
        <f t="shared" si="17"/>
        <v>0.42</v>
      </c>
      <c r="L101" s="69">
        <f t="shared" si="15"/>
        <v>0</v>
      </c>
      <c r="M101" s="70">
        <f t="shared" si="18"/>
        <v>0</v>
      </c>
    </row>
    <row r="102" spans="1:13" ht="13" x14ac:dyDescent="0.25">
      <c r="A102" s="14" t="str">
        <f t="shared" si="14"/>
        <v>RESIDENTIAL SERVICE CLASSIFICATION</v>
      </c>
      <c r="C102" s="61"/>
      <c r="D102" s="55" t="s">
        <v>68</v>
      </c>
      <c r="E102" s="62"/>
      <c r="F102" s="63">
        <v>0</v>
      </c>
      <c r="G102" s="64">
        <v>1</v>
      </c>
      <c r="H102" s="65">
        <f t="shared" si="16"/>
        <v>0</v>
      </c>
      <c r="I102" s="66">
        <v>0</v>
      </c>
      <c r="J102" s="73">
        <v>1</v>
      </c>
      <c r="K102" s="68">
        <f t="shared" si="17"/>
        <v>0</v>
      </c>
      <c r="L102" s="69">
        <f t="shared" si="15"/>
        <v>0</v>
      </c>
      <c r="M102" s="70" t="str">
        <f t="shared" si="18"/>
        <v/>
      </c>
    </row>
    <row r="103" spans="1:13" ht="13" x14ac:dyDescent="0.25">
      <c r="A103" s="14" t="str">
        <f t="shared" si="14"/>
        <v>RESIDENTIAL SERVICE CLASSIFICATION</v>
      </c>
      <c r="C103" s="61"/>
      <c r="D103" s="55" t="s">
        <v>69</v>
      </c>
      <c r="E103" s="62"/>
      <c r="F103" s="71">
        <v>0</v>
      </c>
      <c r="G103" s="86">
        <f>IF($E82&gt;0, $E82, $E81)</f>
        <v>750</v>
      </c>
      <c r="H103" s="65">
        <f t="shared" si="16"/>
        <v>0</v>
      </c>
      <c r="I103" s="72">
        <v>0</v>
      </c>
      <c r="J103" s="87">
        <f>IF($E82&gt;0, $E82, $E81)</f>
        <v>750</v>
      </c>
      <c r="K103" s="68">
        <f t="shared" si="17"/>
        <v>0</v>
      </c>
      <c r="L103" s="69">
        <f t="shared" si="15"/>
        <v>0</v>
      </c>
      <c r="M103" s="70" t="str">
        <f t="shared" si="18"/>
        <v/>
      </c>
    </row>
    <row r="104" spans="1:13" ht="26" x14ac:dyDescent="0.25">
      <c r="A104" s="14" t="str">
        <f t="shared" si="14"/>
        <v>RESIDENTIAL SERVICE CLASSIFICATION</v>
      </c>
      <c r="B104" s="14" t="s">
        <v>70</v>
      </c>
      <c r="C104" s="61">
        <f>B30</f>
        <v>1</v>
      </c>
      <c r="D104" s="90" t="s">
        <v>71</v>
      </c>
      <c r="E104" s="91"/>
      <c r="F104" s="92"/>
      <c r="G104" s="93"/>
      <c r="H104" s="94">
        <f>SUM(H95:H103)</f>
        <v>30.631165250000006</v>
      </c>
      <c r="I104" s="95"/>
      <c r="J104" s="96"/>
      <c r="K104" s="94">
        <f>SUM(K95:K103)</f>
        <v>37.545010475325242</v>
      </c>
      <c r="L104" s="81">
        <f t="shared" si="15"/>
        <v>6.913845225325236</v>
      </c>
      <c r="M104" s="82">
        <f>IF((H104)=0,"",(L104/H104))</f>
        <v>0.22571277223367253</v>
      </c>
    </row>
    <row r="105" spans="1:13" ht="13" x14ac:dyDescent="0.25">
      <c r="A105" s="14" t="str">
        <f t="shared" si="14"/>
        <v>RESIDENTIAL SERVICE CLASSIFICATION</v>
      </c>
      <c r="C105" s="61"/>
      <c r="D105" s="97" t="s">
        <v>72</v>
      </c>
      <c r="E105" s="62"/>
      <c r="F105" s="71">
        <v>9.2999999999999992E-3</v>
      </c>
      <c r="G105" s="84">
        <f>IF($E82&gt;0, $E82, $E81*$E83)</f>
        <v>792.07500000000005</v>
      </c>
      <c r="H105" s="65">
        <f>G105*F105</f>
        <v>7.3662974999999999</v>
      </c>
      <c r="I105" s="98">
        <v>9.2999999999999992E-3</v>
      </c>
      <c r="J105" s="85">
        <f>IF($E82&gt;0, $E82, $E81*$E84)</f>
        <v>792.07500000000005</v>
      </c>
      <c r="K105" s="68">
        <f>J105*I105</f>
        <v>7.3662974999999999</v>
      </c>
      <c r="L105" s="69">
        <f t="shared" si="15"/>
        <v>0</v>
      </c>
      <c r="M105" s="70">
        <f>IF(ISERROR(L105/H105), "", L105/H105)</f>
        <v>0</v>
      </c>
    </row>
    <row r="106" spans="1:13" ht="25" x14ac:dyDescent="0.25">
      <c r="A106" s="14" t="str">
        <f t="shared" si="14"/>
        <v>RESIDENTIAL SERVICE CLASSIFICATION</v>
      </c>
      <c r="C106" s="61"/>
      <c r="D106" s="99" t="s">
        <v>73</v>
      </c>
      <c r="E106" s="62"/>
      <c r="F106" s="71">
        <v>6.7999999999999996E-3</v>
      </c>
      <c r="G106" s="84">
        <f>IF($E82&gt;0, $E82, $E81*$E83)</f>
        <v>792.07500000000005</v>
      </c>
      <c r="H106" s="65">
        <f>G106*F106</f>
        <v>5.3861100000000004</v>
      </c>
      <c r="I106" s="98">
        <v>6.7999999999999996E-3</v>
      </c>
      <c r="J106" s="85">
        <f>IF($E82&gt;0, $E82, $E81*$E84)</f>
        <v>792.07500000000005</v>
      </c>
      <c r="K106" s="68">
        <f>J106*I106</f>
        <v>5.3861100000000004</v>
      </c>
      <c r="L106" s="69">
        <f t="shared" si="15"/>
        <v>0</v>
      </c>
      <c r="M106" s="70">
        <f>IF(ISERROR(L106/H106), "", L106/H106)</f>
        <v>0</v>
      </c>
    </row>
    <row r="107" spans="1:13" ht="26" x14ac:dyDescent="0.25">
      <c r="A107" s="14" t="str">
        <f t="shared" si="14"/>
        <v>RESIDENTIAL SERVICE CLASSIFICATION</v>
      </c>
      <c r="B107" s="14" t="s">
        <v>74</v>
      </c>
      <c r="C107" s="61">
        <f>B30</f>
        <v>1</v>
      </c>
      <c r="D107" s="90" t="s">
        <v>75</v>
      </c>
      <c r="E107" s="75"/>
      <c r="F107" s="92"/>
      <c r="G107" s="93"/>
      <c r="H107" s="94">
        <f>SUM(H104:H106)</f>
        <v>43.383572750000006</v>
      </c>
      <c r="I107" s="95"/>
      <c r="J107" s="80"/>
      <c r="K107" s="94">
        <f>SUM(K104:K106)</f>
        <v>50.297417975325246</v>
      </c>
      <c r="L107" s="81">
        <f t="shared" si="15"/>
        <v>6.9138452253252396</v>
      </c>
      <c r="M107" s="82">
        <f>IF((H107)=0,"",(L107/H107))</f>
        <v>0.15936551065461152</v>
      </c>
    </row>
    <row r="108" spans="1:13" ht="25" x14ac:dyDescent="0.25">
      <c r="A108" s="14" t="str">
        <f t="shared" si="14"/>
        <v>RESIDENTIAL SERVICE CLASSIFICATION</v>
      </c>
      <c r="C108" s="61"/>
      <c r="D108" s="100" t="s">
        <v>76</v>
      </c>
      <c r="E108" s="62"/>
      <c r="F108" s="71">
        <v>4.5000000000000005E-3</v>
      </c>
      <c r="G108" s="84">
        <f>E81*E83</f>
        <v>792.07500000000005</v>
      </c>
      <c r="H108" s="101">
        <f>G108*F108</f>
        <v>3.5643375000000006</v>
      </c>
      <c r="I108" s="72">
        <v>4.5000000000000005E-3</v>
      </c>
      <c r="J108" s="85">
        <f>E81*E84</f>
        <v>792.07500000000005</v>
      </c>
      <c r="K108" s="68">
        <f>J108*I108</f>
        <v>3.5643375000000006</v>
      </c>
      <c r="L108" s="69">
        <f t="shared" si="15"/>
        <v>0</v>
      </c>
      <c r="M108" s="70">
        <f>IF(ISERROR(L108/H108), "", L108/H108)</f>
        <v>0</v>
      </c>
    </row>
    <row r="109" spans="1:13" ht="25" x14ac:dyDescent="0.25">
      <c r="A109" s="14" t="str">
        <f t="shared" si="14"/>
        <v>RESIDENTIAL SERVICE CLASSIFICATION</v>
      </c>
      <c r="C109" s="61"/>
      <c r="D109" s="100" t="s">
        <v>77</v>
      </c>
      <c r="E109" s="62"/>
      <c r="F109" s="71">
        <v>6.9999999999999999E-4</v>
      </c>
      <c r="G109" s="84">
        <f>E81*E83</f>
        <v>792.07500000000005</v>
      </c>
      <c r="H109" s="101">
        <f>G109*F109</f>
        <v>0.55445250000000001</v>
      </c>
      <c r="I109" s="72">
        <v>6.9999999999999999E-4</v>
      </c>
      <c r="J109" s="85">
        <f>E81*E84</f>
        <v>792.07500000000005</v>
      </c>
      <c r="K109" s="68">
        <f>J109*I109</f>
        <v>0.55445250000000001</v>
      </c>
      <c r="L109" s="69">
        <f t="shared" si="15"/>
        <v>0</v>
      </c>
      <c r="M109" s="70">
        <f>IF(ISERROR(L109/H109), "", L109/H109)</f>
        <v>0</v>
      </c>
    </row>
    <row r="110" spans="1:13" ht="13" x14ac:dyDescent="0.25">
      <c r="A110" s="14" t="str">
        <f t="shared" si="14"/>
        <v>RESIDENTIAL SERVICE CLASSIFICATION</v>
      </c>
      <c r="C110" s="61"/>
      <c r="D110" s="102" t="s">
        <v>78</v>
      </c>
      <c r="E110" s="62"/>
      <c r="F110" s="88">
        <v>0.25</v>
      </c>
      <c r="G110" s="64">
        <v>1</v>
      </c>
      <c r="H110" s="101">
        <f>G110*F110</f>
        <v>0.25</v>
      </c>
      <c r="I110" s="89">
        <v>0.25</v>
      </c>
      <c r="J110" s="67">
        <v>1</v>
      </c>
      <c r="K110" s="68">
        <f>J110*I110</f>
        <v>0.25</v>
      </c>
      <c r="L110" s="69">
        <f t="shared" si="15"/>
        <v>0</v>
      </c>
      <c r="M110" s="70">
        <f>IF(ISERROR(L110/H110), "", L110/H110)</f>
        <v>0</v>
      </c>
    </row>
    <row r="111" spans="1:13" ht="25" x14ac:dyDescent="0.25">
      <c r="A111" s="14" t="str">
        <f t="shared" si="14"/>
        <v>RESIDENTIAL SERVICE CLASSIFICATION</v>
      </c>
      <c r="C111" s="61"/>
      <c r="D111" s="100" t="s">
        <v>79</v>
      </c>
      <c r="E111" s="62"/>
      <c r="F111" s="71"/>
      <c r="G111" s="84"/>
      <c r="H111" s="101"/>
      <c r="I111" s="72"/>
      <c r="J111" s="85"/>
      <c r="K111" s="68"/>
      <c r="L111" s="69"/>
      <c r="M111" s="70"/>
    </row>
    <row r="112" spans="1:13" ht="13" x14ac:dyDescent="0.25">
      <c r="A112" s="14" t="str">
        <f t="shared" si="14"/>
        <v>RESIDENTIAL SERVICE CLASSIFICATION</v>
      </c>
      <c r="B112" s="14" t="s">
        <v>15</v>
      </c>
      <c r="C112" s="61"/>
      <c r="D112" s="102" t="s">
        <v>80</v>
      </c>
      <c r="E112" s="62"/>
      <c r="F112" s="103">
        <v>7.3999999999999996E-2</v>
      </c>
      <c r="G112" s="104">
        <v>472.5</v>
      </c>
      <c r="H112" s="101">
        <f>G112*F112</f>
        <v>34.964999999999996</v>
      </c>
      <c r="I112" s="105">
        <v>7.3999999999999996E-2</v>
      </c>
      <c r="J112" s="106">
        <v>472.5</v>
      </c>
      <c r="K112" s="68">
        <f>J112*I112</f>
        <v>34.964999999999996</v>
      </c>
      <c r="L112" s="69">
        <f>K112-H112</f>
        <v>0</v>
      </c>
      <c r="M112" s="70">
        <f>IF(ISERROR(L112/H112), "", L112/H112)</f>
        <v>0</v>
      </c>
    </row>
    <row r="113" spans="1:13" ht="13" x14ac:dyDescent="0.25">
      <c r="A113" s="14" t="str">
        <f t="shared" si="14"/>
        <v>RESIDENTIAL SERVICE CLASSIFICATION</v>
      </c>
      <c r="B113" s="14" t="s">
        <v>15</v>
      </c>
      <c r="C113" s="61"/>
      <c r="D113" s="102" t="s">
        <v>81</v>
      </c>
      <c r="E113" s="62"/>
      <c r="F113" s="103">
        <v>0.10199999999999999</v>
      </c>
      <c r="G113" s="104">
        <v>135</v>
      </c>
      <c r="H113" s="101">
        <f>G113*F113</f>
        <v>13.77</v>
      </c>
      <c r="I113" s="105">
        <v>0.10199999999999999</v>
      </c>
      <c r="J113" s="106">
        <v>135</v>
      </c>
      <c r="K113" s="68">
        <f>J113*I113</f>
        <v>13.77</v>
      </c>
      <c r="L113" s="69">
        <f>K113-H113</f>
        <v>0</v>
      </c>
      <c r="M113" s="70">
        <f>IF(ISERROR(L113/H113), "", L113/H113)</f>
        <v>0</v>
      </c>
    </row>
    <row r="114" spans="1:13" ht="13" x14ac:dyDescent="0.25">
      <c r="A114" s="14" t="str">
        <f t="shared" si="14"/>
        <v>RESIDENTIAL SERVICE CLASSIFICATION</v>
      </c>
      <c r="B114" s="14" t="s">
        <v>15</v>
      </c>
      <c r="C114" s="61"/>
      <c r="D114" s="14" t="s">
        <v>82</v>
      </c>
      <c r="E114" s="62"/>
      <c r="F114" s="103">
        <v>0.151</v>
      </c>
      <c r="G114" s="104">
        <v>142.5</v>
      </c>
      <c r="H114" s="101">
        <f>G114*F114</f>
        <v>21.517499999999998</v>
      </c>
      <c r="I114" s="105">
        <v>0.151</v>
      </c>
      <c r="J114" s="106">
        <v>142.5</v>
      </c>
      <c r="K114" s="68">
        <f>J114*I114</f>
        <v>21.517499999999998</v>
      </c>
      <c r="L114" s="69">
        <f>K114-H114</f>
        <v>0</v>
      </c>
      <c r="M114" s="70">
        <f>IF(ISERROR(L114/H114), "", L114/H114)</f>
        <v>0</v>
      </c>
    </row>
    <row r="115" spans="1:13" ht="13" x14ac:dyDescent="0.25">
      <c r="A115" s="14" t="str">
        <f t="shared" si="14"/>
        <v>RESIDENTIAL SERVICE CLASSIFICATION</v>
      </c>
      <c r="B115" s="14" t="s">
        <v>25</v>
      </c>
      <c r="C115" s="61"/>
      <c r="D115" s="102" t="s">
        <v>83</v>
      </c>
      <c r="E115" s="62"/>
      <c r="F115" s="107">
        <v>0.1076</v>
      </c>
      <c r="G115" s="104">
        <f>IF(AND(E81*12&gt;=150000),E81*E83,E81)</f>
        <v>750</v>
      </c>
      <c r="H115" s="101">
        <f>G115*F115</f>
        <v>80.7</v>
      </c>
      <c r="I115" s="108">
        <f>F115</f>
        <v>0.1076</v>
      </c>
      <c r="J115" s="106">
        <f>IF(AND(E81*12&gt;=150000),E81*E84,E81)</f>
        <v>750</v>
      </c>
      <c r="K115" s="68">
        <f>J115*I115</f>
        <v>80.7</v>
      </c>
      <c r="L115" s="69">
        <f>K115-H115</f>
        <v>0</v>
      </c>
      <c r="M115" s="70">
        <f>IF(ISERROR(L115/H115), "", L115/H115)</f>
        <v>0</v>
      </c>
    </row>
    <row r="116" spans="1:13" ht="13.5" thickBot="1" x14ac:dyDescent="0.3">
      <c r="A116" s="14" t="str">
        <f t="shared" si="14"/>
        <v>RESIDENTIAL SERVICE CLASSIFICATION</v>
      </c>
      <c r="B116" s="14" t="s">
        <v>20</v>
      </c>
      <c r="C116" s="61"/>
      <c r="D116" s="102" t="s">
        <v>84</v>
      </c>
      <c r="E116" s="62"/>
      <c r="F116" s="107">
        <v>0.1076</v>
      </c>
      <c r="G116" s="104">
        <f>IF(AND(E81*12&gt;=150000),E81*E83,E81)</f>
        <v>750</v>
      </c>
      <c r="H116" s="101">
        <f>G116*F116</f>
        <v>80.7</v>
      </c>
      <c r="I116" s="108">
        <f>F116</f>
        <v>0.1076</v>
      </c>
      <c r="J116" s="106">
        <f>IF(AND(E81*12&gt;=150000),E81*E84,E81)</f>
        <v>750</v>
      </c>
      <c r="K116" s="68">
        <f>J116*I116</f>
        <v>80.7</v>
      </c>
      <c r="L116" s="69">
        <f>K116-H116</f>
        <v>0</v>
      </c>
      <c r="M116" s="70">
        <f>IF(ISERROR(L116/H116), "", L116/H116)</f>
        <v>0</v>
      </c>
    </row>
    <row r="117" spans="1:13" ht="13" thickBot="1" x14ac:dyDescent="0.3">
      <c r="A117" s="14" t="str">
        <f t="shared" si="14"/>
        <v>RESIDENTIAL SERVICE CLASSIFICATION</v>
      </c>
      <c r="C117" s="61"/>
      <c r="D117" s="109"/>
      <c r="E117" s="110"/>
      <c r="F117" s="111"/>
      <c r="G117" s="112"/>
      <c r="H117" s="113"/>
      <c r="I117" s="111"/>
      <c r="J117" s="114"/>
      <c r="K117" s="113"/>
      <c r="L117" s="115"/>
      <c r="M117" s="116"/>
    </row>
    <row r="118" spans="1:13" ht="13" x14ac:dyDescent="0.25">
      <c r="A118" s="14" t="str">
        <f t="shared" si="14"/>
        <v>RESIDENTIAL SERVICE CLASSIFICATION</v>
      </c>
      <c r="B118" s="14" t="s">
        <v>15</v>
      </c>
      <c r="C118" s="61"/>
      <c r="D118" s="117" t="s">
        <v>85</v>
      </c>
      <c r="E118" s="102"/>
      <c r="F118" s="118"/>
      <c r="G118" s="119"/>
      <c r="H118" s="120">
        <f>SUM(H108:H114,H107)</f>
        <v>118.00486275</v>
      </c>
      <c r="I118" s="121"/>
      <c r="J118" s="121"/>
      <c r="K118" s="120">
        <f>SUM(K108:K114,K107)</f>
        <v>124.91870797532523</v>
      </c>
      <c r="L118" s="122">
        <f>K118-H118</f>
        <v>6.9138452253252325</v>
      </c>
      <c r="M118" s="123">
        <f>IF((H118)=0,"",(L118/H118))</f>
        <v>5.8589494231035259E-2</v>
      </c>
    </row>
    <row r="119" spans="1:13" x14ac:dyDescent="0.25">
      <c r="A119" s="14" t="str">
        <f t="shared" si="14"/>
        <v>RESIDENTIAL SERVICE CLASSIFICATION</v>
      </c>
      <c r="B119" s="14" t="s">
        <v>15</v>
      </c>
      <c r="C119" s="61"/>
      <c r="D119" s="124" t="s">
        <v>86</v>
      </c>
      <c r="E119" s="102"/>
      <c r="F119" s="118">
        <v>0.13</v>
      </c>
      <c r="G119" s="125"/>
      <c r="H119" s="126">
        <f>H118*F119</f>
        <v>15.3406321575</v>
      </c>
      <c r="I119" s="127">
        <v>0.13</v>
      </c>
      <c r="J119" s="64"/>
      <c r="K119" s="126">
        <f>K118*I119</f>
        <v>16.23943203679228</v>
      </c>
      <c r="L119" s="69">
        <f>K119-H119</f>
        <v>0.89879987929228022</v>
      </c>
      <c r="M119" s="128">
        <f>IF((H119)=0,"",(L119/H119))</f>
        <v>5.8589494231035259E-2</v>
      </c>
    </row>
    <row r="120" spans="1:13" ht="14.5" x14ac:dyDescent="0.35">
      <c r="A120" s="14" t="str">
        <f t="shared" si="14"/>
        <v>RESIDENTIAL SERVICE CLASSIFICATION</v>
      </c>
      <c r="B120" s="14" t="s">
        <v>15</v>
      </c>
      <c r="C120" s="61"/>
      <c r="D120" s="124" t="s">
        <v>87</v>
      </c>
      <c r="E120"/>
      <c r="F120" s="129">
        <v>0.11700000000000001</v>
      </c>
      <c r="G120" s="125"/>
      <c r="H120" s="126">
        <f>IF(OR(ISNUMBER(SEARCH("[DGEN]", E79))=TRUE, ISNUMBER(SEARCH("STREET LIGHT", E79))=TRUE), 0, IF(AND(E81=0, E82=0),0, IF(AND(E82=0, E81*12&gt;250000), 0, IF(AND(E81=0, E82&gt;=50), 0, IF(E81*12&lt;=250000, F120*H118*-1, IF(E82&lt;50, F120*H118*-1, 0))))))</f>
        <v>-13.806568941750001</v>
      </c>
      <c r="I120" s="129">
        <v>0.11700000000000001</v>
      </c>
      <c r="J120" s="64"/>
      <c r="K120" s="126">
        <f>IF(OR(ISNUMBER(SEARCH("[DGEN]", E79))=TRUE, ISNUMBER(SEARCH("STREET LIGHT", E79))=TRUE), 0, IF(AND(E81=0, E82=0),0, IF(AND(E82=0, E81*12&gt;250000), 0, IF(AND(E81=0, E82&gt;=50), 0, IF(E81*12&lt;=250000, I120*K118*-1, IF(E82&lt;50, I120*K118*-1, 0))))))</f>
        <v>-14.615488833113053</v>
      </c>
      <c r="L120" s="69">
        <f>K120-H120</f>
        <v>-0.8089198913630522</v>
      </c>
      <c r="M120" s="128"/>
    </row>
    <row r="121" spans="1:13" ht="13.5" thickBot="1" x14ac:dyDescent="0.3">
      <c r="A121" s="14" t="str">
        <f t="shared" si="14"/>
        <v>RESIDENTIAL SERVICE CLASSIFICATION</v>
      </c>
      <c r="B121" s="14" t="s">
        <v>88</v>
      </c>
      <c r="C121" s="61">
        <f>B30</f>
        <v>1</v>
      </c>
      <c r="D121" s="181" t="s">
        <v>89</v>
      </c>
      <c r="E121" s="181"/>
      <c r="F121" s="130"/>
      <c r="G121" s="131"/>
      <c r="H121" s="132">
        <f>H118+H119+H120</f>
        <v>119.53892596575001</v>
      </c>
      <c r="I121" s="133"/>
      <c r="J121" s="133"/>
      <c r="K121" s="134">
        <f>K118+K119+K120</f>
        <v>126.54265117900447</v>
      </c>
      <c r="L121" s="135">
        <f>K121-H121</f>
        <v>7.0037252132544552</v>
      </c>
      <c r="M121" s="136">
        <f>IF((H121)=0,"",(L121/H121))</f>
        <v>5.8589494231035211E-2</v>
      </c>
    </row>
    <row r="122" spans="1:13" ht="13" thickBot="1" x14ac:dyDescent="0.3">
      <c r="A122" s="14" t="str">
        <f t="shared" si="14"/>
        <v>RESIDENTIAL SERVICE CLASSIFICATION</v>
      </c>
      <c r="B122" s="14" t="s">
        <v>15</v>
      </c>
      <c r="C122" s="61"/>
      <c r="D122" s="109"/>
      <c r="E122" s="110"/>
      <c r="F122" s="111"/>
      <c r="G122" s="112"/>
      <c r="H122" s="113"/>
      <c r="I122" s="111"/>
      <c r="J122" s="114"/>
      <c r="K122" s="113"/>
      <c r="L122" s="115"/>
      <c r="M122" s="116"/>
    </row>
    <row r="123" spans="1:13" ht="13" x14ac:dyDescent="0.25">
      <c r="A123" s="14" t="str">
        <f t="shared" si="14"/>
        <v>RESIDENTIAL SERVICE CLASSIFICATION</v>
      </c>
      <c r="B123" s="14" t="s">
        <v>25</v>
      </c>
      <c r="C123" s="61"/>
      <c r="D123" s="117" t="s">
        <v>90</v>
      </c>
      <c r="E123" s="102"/>
      <c r="F123" s="118"/>
      <c r="G123" s="119"/>
      <c r="H123" s="120">
        <f>SUM(H115,H108:H111,H107)</f>
        <v>128.45236275000002</v>
      </c>
      <c r="I123" s="121"/>
      <c r="J123" s="121"/>
      <c r="K123" s="120">
        <f>SUM(K115,K108:K111,K107)</f>
        <v>135.36620797532527</v>
      </c>
      <c r="L123" s="122">
        <f>K123-H123</f>
        <v>6.9138452253252467</v>
      </c>
      <c r="M123" s="123">
        <f>IF((H123)=0,"",(L123/H123))</f>
        <v>5.3824196591706876E-2</v>
      </c>
    </row>
    <row r="124" spans="1:13" x14ac:dyDescent="0.25">
      <c r="A124" s="14" t="str">
        <f t="shared" si="14"/>
        <v>RESIDENTIAL SERVICE CLASSIFICATION</v>
      </c>
      <c r="B124" s="14" t="s">
        <v>25</v>
      </c>
      <c r="C124" s="61"/>
      <c r="D124" s="124" t="s">
        <v>86</v>
      </c>
      <c r="E124" s="102"/>
      <c r="F124" s="118">
        <v>0.13</v>
      </c>
      <c r="G124" s="119"/>
      <c r="H124" s="126">
        <f>H123*F124</f>
        <v>16.698807157500003</v>
      </c>
      <c r="I124" s="118">
        <v>0.13</v>
      </c>
      <c r="J124" s="127"/>
      <c r="K124" s="126">
        <f>K123*I124</f>
        <v>17.597607036792287</v>
      </c>
      <c r="L124" s="69">
        <f>K124-H124</f>
        <v>0.89879987929228378</v>
      </c>
      <c r="M124" s="128">
        <f>IF((H124)=0,"",(L124/H124))</f>
        <v>5.382419659170698E-2</v>
      </c>
    </row>
    <row r="125" spans="1:13" ht="14.5" x14ac:dyDescent="0.35">
      <c r="A125" s="14" t="str">
        <f t="shared" si="14"/>
        <v>RESIDENTIAL SERVICE CLASSIFICATION</v>
      </c>
      <c r="B125" s="14" t="s">
        <v>25</v>
      </c>
      <c r="C125" s="61"/>
      <c r="D125" s="124" t="s">
        <v>87</v>
      </c>
      <c r="E125"/>
      <c r="F125" s="129">
        <v>0.11700000000000001</v>
      </c>
      <c r="G125" s="119"/>
      <c r="H125" s="126">
        <f>IF(OR(ISNUMBER(SEARCH("[DGEN]", E79))=TRUE, ISNUMBER(SEARCH("STREET LIGHT", E79))=TRUE), 0, IF(AND(E81=0, E82=0),0, IF(AND(E82=0, E81*12&gt;250000), 0, IF(AND(E81=0, E82&gt;=50), 0, IF(E81*12&lt;=250000, F125*H123*-1, IF(E82&lt;50, F125*H123*-1, 0))))))</f>
        <v>-15.028926441750004</v>
      </c>
      <c r="I125" s="129">
        <v>0.11700000000000001</v>
      </c>
      <c r="J125" s="127"/>
      <c r="K125" s="126">
        <f>IF(OR(ISNUMBER(SEARCH("[DGEN]", E79))=TRUE, ISNUMBER(SEARCH("STREET LIGHT", E79))=TRUE), 0, IF(AND(E81=0, E82=0),0, IF(AND(E82=0, E81*12&gt;250000), 0, IF(AND(E81=0, E82&gt;=50), 0, IF(E81*12&lt;=250000, I125*K123*-1, IF(E82&lt;50, I125*K123*-1, 0))))))</f>
        <v>-15.837846333113058</v>
      </c>
      <c r="L125" s="69"/>
      <c r="M125" s="128"/>
    </row>
    <row r="126" spans="1:13" ht="13.5" thickBot="1" x14ac:dyDescent="0.3">
      <c r="A126" s="14" t="str">
        <f t="shared" si="14"/>
        <v>RESIDENTIAL SERVICE CLASSIFICATION</v>
      </c>
      <c r="B126" s="14" t="s">
        <v>91</v>
      </c>
      <c r="C126" s="61"/>
      <c r="D126" s="181" t="s">
        <v>90</v>
      </c>
      <c r="E126" s="181"/>
      <c r="F126" s="137"/>
      <c r="G126" s="138"/>
      <c r="H126" s="132">
        <f>SUM(H123,H124)</f>
        <v>145.15116990750002</v>
      </c>
      <c r="I126" s="139"/>
      <c r="J126" s="139"/>
      <c r="K126" s="132">
        <f>SUM(K123,K124)</f>
        <v>152.96381501211755</v>
      </c>
      <c r="L126" s="140">
        <f>K126-H126</f>
        <v>7.8126451046175305</v>
      </c>
      <c r="M126" s="141">
        <f>IF((H126)=0,"",(L126/H126))</f>
        <v>5.382419659170689E-2</v>
      </c>
    </row>
    <row r="127" spans="1:13" ht="13" thickBot="1" x14ac:dyDescent="0.3">
      <c r="A127" s="14" t="str">
        <f t="shared" si="14"/>
        <v>RESIDENTIAL SERVICE CLASSIFICATION</v>
      </c>
      <c r="B127" s="14" t="s">
        <v>25</v>
      </c>
      <c r="C127" s="61"/>
      <c r="D127" s="109"/>
      <c r="E127" s="110"/>
      <c r="F127" s="142"/>
      <c r="G127" s="143"/>
      <c r="H127" s="144"/>
      <c r="I127" s="142"/>
      <c r="J127" s="112"/>
      <c r="K127" s="144"/>
      <c r="L127" s="145"/>
      <c r="M127" s="116"/>
    </row>
    <row r="128" spans="1:13" ht="13" x14ac:dyDescent="0.25">
      <c r="A128" s="14" t="str">
        <f t="shared" si="14"/>
        <v>RESIDENTIAL SERVICE CLASSIFICATION</v>
      </c>
      <c r="B128" s="14" t="s">
        <v>20</v>
      </c>
      <c r="C128" s="61"/>
      <c r="D128" s="117" t="s">
        <v>92</v>
      </c>
      <c r="E128" s="102"/>
      <c r="F128" s="118"/>
      <c r="G128" s="119"/>
      <c r="H128" s="120">
        <f>SUM(H116,H108:H111,H107)</f>
        <v>128.45236275000002</v>
      </c>
      <c r="I128" s="121"/>
      <c r="J128" s="121"/>
      <c r="K128" s="120">
        <f>SUM(K116,K108:K111,K107)</f>
        <v>135.36620797532527</v>
      </c>
      <c r="L128" s="122">
        <f>K128-H128</f>
        <v>6.9138452253252467</v>
      </c>
      <c r="M128" s="123">
        <f>IF((H128)=0,"",(L128/H128))</f>
        <v>5.3824196591706876E-2</v>
      </c>
    </row>
    <row r="129" spans="1:18" x14ac:dyDescent="0.25">
      <c r="A129" s="14" t="str">
        <f t="shared" si="14"/>
        <v>RESIDENTIAL SERVICE CLASSIFICATION</v>
      </c>
      <c r="B129" s="14" t="s">
        <v>20</v>
      </c>
      <c r="C129" s="61"/>
      <c r="D129" s="124" t="s">
        <v>86</v>
      </c>
      <c r="E129" s="102"/>
      <c r="F129" s="118">
        <v>0.13</v>
      </c>
      <c r="G129" s="119"/>
      <c r="H129" s="126">
        <f>H128*F129</f>
        <v>16.698807157500003</v>
      </c>
      <c r="I129" s="118">
        <v>0.13</v>
      </c>
      <c r="J129" s="127"/>
      <c r="K129" s="126">
        <f>K128*I129</f>
        <v>17.597607036792287</v>
      </c>
      <c r="L129" s="69">
        <f>K129-H129</f>
        <v>0.89879987929228378</v>
      </c>
      <c r="M129" s="128">
        <f>IF((H129)=0,"",(L129/H129))</f>
        <v>5.382419659170698E-2</v>
      </c>
    </row>
    <row r="130" spans="1:18" ht="14.5" x14ac:dyDescent="0.35">
      <c r="A130" s="14" t="str">
        <f t="shared" si="14"/>
        <v>RESIDENTIAL SERVICE CLASSIFICATION</v>
      </c>
      <c r="B130" s="14" t="s">
        <v>20</v>
      </c>
      <c r="C130" s="61"/>
      <c r="D130" s="124" t="s">
        <v>87</v>
      </c>
      <c r="E130"/>
      <c r="F130" s="129">
        <v>0.11700000000000001</v>
      </c>
      <c r="G130" s="119"/>
      <c r="H130" s="126">
        <f>IF(OR(ISNUMBER(SEARCH("[DGEN]", E79))=TRUE, ISNUMBER(SEARCH("STREET LIGHT", E79))=TRUE), 0, IF(AND(E81=0, E82=0),0, IF(AND(E82=0, E81*12&gt;250000), 0, IF(AND(E81=0, E82&gt;=50), 0, IF(E81*12&lt;=250000, F130*H128*-1, IF(E82&lt;50, F130*H128*-1, 0))))))</f>
        <v>-15.028926441750004</v>
      </c>
      <c r="I130" s="129">
        <v>0.11700000000000001</v>
      </c>
      <c r="J130" s="127"/>
      <c r="K130" s="126">
        <f>IF(OR(ISNUMBER(SEARCH("[DGEN]", E79))=TRUE, ISNUMBER(SEARCH("STREET LIGHT", E79))=TRUE), 0, IF(AND(E81=0, E82=0),0, IF(AND(E82=0, E81*12&gt;250000), 0, IF(AND(E81=0, E82&gt;=50), 0, IF(E81*12&lt;=250000, I130*K128*-1, IF(E82&lt;50, I130*K128*-1, 0))))))</f>
        <v>-15.837846333113058</v>
      </c>
      <c r="L130" s="69"/>
      <c r="M130" s="128"/>
    </row>
    <row r="131" spans="1:18" ht="13.5" thickBot="1" x14ac:dyDescent="0.3">
      <c r="A131" s="14" t="str">
        <f t="shared" si="14"/>
        <v>RESIDENTIAL SERVICE CLASSIFICATION</v>
      </c>
      <c r="B131" s="14" t="s">
        <v>93</v>
      </c>
      <c r="C131" s="61"/>
      <c r="D131" s="181" t="s">
        <v>92</v>
      </c>
      <c r="E131" s="181"/>
      <c r="F131" s="137"/>
      <c r="G131" s="138"/>
      <c r="H131" s="132">
        <f>SUM(H128,H129)</f>
        <v>145.15116990750002</v>
      </c>
      <c r="I131" s="139"/>
      <c r="J131" s="139"/>
      <c r="K131" s="132">
        <f>SUM(K128,K129)</f>
        <v>152.96381501211755</v>
      </c>
      <c r="L131" s="140">
        <f>K131-H131</f>
        <v>7.8126451046175305</v>
      </c>
      <c r="M131" s="141">
        <f>IF((H131)=0,"",(L131/H131))</f>
        <v>5.382419659170689E-2</v>
      </c>
    </row>
    <row r="132" spans="1:18" ht="13" thickBot="1" x14ac:dyDescent="0.3">
      <c r="A132" s="14" t="str">
        <f t="shared" si="14"/>
        <v>RESIDENTIAL SERVICE CLASSIFICATION</v>
      </c>
      <c r="B132" s="14" t="s">
        <v>20</v>
      </c>
      <c r="C132" s="61"/>
      <c r="D132" s="109"/>
      <c r="E132" s="110"/>
      <c r="F132" s="146"/>
      <c r="G132" s="143"/>
      <c r="H132" s="147"/>
      <c r="I132" s="146"/>
      <c r="J132" s="112"/>
      <c r="K132" s="147"/>
      <c r="L132" s="145"/>
      <c r="M132" s="148"/>
    </row>
    <row r="135" spans="1:18" ht="13" x14ac:dyDescent="0.25">
      <c r="C135" s="14"/>
      <c r="D135" s="46" t="s">
        <v>39</v>
      </c>
      <c r="E135" s="176" t="str">
        <f>D31</f>
        <v>GENERAL SERVICE LESS THAN 50 KW SERVICE CLASSIFICATION</v>
      </c>
      <c r="F135" s="176"/>
      <c r="G135" s="176"/>
      <c r="H135" s="176"/>
      <c r="I135" s="176"/>
      <c r="J135" s="176"/>
      <c r="K135" s="14" t="str">
        <f>IF(N31="DEMAND - INTERVAL","RTSR - INTERVAL METERED","")</f>
        <v/>
      </c>
      <c r="R135" s="14" t="s">
        <v>29</v>
      </c>
    </row>
    <row r="136" spans="1:18" ht="13" x14ac:dyDescent="0.25">
      <c r="C136" s="14"/>
      <c r="D136" s="46" t="s">
        <v>40</v>
      </c>
      <c r="E136" s="177" t="str">
        <f>H31</f>
        <v>RPP</v>
      </c>
      <c r="F136" s="177"/>
      <c r="G136" s="177"/>
      <c r="H136" s="47"/>
      <c r="I136" s="47"/>
    </row>
    <row r="137" spans="1:18" ht="15.5" x14ac:dyDescent="0.3">
      <c r="C137" s="14"/>
      <c r="D137" s="46" t="s">
        <v>41</v>
      </c>
      <c r="E137" s="48">
        <f>K31</f>
        <v>2000</v>
      </c>
      <c r="F137" s="49" t="s">
        <v>14</v>
      </c>
      <c r="J137" s="50"/>
      <c r="K137" s="50"/>
      <c r="L137" s="50"/>
      <c r="M137" s="50"/>
    </row>
    <row r="138" spans="1:18" ht="15.5" x14ac:dyDescent="0.35">
      <c r="C138" s="14"/>
      <c r="D138" s="46" t="s">
        <v>42</v>
      </c>
      <c r="E138" s="48">
        <f>L31</f>
        <v>0</v>
      </c>
      <c r="F138" s="51" t="s">
        <v>19</v>
      </c>
      <c r="G138" s="52"/>
      <c r="H138" s="53"/>
      <c r="I138" s="53"/>
      <c r="J138" s="53"/>
    </row>
    <row r="139" spans="1:18" ht="13" x14ac:dyDescent="0.3">
      <c r="C139" s="14"/>
      <c r="D139" s="46" t="s">
        <v>43</v>
      </c>
      <c r="E139" s="54">
        <f>I31</f>
        <v>1.0561</v>
      </c>
    </row>
    <row r="140" spans="1:18" ht="13" x14ac:dyDescent="0.3">
      <c r="C140" s="14"/>
      <c r="D140" s="46" t="s">
        <v>44</v>
      </c>
      <c r="E140" s="54">
        <f>J31</f>
        <v>1.0561</v>
      </c>
    </row>
    <row r="141" spans="1:18" x14ac:dyDescent="0.25">
      <c r="C141" s="14"/>
    </row>
    <row r="142" spans="1:18" ht="13" x14ac:dyDescent="0.3">
      <c r="C142" s="14"/>
      <c r="E142" s="49"/>
      <c r="F142" s="178" t="s">
        <v>45</v>
      </c>
      <c r="G142" s="179"/>
      <c r="H142" s="180"/>
      <c r="I142" s="178" t="s">
        <v>46</v>
      </c>
      <c r="J142" s="179"/>
      <c r="K142" s="180"/>
      <c r="L142" s="178" t="s">
        <v>47</v>
      </c>
      <c r="M142" s="180"/>
    </row>
    <row r="143" spans="1:18" ht="13" x14ac:dyDescent="0.3">
      <c r="C143" s="14"/>
      <c r="E143" s="182"/>
      <c r="F143" s="56" t="s">
        <v>48</v>
      </c>
      <c r="G143" s="56" t="s">
        <v>49</v>
      </c>
      <c r="H143" s="57" t="s">
        <v>50</v>
      </c>
      <c r="I143" s="56" t="s">
        <v>48</v>
      </c>
      <c r="J143" s="58" t="s">
        <v>49</v>
      </c>
      <c r="K143" s="57" t="s">
        <v>50</v>
      </c>
      <c r="L143" s="184" t="s">
        <v>51</v>
      </c>
      <c r="M143" s="186" t="s">
        <v>52</v>
      </c>
    </row>
    <row r="144" spans="1:18" ht="13" x14ac:dyDescent="0.3">
      <c r="C144" s="14"/>
      <c r="E144" s="183"/>
      <c r="F144" s="59" t="s">
        <v>53</v>
      </c>
      <c r="G144" s="59"/>
      <c r="H144" s="60" t="s">
        <v>53</v>
      </c>
      <c r="I144" s="59" t="s">
        <v>53</v>
      </c>
      <c r="J144" s="60"/>
      <c r="K144" s="60" t="s">
        <v>53</v>
      </c>
      <c r="L144" s="185"/>
      <c r="M144" s="187"/>
    </row>
    <row r="145" spans="1:13" ht="13" x14ac:dyDescent="0.25">
      <c r="A145" s="14" t="str">
        <f>$E135</f>
        <v>GENERAL SERVICE LESS THAN 50 KW SERVICE CLASSIFICATION</v>
      </c>
      <c r="C145" s="61"/>
      <c r="D145" s="55" t="s">
        <v>54</v>
      </c>
      <c r="E145" s="62"/>
      <c r="F145" s="63">
        <v>37.42</v>
      </c>
      <c r="G145" s="64">
        <v>1</v>
      </c>
      <c r="H145" s="65">
        <f>G145*F145</f>
        <v>37.42</v>
      </c>
      <c r="I145" s="66">
        <v>37.42</v>
      </c>
      <c r="J145" s="67">
        <f>G145</f>
        <v>1</v>
      </c>
      <c r="K145" s="68">
        <f>J145*I145</f>
        <v>37.42</v>
      </c>
      <c r="L145" s="69">
        <f>K145-H145</f>
        <v>0</v>
      </c>
      <c r="M145" s="70">
        <f>IF(ISERROR(L145/H145), "", L145/H145)</f>
        <v>0</v>
      </c>
    </row>
    <row r="146" spans="1:13" ht="13" x14ac:dyDescent="0.25">
      <c r="A146" s="14" t="str">
        <f t="shared" ref="A146:A188" si="19">A145</f>
        <v>GENERAL SERVICE LESS THAN 50 KW SERVICE CLASSIFICATION</v>
      </c>
      <c r="C146" s="61"/>
      <c r="D146" s="55" t="s">
        <v>55</v>
      </c>
      <c r="E146" s="62"/>
      <c r="F146" s="71">
        <v>1.6500000000000001E-2</v>
      </c>
      <c r="G146" s="64">
        <f>IF($E138&gt;0, $E138, $E137)</f>
        <v>2000</v>
      </c>
      <c r="H146" s="65">
        <f>G146*F146</f>
        <v>33</v>
      </c>
      <c r="I146" s="72">
        <v>1.6500000000000001E-2</v>
      </c>
      <c r="J146" s="67">
        <f>IF($E138&gt;0, $E138, $E137)</f>
        <v>2000</v>
      </c>
      <c r="K146" s="68">
        <f>J146*I146</f>
        <v>33</v>
      </c>
      <c r="L146" s="69">
        <f>K146-H146</f>
        <v>0</v>
      </c>
      <c r="M146" s="70">
        <f>IF(ISERROR(L146/H146), "", L146/H146)</f>
        <v>0</v>
      </c>
    </row>
    <row r="147" spans="1:13" ht="13" x14ac:dyDescent="0.25">
      <c r="A147" s="14" t="str">
        <f t="shared" si="19"/>
        <v>GENERAL SERVICE LESS THAN 50 KW SERVICE CLASSIFICATION</v>
      </c>
      <c r="C147" s="61"/>
      <c r="D147" s="55" t="s">
        <v>56</v>
      </c>
      <c r="E147" s="62"/>
      <c r="F147" s="71"/>
      <c r="G147" s="64">
        <f>IF($E138&gt;0, $E138, $E137)</f>
        <v>2000</v>
      </c>
      <c r="H147" s="65">
        <v>0</v>
      </c>
      <c r="I147" s="72"/>
      <c r="J147" s="67">
        <f>IF($E138&gt;0, $E138, $E137)</f>
        <v>2000</v>
      </c>
      <c r="K147" s="68">
        <v>0</v>
      </c>
      <c r="L147" s="69"/>
      <c r="M147" s="70"/>
    </row>
    <row r="148" spans="1:13" ht="13" x14ac:dyDescent="0.25">
      <c r="A148" s="14" t="str">
        <f t="shared" si="19"/>
        <v>GENERAL SERVICE LESS THAN 50 KW SERVICE CLASSIFICATION</v>
      </c>
      <c r="C148" s="61"/>
      <c r="D148" s="55" t="s">
        <v>57</v>
      </c>
      <c r="E148" s="62"/>
      <c r="F148" s="71"/>
      <c r="G148" s="64">
        <f>IF($E138&gt;0, $E138, $E137)</f>
        <v>2000</v>
      </c>
      <c r="H148" s="65">
        <v>0</v>
      </c>
      <c r="I148" s="72"/>
      <c r="J148" s="73">
        <f>IF($E138&gt;0, $E138, $E137)</f>
        <v>2000</v>
      </c>
      <c r="K148" s="68">
        <v>0</v>
      </c>
      <c r="L148" s="69">
        <f t="shared" ref="L148:L166" si="20">K148-H148</f>
        <v>0</v>
      </c>
      <c r="M148" s="70" t="str">
        <f>IF(ISERROR(L148/H148), "", L148/H148)</f>
        <v/>
      </c>
    </row>
    <row r="149" spans="1:13" ht="13" x14ac:dyDescent="0.25">
      <c r="A149" s="14" t="str">
        <f t="shared" si="19"/>
        <v>GENERAL SERVICE LESS THAN 50 KW SERVICE CLASSIFICATION</v>
      </c>
      <c r="C149" s="61"/>
      <c r="D149" s="55" t="s">
        <v>58</v>
      </c>
      <c r="E149" s="62"/>
      <c r="F149" s="63">
        <v>7.11</v>
      </c>
      <c r="G149" s="64">
        <v>1</v>
      </c>
      <c r="H149" s="65">
        <f>G149*F149</f>
        <v>7.11</v>
      </c>
      <c r="I149" s="66">
        <v>7.11</v>
      </c>
      <c r="J149" s="67">
        <f>G149</f>
        <v>1</v>
      </c>
      <c r="K149" s="68">
        <f>J149*I149</f>
        <v>7.11</v>
      </c>
      <c r="L149" s="69">
        <f t="shared" si="20"/>
        <v>0</v>
      </c>
      <c r="M149" s="70">
        <f>IF(ISERROR(L149/H149), "", L149/H149)</f>
        <v>0</v>
      </c>
    </row>
    <row r="150" spans="1:13" ht="13" x14ac:dyDescent="0.25">
      <c r="A150" s="14" t="str">
        <f t="shared" si="19"/>
        <v>GENERAL SERVICE LESS THAN 50 KW SERVICE CLASSIFICATION</v>
      </c>
      <c r="C150" s="61"/>
      <c r="D150" s="55" t="s">
        <v>59</v>
      </c>
      <c r="E150" s="62"/>
      <c r="F150" s="71">
        <v>-5.1999999999999998E-3</v>
      </c>
      <c r="G150" s="64">
        <f>IF($E138&gt;0, $E138, $E137)</f>
        <v>2000</v>
      </c>
      <c r="H150" s="65">
        <f>G150*F150</f>
        <v>-10.4</v>
      </c>
      <c r="I150" s="72">
        <v>3.9999999999999996E-4</v>
      </c>
      <c r="J150" s="67">
        <f>IF($E138&gt;0, $E138, $E137)</f>
        <v>2000</v>
      </c>
      <c r="K150" s="68">
        <f>J150*I150</f>
        <v>0.79999999999999993</v>
      </c>
      <c r="L150" s="69">
        <f t="shared" si="20"/>
        <v>11.200000000000001</v>
      </c>
      <c r="M150" s="70">
        <f>IF(ISERROR(L150/H150), "", IF(H150&lt;0,(K150-(H150))/ABS(H150),L150/H150))</f>
        <v>1.0769230769230771</v>
      </c>
    </row>
    <row r="151" spans="1:13" ht="13" x14ac:dyDescent="0.25">
      <c r="A151" s="14" t="str">
        <f t="shared" si="19"/>
        <v>GENERAL SERVICE LESS THAN 50 KW SERVICE CLASSIFICATION</v>
      </c>
      <c r="B151" s="14" t="s">
        <v>60</v>
      </c>
      <c r="C151" s="61">
        <f>B31</f>
        <v>2</v>
      </c>
      <c r="D151" s="74" t="s">
        <v>61</v>
      </c>
      <c r="E151" s="75"/>
      <c r="F151" s="76"/>
      <c r="G151" s="77"/>
      <c r="H151" s="78">
        <f>SUM(H145:H150)</f>
        <v>67.13</v>
      </c>
      <c r="I151" s="79"/>
      <c r="J151" s="80"/>
      <c r="K151" s="78">
        <f>SUM(K145:K150)</f>
        <v>78.33</v>
      </c>
      <c r="L151" s="81">
        <f t="shared" si="20"/>
        <v>11.200000000000003</v>
      </c>
      <c r="M151" s="82">
        <f>IF((H151)=0,"",(L151/H151))</f>
        <v>0.16684045881126178</v>
      </c>
    </row>
    <row r="152" spans="1:13" ht="13" x14ac:dyDescent="0.25">
      <c r="A152" s="14" t="str">
        <f t="shared" si="19"/>
        <v>GENERAL SERVICE LESS THAN 50 KW SERVICE CLASSIFICATION</v>
      </c>
      <c r="C152" s="61"/>
      <c r="D152" s="83" t="s">
        <v>62</v>
      </c>
      <c r="E152" s="62"/>
      <c r="F152" s="71">
        <v>9.3670000000000003E-2</v>
      </c>
      <c r="G152" s="84">
        <f>IF(F152=0, 0, $E137*E139-E137)</f>
        <v>112.20000000000027</v>
      </c>
      <c r="H152" s="65">
        <f t="shared" ref="H152:H159" si="21">G152*F152</f>
        <v>10.509774000000025</v>
      </c>
      <c r="I152" s="72">
        <v>9.3670000000000003E-2</v>
      </c>
      <c r="J152" s="85">
        <f>IF(I152=0, 0, E137*E140-E137)</f>
        <v>112.20000000000027</v>
      </c>
      <c r="K152" s="68">
        <f t="shared" ref="K152:K159" si="22">J152*I152</f>
        <v>10.509774000000025</v>
      </c>
      <c r="L152" s="69">
        <f t="shared" si="20"/>
        <v>0</v>
      </c>
      <c r="M152" s="70">
        <f t="shared" ref="M152:M159" si="23">IF(ISERROR(L152/H152), "", L152/H152)</f>
        <v>0</v>
      </c>
    </row>
    <row r="153" spans="1:13" ht="25" x14ac:dyDescent="0.25">
      <c r="A153" s="14" t="str">
        <f t="shared" si="19"/>
        <v>GENERAL SERVICE LESS THAN 50 KW SERVICE CLASSIFICATION</v>
      </c>
      <c r="C153" s="61"/>
      <c r="D153" s="83" t="s">
        <v>63</v>
      </c>
      <c r="E153" s="62"/>
      <c r="F153" s="71">
        <v>5.7999999999999996E-3</v>
      </c>
      <c r="G153" s="86">
        <f>IF($E138&gt;0, $E138, $E137)</f>
        <v>2000</v>
      </c>
      <c r="H153" s="65">
        <f t="shared" si="21"/>
        <v>11.6</v>
      </c>
      <c r="I153" s="72">
        <v>3.0000000000000001E-3</v>
      </c>
      <c r="J153" s="87">
        <f>IF($E138&gt;0, $E138, $E137)</f>
        <v>2000</v>
      </c>
      <c r="K153" s="68">
        <f t="shared" si="22"/>
        <v>6</v>
      </c>
      <c r="L153" s="69">
        <f t="shared" si="20"/>
        <v>-5.6</v>
      </c>
      <c r="M153" s="70">
        <f t="shared" si="23"/>
        <v>-0.48275862068965514</v>
      </c>
    </row>
    <row r="154" spans="1:13" ht="13" x14ac:dyDescent="0.25">
      <c r="A154" s="14" t="str">
        <f t="shared" si="19"/>
        <v>GENERAL SERVICE LESS THAN 50 KW SERVICE CLASSIFICATION</v>
      </c>
      <c r="C154" s="61"/>
      <c r="D154" s="83" t="s">
        <v>64</v>
      </c>
      <c r="E154" s="62"/>
      <c r="F154" s="71">
        <v>-2.0000000000000001E-4</v>
      </c>
      <c r="G154" s="86">
        <f>IF($E138&gt;0, $E138, $E137)</f>
        <v>2000</v>
      </c>
      <c r="H154" s="65">
        <f t="shared" si="21"/>
        <v>-0.4</v>
      </c>
      <c r="I154" s="72">
        <v>-4.0000000000000002E-4</v>
      </c>
      <c r="J154" s="87">
        <f>IF($E138&gt;0, $E138, $E137)</f>
        <v>2000</v>
      </c>
      <c r="K154" s="68">
        <f t="shared" si="22"/>
        <v>-0.8</v>
      </c>
      <c r="L154" s="69">
        <f t="shared" si="20"/>
        <v>-0.4</v>
      </c>
      <c r="M154" s="70">
        <f>IF(ISERROR(L154/H154), "", IF(H154&lt;0,(K154-(H154))/ABS(H154),L154/H154))</f>
        <v>-1</v>
      </c>
    </row>
    <row r="155" spans="1:13" ht="13" x14ac:dyDescent="0.25">
      <c r="A155" s="14" t="str">
        <f t="shared" si="19"/>
        <v>GENERAL SERVICE LESS THAN 50 KW SERVICE CLASSIFICATION</v>
      </c>
      <c r="C155" s="61"/>
      <c r="D155" s="83" t="s">
        <v>65</v>
      </c>
      <c r="E155" s="62"/>
      <c r="F155" s="71">
        <v>0</v>
      </c>
      <c r="G155" s="86">
        <f>E137</f>
        <v>2000</v>
      </c>
      <c r="H155" s="65">
        <f t="shared" si="21"/>
        <v>0</v>
      </c>
      <c r="I155" s="72">
        <v>0</v>
      </c>
      <c r="J155" s="87">
        <f>E137</f>
        <v>2000</v>
      </c>
      <c r="K155" s="68">
        <f t="shared" si="22"/>
        <v>0</v>
      </c>
      <c r="L155" s="69">
        <f t="shared" si="20"/>
        <v>0</v>
      </c>
      <c r="M155" s="70" t="str">
        <f t="shared" si="23"/>
        <v/>
      </c>
    </row>
    <row r="156" spans="1:13" ht="13" x14ac:dyDescent="0.25">
      <c r="A156" s="14" t="str">
        <f t="shared" si="19"/>
        <v>GENERAL SERVICE LESS THAN 50 KW SERVICE CLASSIFICATION</v>
      </c>
      <c r="C156" s="61"/>
      <c r="D156" s="55" t="s">
        <v>66</v>
      </c>
      <c r="E156" s="62"/>
      <c r="F156" s="71">
        <v>5.9999999999999995E-4</v>
      </c>
      <c r="G156" s="86">
        <f>IF($E138&gt;0, $E138, $E137)</f>
        <v>2000</v>
      </c>
      <c r="H156" s="65">
        <f t="shared" si="21"/>
        <v>1.2</v>
      </c>
      <c r="I156" s="72">
        <v>1.244456457015279E-3</v>
      </c>
      <c r="J156" s="87">
        <f>IF($E138&gt;0, $E138, $E137)</f>
        <v>2000</v>
      </c>
      <c r="K156" s="68">
        <f t="shared" si="22"/>
        <v>2.4889129140305579</v>
      </c>
      <c r="L156" s="69">
        <f t="shared" si="20"/>
        <v>1.288912914030558</v>
      </c>
      <c r="M156" s="70">
        <f>IF(ISERROR(L156/H156), "", IF(H156&lt;0,(K156-(H156))/ABS(H156),L156/H156))</f>
        <v>1.0740940950254649</v>
      </c>
    </row>
    <row r="157" spans="1:13" ht="13" x14ac:dyDescent="0.25">
      <c r="A157" s="14" t="str">
        <f t="shared" si="19"/>
        <v>GENERAL SERVICE LESS THAN 50 KW SERVICE CLASSIFICATION</v>
      </c>
      <c r="C157" s="61"/>
      <c r="D157" s="83" t="s">
        <v>67</v>
      </c>
      <c r="E157" s="62"/>
      <c r="F157" s="88">
        <v>0.42</v>
      </c>
      <c r="G157" s="64">
        <v>1</v>
      </c>
      <c r="H157" s="65">
        <f t="shared" si="21"/>
        <v>0.42</v>
      </c>
      <c r="I157" s="89">
        <v>0.42</v>
      </c>
      <c r="J157" s="73">
        <v>1</v>
      </c>
      <c r="K157" s="68">
        <f t="shared" si="22"/>
        <v>0.42</v>
      </c>
      <c r="L157" s="69">
        <f t="shared" si="20"/>
        <v>0</v>
      </c>
      <c r="M157" s="70">
        <f t="shared" si="23"/>
        <v>0</v>
      </c>
    </row>
    <row r="158" spans="1:13" ht="13" x14ac:dyDescent="0.25">
      <c r="A158" s="14" t="str">
        <f t="shared" si="19"/>
        <v>GENERAL SERVICE LESS THAN 50 KW SERVICE CLASSIFICATION</v>
      </c>
      <c r="C158" s="61"/>
      <c r="D158" s="55" t="s">
        <v>68</v>
      </c>
      <c r="E158" s="62"/>
      <c r="F158" s="63">
        <v>0</v>
      </c>
      <c r="G158" s="64">
        <v>1</v>
      </c>
      <c r="H158" s="65">
        <f t="shared" si="21"/>
        <v>0</v>
      </c>
      <c r="I158" s="66">
        <v>0</v>
      </c>
      <c r="J158" s="73">
        <v>1</v>
      </c>
      <c r="K158" s="68">
        <f t="shared" si="22"/>
        <v>0</v>
      </c>
      <c r="L158" s="69">
        <f t="shared" si="20"/>
        <v>0</v>
      </c>
      <c r="M158" s="70" t="str">
        <f t="shared" si="23"/>
        <v/>
      </c>
    </row>
    <row r="159" spans="1:13" ht="13" x14ac:dyDescent="0.25">
      <c r="A159" s="14" t="str">
        <f t="shared" si="19"/>
        <v>GENERAL SERVICE LESS THAN 50 KW SERVICE CLASSIFICATION</v>
      </c>
      <c r="C159" s="61"/>
      <c r="D159" s="55" t="s">
        <v>69</v>
      </c>
      <c r="E159" s="62"/>
      <c r="F159" s="71">
        <v>0</v>
      </c>
      <c r="G159" s="86">
        <f>IF($E138&gt;0, $E138, $E137)</f>
        <v>2000</v>
      </c>
      <c r="H159" s="65">
        <f t="shared" si="21"/>
        <v>0</v>
      </c>
      <c r="I159" s="72">
        <v>0</v>
      </c>
      <c r="J159" s="87">
        <f>IF($E138&gt;0, $E138, $E137)</f>
        <v>2000</v>
      </c>
      <c r="K159" s="68">
        <f t="shared" si="22"/>
        <v>0</v>
      </c>
      <c r="L159" s="69">
        <f t="shared" si="20"/>
        <v>0</v>
      </c>
      <c r="M159" s="70" t="str">
        <f t="shared" si="23"/>
        <v/>
      </c>
    </row>
    <row r="160" spans="1:13" ht="26" x14ac:dyDescent="0.25">
      <c r="A160" s="14" t="str">
        <f t="shared" si="19"/>
        <v>GENERAL SERVICE LESS THAN 50 KW SERVICE CLASSIFICATION</v>
      </c>
      <c r="B160" s="14" t="s">
        <v>70</v>
      </c>
      <c r="C160" s="61">
        <f>B31</f>
        <v>2</v>
      </c>
      <c r="D160" s="90" t="s">
        <v>71</v>
      </c>
      <c r="E160" s="91"/>
      <c r="F160" s="92"/>
      <c r="G160" s="93"/>
      <c r="H160" s="94">
        <f>SUM(H151:H159)</f>
        <v>90.45977400000001</v>
      </c>
      <c r="I160" s="95"/>
      <c r="J160" s="96"/>
      <c r="K160" s="94">
        <f>SUM(K151:K159)</f>
        <v>96.948686914030588</v>
      </c>
      <c r="L160" s="81">
        <f t="shared" si="20"/>
        <v>6.4889129140305783</v>
      </c>
      <c r="M160" s="82">
        <f>IF((H160)=0,"",(L160/H160))</f>
        <v>7.1732579323386073E-2</v>
      </c>
    </row>
    <row r="161" spans="1:13" ht="13" x14ac:dyDescent="0.25">
      <c r="A161" s="14" t="str">
        <f t="shared" si="19"/>
        <v>GENERAL SERVICE LESS THAN 50 KW SERVICE CLASSIFICATION</v>
      </c>
      <c r="C161" s="61"/>
      <c r="D161" s="97" t="s">
        <v>72</v>
      </c>
      <c r="E161" s="62"/>
      <c r="F161" s="71">
        <v>7.7000000000000002E-3</v>
      </c>
      <c r="G161" s="84">
        <f>IF($E138&gt;0, $E138, $E137*$E139)</f>
        <v>2112.2000000000003</v>
      </c>
      <c r="H161" s="65">
        <f>G161*F161</f>
        <v>16.263940000000002</v>
      </c>
      <c r="I161" s="98">
        <v>7.7000000000000002E-3</v>
      </c>
      <c r="J161" s="85">
        <f>IF($E138&gt;0, $E138, $E137*$E140)</f>
        <v>2112.2000000000003</v>
      </c>
      <c r="K161" s="68">
        <f>J161*I161</f>
        <v>16.263940000000002</v>
      </c>
      <c r="L161" s="69">
        <f t="shared" si="20"/>
        <v>0</v>
      </c>
      <c r="M161" s="70">
        <f>IF(ISERROR(L161/H161), "", L161/H161)</f>
        <v>0</v>
      </c>
    </row>
    <row r="162" spans="1:13" ht="25" x14ac:dyDescent="0.25">
      <c r="A162" s="14" t="str">
        <f t="shared" si="19"/>
        <v>GENERAL SERVICE LESS THAN 50 KW SERVICE CLASSIFICATION</v>
      </c>
      <c r="C162" s="61"/>
      <c r="D162" s="99" t="s">
        <v>73</v>
      </c>
      <c r="E162" s="62"/>
      <c r="F162" s="71">
        <v>6.4999999999999997E-3</v>
      </c>
      <c r="G162" s="84">
        <f>IF($E138&gt;0, $E138, $E137*$E139)</f>
        <v>2112.2000000000003</v>
      </c>
      <c r="H162" s="65">
        <f>G162*F162</f>
        <v>13.7293</v>
      </c>
      <c r="I162" s="98">
        <v>6.4999999999999997E-3</v>
      </c>
      <c r="J162" s="85">
        <f>IF($E138&gt;0, $E138, $E137*$E140)</f>
        <v>2112.2000000000003</v>
      </c>
      <c r="K162" s="68">
        <f>J162*I162</f>
        <v>13.7293</v>
      </c>
      <c r="L162" s="69">
        <f t="shared" si="20"/>
        <v>0</v>
      </c>
      <c r="M162" s="70">
        <f>IF(ISERROR(L162/H162), "", L162/H162)</f>
        <v>0</v>
      </c>
    </row>
    <row r="163" spans="1:13" ht="26" x14ac:dyDescent="0.25">
      <c r="A163" s="14" t="str">
        <f t="shared" si="19"/>
        <v>GENERAL SERVICE LESS THAN 50 KW SERVICE CLASSIFICATION</v>
      </c>
      <c r="B163" s="14" t="s">
        <v>74</v>
      </c>
      <c r="C163" s="61">
        <f>B31</f>
        <v>2</v>
      </c>
      <c r="D163" s="90" t="s">
        <v>75</v>
      </c>
      <c r="E163" s="75"/>
      <c r="F163" s="92"/>
      <c r="G163" s="93"/>
      <c r="H163" s="94">
        <f>SUM(H160:H162)</f>
        <v>120.45301400000001</v>
      </c>
      <c r="I163" s="95"/>
      <c r="J163" s="80"/>
      <c r="K163" s="94">
        <f>SUM(K160:K162)</f>
        <v>126.94192691403059</v>
      </c>
      <c r="L163" s="81">
        <f t="shared" si="20"/>
        <v>6.4889129140305783</v>
      </c>
      <c r="M163" s="82">
        <f>IF((H163)=0,"",(L163/H163))</f>
        <v>5.3870905331024573E-2</v>
      </c>
    </row>
    <row r="164" spans="1:13" ht="25" x14ac:dyDescent="0.25">
      <c r="A164" s="14" t="str">
        <f t="shared" si="19"/>
        <v>GENERAL SERVICE LESS THAN 50 KW SERVICE CLASSIFICATION</v>
      </c>
      <c r="C164" s="61"/>
      <c r="D164" s="100" t="s">
        <v>76</v>
      </c>
      <c r="E164" s="62"/>
      <c r="F164" s="71">
        <v>4.5000000000000005E-3</v>
      </c>
      <c r="G164" s="84">
        <f>E137*E139</f>
        <v>2112.2000000000003</v>
      </c>
      <c r="H164" s="101">
        <f>G164*F164</f>
        <v>9.5049000000000028</v>
      </c>
      <c r="I164" s="72">
        <v>4.5000000000000005E-3</v>
      </c>
      <c r="J164" s="85">
        <f>E137*E140</f>
        <v>2112.2000000000003</v>
      </c>
      <c r="K164" s="68">
        <f>J164*I164</f>
        <v>9.5049000000000028</v>
      </c>
      <c r="L164" s="69">
        <f t="shared" si="20"/>
        <v>0</v>
      </c>
      <c r="M164" s="70">
        <f>IF(ISERROR(L164/H164), "", L164/H164)</f>
        <v>0</v>
      </c>
    </row>
    <row r="165" spans="1:13" ht="25" x14ac:dyDescent="0.25">
      <c r="A165" s="14" t="str">
        <f t="shared" si="19"/>
        <v>GENERAL SERVICE LESS THAN 50 KW SERVICE CLASSIFICATION</v>
      </c>
      <c r="C165" s="61"/>
      <c r="D165" s="100" t="s">
        <v>77</v>
      </c>
      <c r="E165" s="62"/>
      <c r="F165" s="71">
        <v>6.9999999999999999E-4</v>
      </c>
      <c r="G165" s="84">
        <f>E137*E139</f>
        <v>2112.2000000000003</v>
      </c>
      <c r="H165" s="101">
        <f>G165*F165</f>
        <v>1.4785400000000002</v>
      </c>
      <c r="I165" s="72">
        <v>6.9999999999999999E-4</v>
      </c>
      <c r="J165" s="85">
        <f>E137*E140</f>
        <v>2112.2000000000003</v>
      </c>
      <c r="K165" s="68">
        <f>J165*I165</f>
        <v>1.4785400000000002</v>
      </c>
      <c r="L165" s="69">
        <f t="shared" si="20"/>
        <v>0</v>
      </c>
      <c r="M165" s="70">
        <f>IF(ISERROR(L165/H165), "", L165/H165)</f>
        <v>0</v>
      </c>
    </row>
    <row r="166" spans="1:13" ht="13" x14ac:dyDescent="0.25">
      <c r="A166" s="14" t="str">
        <f t="shared" si="19"/>
        <v>GENERAL SERVICE LESS THAN 50 KW SERVICE CLASSIFICATION</v>
      </c>
      <c r="C166" s="61"/>
      <c r="D166" s="102" t="s">
        <v>78</v>
      </c>
      <c r="E166" s="62"/>
      <c r="F166" s="88">
        <v>0.25</v>
      </c>
      <c r="G166" s="64">
        <v>1</v>
      </c>
      <c r="H166" s="101">
        <f>G166*F166</f>
        <v>0.25</v>
      </c>
      <c r="I166" s="89">
        <v>0.25</v>
      </c>
      <c r="J166" s="67">
        <v>1</v>
      </c>
      <c r="K166" s="68">
        <f>J166*I166</f>
        <v>0.25</v>
      </c>
      <c r="L166" s="69">
        <f t="shared" si="20"/>
        <v>0</v>
      </c>
      <c r="M166" s="70">
        <f>IF(ISERROR(L166/H166), "", L166/H166)</f>
        <v>0</v>
      </c>
    </row>
    <row r="167" spans="1:13" ht="25" x14ac:dyDescent="0.25">
      <c r="A167" s="14" t="str">
        <f t="shared" si="19"/>
        <v>GENERAL SERVICE LESS THAN 50 KW SERVICE CLASSIFICATION</v>
      </c>
      <c r="C167" s="61"/>
      <c r="D167" s="100" t="s">
        <v>79</v>
      </c>
      <c r="E167" s="62"/>
      <c r="F167" s="71"/>
      <c r="G167" s="84"/>
      <c r="H167" s="101"/>
      <c r="I167" s="72"/>
      <c r="J167" s="85"/>
      <c r="K167" s="68"/>
      <c r="L167" s="69"/>
      <c r="M167" s="70"/>
    </row>
    <row r="168" spans="1:13" ht="13" x14ac:dyDescent="0.25">
      <c r="A168" s="14" t="str">
        <f t="shared" si="19"/>
        <v>GENERAL SERVICE LESS THAN 50 KW SERVICE CLASSIFICATION</v>
      </c>
      <c r="B168" s="14" t="s">
        <v>15</v>
      </c>
      <c r="C168" s="61"/>
      <c r="D168" s="102" t="s">
        <v>80</v>
      </c>
      <c r="E168" s="62"/>
      <c r="F168" s="103">
        <v>7.3999999999999996E-2</v>
      </c>
      <c r="G168" s="104">
        <v>1260</v>
      </c>
      <c r="H168" s="101">
        <f>G168*F168</f>
        <v>93.24</v>
      </c>
      <c r="I168" s="105">
        <v>7.3999999999999996E-2</v>
      </c>
      <c r="J168" s="106">
        <v>1260</v>
      </c>
      <c r="K168" s="68">
        <f>J168*I168</f>
        <v>93.24</v>
      </c>
      <c r="L168" s="69">
        <f>K168-H168</f>
        <v>0</v>
      </c>
      <c r="M168" s="70">
        <f>IF(ISERROR(L168/H168), "", L168/H168)</f>
        <v>0</v>
      </c>
    </row>
    <row r="169" spans="1:13" ht="13" x14ac:dyDescent="0.25">
      <c r="A169" s="14" t="str">
        <f t="shared" si="19"/>
        <v>GENERAL SERVICE LESS THAN 50 KW SERVICE CLASSIFICATION</v>
      </c>
      <c r="B169" s="14" t="s">
        <v>15</v>
      </c>
      <c r="C169" s="61"/>
      <c r="D169" s="102" t="s">
        <v>81</v>
      </c>
      <c r="E169" s="62"/>
      <c r="F169" s="103">
        <v>0.10199999999999999</v>
      </c>
      <c r="G169" s="104">
        <v>360</v>
      </c>
      <c r="H169" s="101">
        <f>G169*F169</f>
        <v>36.72</v>
      </c>
      <c r="I169" s="105">
        <v>0.10199999999999999</v>
      </c>
      <c r="J169" s="106">
        <v>360</v>
      </c>
      <c r="K169" s="68">
        <f>J169*I169</f>
        <v>36.72</v>
      </c>
      <c r="L169" s="69">
        <f>K169-H169</f>
        <v>0</v>
      </c>
      <c r="M169" s="70">
        <f>IF(ISERROR(L169/H169), "", L169/H169)</f>
        <v>0</v>
      </c>
    </row>
    <row r="170" spans="1:13" ht="13" x14ac:dyDescent="0.25">
      <c r="A170" s="14" t="str">
        <f t="shared" si="19"/>
        <v>GENERAL SERVICE LESS THAN 50 KW SERVICE CLASSIFICATION</v>
      </c>
      <c r="B170" s="14" t="s">
        <v>15</v>
      </c>
      <c r="C170" s="61"/>
      <c r="D170" s="14" t="s">
        <v>82</v>
      </c>
      <c r="E170" s="62"/>
      <c r="F170" s="103">
        <v>0.151</v>
      </c>
      <c r="G170" s="104">
        <v>380</v>
      </c>
      <c r="H170" s="101">
        <f>G170*F170</f>
        <v>57.379999999999995</v>
      </c>
      <c r="I170" s="105">
        <v>0.151</v>
      </c>
      <c r="J170" s="106">
        <v>380</v>
      </c>
      <c r="K170" s="68">
        <f>J170*I170</f>
        <v>57.379999999999995</v>
      </c>
      <c r="L170" s="69">
        <f>K170-H170</f>
        <v>0</v>
      </c>
      <c r="M170" s="70">
        <f>IF(ISERROR(L170/H170), "", L170/H170)</f>
        <v>0</v>
      </c>
    </row>
    <row r="171" spans="1:13" ht="13" x14ac:dyDescent="0.25">
      <c r="A171" s="14" t="str">
        <f t="shared" si="19"/>
        <v>GENERAL SERVICE LESS THAN 50 KW SERVICE CLASSIFICATION</v>
      </c>
      <c r="B171" s="14" t="s">
        <v>25</v>
      </c>
      <c r="C171" s="61"/>
      <c r="D171" s="102" t="s">
        <v>83</v>
      </c>
      <c r="E171" s="62"/>
      <c r="F171" s="107">
        <v>0.1076</v>
      </c>
      <c r="G171" s="104">
        <f>IF(AND(E137*12&gt;=150000),E137*E139,E137)</f>
        <v>2000</v>
      </c>
      <c r="H171" s="101">
        <f>G171*F171</f>
        <v>215.2</v>
      </c>
      <c r="I171" s="108">
        <f>F171</f>
        <v>0.1076</v>
      </c>
      <c r="J171" s="106">
        <f>IF(AND(E137*12&gt;=150000),E137*E140,E137)</f>
        <v>2000</v>
      </c>
      <c r="K171" s="68">
        <f>J171*I171</f>
        <v>215.2</v>
      </c>
      <c r="L171" s="69">
        <f>K171-H171</f>
        <v>0</v>
      </c>
      <c r="M171" s="70">
        <f>IF(ISERROR(L171/H171), "", L171/H171)</f>
        <v>0</v>
      </c>
    </row>
    <row r="172" spans="1:13" ht="13.5" thickBot="1" x14ac:dyDescent="0.3">
      <c r="A172" s="14" t="str">
        <f t="shared" si="19"/>
        <v>GENERAL SERVICE LESS THAN 50 KW SERVICE CLASSIFICATION</v>
      </c>
      <c r="B172" s="14" t="s">
        <v>20</v>
      </c>
      <c r="C172" s="61"/>
      <c r="D172" s="102" t="s">
        <v>84</v>
      </c>
      <c r="E172" s="62"/>
      <c r="F172" s="107">
        <v>0.1076</v>
      </c>
      <c r="G172" s="104">
        <f>IF(AND(E137*12&gt;=150000),E137*E139,E137)</f>
        <v>2000</v>
      </c>
      <c r="H172" s="101">
        <f>G172*F172</f>
        <v>215.2</v>
      </c>
      <c r="I172" s="108">
        <f>F172</f>
        <v>0.1076</v>
      </c>
      <c r="J172" s="106">
        <f>IF(AND(E137*12&gt;=150000),E137*E140,E137)</f>
        <v>2000</v>
      </c>
      <c r="K172" s="68">
        <f>J172*I172</f>
        <v>215.2</v>
      </c>
      <c r="L172" s="69">
        <f>K172-H172</f>
        <v>0</v>
      </c>
      <c r="M172" s="70">
        <f>IF(ISERROR(L172/H172), "", L172/H172)</f>
        <v>0</v>
      </c>
    </row>
    <row r="173" spans="1:13" ht="13" thickBot="1" x14ac:dyDescent="0.3">
      <c r="A173" s="14" t="str">
        <f t="shared" si="19"/>
        <v>GENERAL SERVICE LESS THAN 50 KW SERVICE CLASSIFICATION</v>
      </c>
      <c r="C173" s="61"/>
      <c r="D173" s="109"/>
      <c r="E173" s="110"/>
      <c r="F173" s="111"/>
      <c r="G173" s="112"/>
      <c r="H173" s="113"/>
      <c r="I173" s="111"/>
      <c r="J173" s="114"/>
      <c r="K173" s="113"/>
      <c r="L173" s="115"/>
      <c r="M173" s="116"/>
    </row>
    <row r="174" spans="1:13" ht="13" x14ac:dyDescent="0.25">
      <c r="A174" s="14" t="str">
        <f t="shared" si="19"/>
        <v>GENERAL SERVICE LESS THAN 50 KW SERVICE CLASSIFICATION</v>
      </c>
      <c r="B174" s="14" t="s">
        <v>15</v>
      </c>
      <c r="C174" s="61"/>
      <c r="D174" s="117" t="s">
        <v>85</v>
      </c>
      <c r="E174" s="102"/>
      <c r="F174" s="118"/>
      <c r="G174" s="119"/>
      <c r="H174" s="120">
        <f>SUM(H164:H170,H163)</f>
        <v>319.026454</v>
      </c>
      <c r="I174" s="121"/>
      <c r="J174" s="121"/>
      <c r="K174" s="120">
        <f>SUM(K164:K170,K163)</f>
        <v>325.51536691403061</v>
      </c>
      <c r="L174" s="122">
        <f>K174-H174</f>
        <v>6.4889129140306068</v>
      </c>
      <c r="M174" s="123">
        <f>IF((H174)=0,"",(L174/H174))</f>
        <v>2.033973306185639E-2</v>
      </c>
    </row>
    <row r="175" spans="1:13" x14ac:dyDescent="0.25">
      <c r="A175" s="14" t="str">
        <f t="shared" si="19"/>
        <v>GENERAL SERVICE LESS THAN 50 KW SERVICE CLASSIFICATION</v>
      </c>
      <c r="B175" s="14" t="s">
        <v>15</v>
      </c>
      <c r="C175" s="61"/>
      <c r="D175" s="124" t="s">
        <v>86</v>
      </c>
      <c r="E175" s="102"/>
      <c r="F175" s="118">
        <v>0.13</v>
      </c>
      <c r="G175" s="125"/>
      <c r="H175" s="126">
        <f>H174*F175</f>
        <v>41.473439020000001</v>
      </c>
      <c r="I175" s="127">
        <v>0.13</v>
      </c>
      <c r="J175" s="64"/>
      <c r="K175" s="126">
        <f>K174*I175</f>
        <v>42.316997698823982</v>
      </c>
      <c r="L175" s="69">
        <f>K175-H175</f>
        <v>0.84355867882398172</v>
      </c>
      <c r="M175" s="128">
        <f>IF((H175)=0,"",(L175/H175))</f>
        <v>2.033973306185646E-2</v>
      </c>
    </row>
    <row r="176" spans="1:13" ht="14.5" x14ac:dyDescent="0.35">
      <c r="A176" s="14" t="str">
        <f t="shared" si="19"/>
        <v>GENERAL SERVICE LESS THAN 50 KW SERVICE CLASSIFICATION</v>
      </c>
      <c r="B176" s="14" t="s">
        <v>15</v>
      </c>
      <c r="C176" s="61"/>
      <c r="D176" s="124" t="s">
        <v>87</v>
      </c>
      <c r="E176"/>
      <c r="F176" s="129">
        <v>0.11700000000000001</v>
      </c>
      <c r="G176" s="125"/>
      <c r="H176" s="126">
        <f>IF(OR(ISNUMBER(SEARCH("[DGEN]", E135))=TRUE, ISNUMBER(SEARCH("STREET LIGHT", E135))=TRUE), 0, IF(AND(E137=0, E138=0),0, IF(AND(E138=0, E137*12&gt;250000), 0, IF(AND(E137=0, E138&gt;=50), 0, IF(E137*12&lt;=250000, F176*H174*-1, IF(E138&lt;50, F176*H174*-1, 0))))))</f>
        <v>-37.326095118000005</v>
      </c>
      <c r="I176" s="129">
        <v>0.11700000000000001</v>
      </c>
      <c r="J176" s="64"/>
      <c r="K176" s="126">
        <f>IF(OR(ISNUMBER(SEARCH("[DGEN]", E135))=TRUE, ISNUMBER(SEARCH("STREET LIGHT", E135))=TRUE), 0, IF(AND(E137=0, E138=0),0, IF(AND(E138=0, E137*12&gt;250000), 0, IF(AND(E137=0, E138&gt;=50), 0, IF(E137*12&lt;=250000, I176*K174*-1, IF(E138&lt;50, I176*K174*-1, 0))))))</f>
        <v>-38.085297928941586</v>
      </c>
      <c r="L176" s="69">
        <f>K176-H176</f>
        <v>-0.75920281094158071</v>
      </c>
      <c r="M176" s="128"/>
    </row>
    <row r="177" spans="1:18" ht="13.5" thickBot="1" x14ac:dyDescent="0.3">
      <c r="A177" s="14" t="str">
        <f t="shared" si="19"/>
        <v>GENERAL SERVICE LESS THAN 50 KW SERVICE CLASSIFICATION</v>
      </c>
      <c r="B177" s="14" t="s">
        <v>88</v>
      </c>
      <c r="C177" s="61">
        <f>B31</f>
        <v>2</v>
      </c>
      <c r="D177" s="181" t="s">
        <v>89</v>
      </c>
      <c r="E177" s="181"/>
      <c r="F177" s="130"/>
      <c r="G177" s="131"/>
      <c r="H177" s="132">
        <f>H174+H175+H176</f>
        <v>323.17379790199999</v>
      </c>
      <c r="I177" s="133"/>
      <c r="J177" s="133"/>
      <c r="K177" s="134">
        <f>K174+K175+K176</f>
        <v>329.74706668391298</v>
      </c>
      <c r="L177" s="135">
        <f>K177-H177</f>
        <v>6.5732687819129865</v>
      </c>
      <c r="M177" s="136">
        <f>IF((H177)=0,"",(L177/H177))</f>
        <v>2.0339733061856335E-2</v>
      </c>
    </row>
    <row r="178" spans="1:18" ht="13" thickBot="1" x14ac:dyDescent="0.3">
      <c r="A178" s="14" t="str">
        <f t="shared" si="19"/>
        <v>GENERAL SERVICE LESS THAN 50 KW SERVICE CLASSIFICATION</v>
      </c>
      <c r="B178" s="14" t="s">
        <v>15</v>
      </c>
      <c r="C178" s="61"/>
      <c r="D178" s="109"/>
      <c r="E178" s="110"/>
      <c r="F178" s="111"/>
      <c r="G178" s="112"/>
      <c r="H178" s="113"/>
      <c r="I178" s="111"/>
      <c r="J178" s="114"/>
      <c r="K178" s="113"/>
      <c r="L178" s="115"/>
      <c r="M178" s="116"/>
    </row>
    <row r="179" spans="1:18" ht="13" x14ac:dyDescent="0.25">
      <c r="A179" s="14" t="str">
        <f t="shared" si="19"/>
        <v>GENERAL SERVICE LESS THAN 50 KW SERVICE CLASSIFICATION</v>
      </c>
      <c r="B179" s="14" t="s">
        <v>25</v>
      </c>
      <c r="C179" s="61"/>
      <c r="D179" s="117" t="s">
        <v>90</v>
      </c>
      <c r="E179" s="102"/>
      <c r="F179" s="118"/>
      <c r="G179" s="119"/>
      <c r="H179" s="120">
        <f>SUM(H171,H164:H167,H163)</f>
        <v>346.88645400000001</v>
      </c>
      <c r="I179" s="121"/>
      <c r="J179" s="121"/>
      <c r="K179" s="120">
        <f>SUM(K171,K164:K167,K163)</f>
        <v>353.37536691403056</v>
      </c>
      <c r="L179" s="122">
        <f>K179-H179</f>
        <v>6.4889129140305499</v>
      </c>
      <c r="M179" s="123">
        <f>IF((H179)=0,"",(L179/H179))</f>
        <v>1.8706158280918487E-2</v>
      </c>
    </row>
    <row r="180" spans="1:18" x14ac:dyDescent="0.25">
      <c r="A180" s="14" t="str">
        <f t="shared" si="19"/>
        <v>GENERAL SERVICE LESS THAN 50 KW SERVICE CLASSIFICATION</v>
      </c>
      <c r="B180" s="14" t="s">
        <v>25</v>
      </c>
      <c r="C180" s="61"/>
      <c r="D180" s="124" t="s">
        <v>86</v>
      </c>
      <c r="E180" s="102"/>
      <c r="F180" s="118">
        <v>0.13</v>
      </c>
      <c r="G180" s="119"/>
      <c r="H180" s="126">
        <f>H179*F180</f>
        <v>45.095239020000001</v>
      </c>
      <c r="I180" s="118">
        <v>0.13</v>
      </c>
      <c r="J180" s="127"/>
      <c r="K180" s="126">
        <f>K179*I180</f>
        <v>45.938797698823976</v>
      </c>
      <c r="L180" s="69">
        <f>K180-H180</f>
        <v>0.84355867882397462</v>
      </c>
      <c r="M180" s="128">
        <f>IF((H180)=0,"",(L180/H180))</f>
        <v>1.8706158280918556E-2</v>
      </c>
    </row>
    <row r="181" spans="1:18" ht="14.5" x14ac:dyDescent="0.35">
      <c r="A181" s="14" t="str">
        <f t="shared" si="19"/>
        <v>GENERAL SERVICE LESS THAN 50 KW SERVICE CLASSIFICATION</v>
      </c>
      <c r="B181" s="14" t="s">
        <v>25</v>
      </c>
      <c r="C181" s="61"/>
      <c r="D181" s="124" t="s">
        <v>87</v>
      </c>
      <c r="E181"/>
      <c r="F181" s="129">
        <v>0.11700000000000001</v>
      </c>
      <c r="G181" s="119"/>
      <c r="H181" s="126">
        <f>IF(OR(ISNUMBER(SEARCH("[DGEN]", E135))=TRUE, ISNUMBER(SEARCH("STREET LIGHT", E135))=TRUE), 0, IF(AND(E137=0, E138=0),0, IF(AND(E138=0, E137*12&gt;250000), 0, IF(AND(E137=0, E138&gt;=50), 0, IF(E137*12&lt;=250000, F181*H179*-1, IF(E138&lt;50, F181*H179*-1, 0))))))</f>
        <v>-40.585715118000003</v>
      </c>
      <c r="I181" s="129">
        <v>0.11700000000000001</v>
      </c>
      <c r="J181" s="127"/>
      <c r="K181" s="126">
        <f>IF(OR(ISNUMBER(SEARCH("[DGEN]", E135))=TRUE, ISNUMBER(SEARCH("STREET LIGHT", E135))=TRUE), 0, IF(AND(E137=0, E138=0),0, IF(AND(E138=0, E137*12&gt;250000), 0, IF(AND(E137=0, E138&gt;=50), 0, IF(E137*12&lt;=250000, I181*K179*-1, IF(E138&lt;50, I181*K179*-1, 0))))))</f>
        <v>-41.344917928941577</v>
      </c>
      <c r="L181" s="69"/>
      <c r="M181" s="128"/>
    </row>
    <row r="182" spans="1:18" ht="13.5" thickBot="1" x14ac:dyDescent="0.3">
      <c r="A182" s="14" t="str">
        <f t="shared" si="19"/>
        <v>GENERAL SERVICE LESS THAN 50 KW SERVICE CLASSIFICATION</v>
      </c>
      <c r="B182" s="14" t="s">
        <v>91</v>
      </c>
      <c r="C182" s="61"/>
      <c r="D182" s="181" t="s">
        <v>90</v>
      </c>
      <c r="E182" s="181"/>
      <c r="F182" s="137"/>
      <c r="G182" s="138"/>
      <c r="H182" s="132">
        <f>SUM(H179,H180)</f>
        <v>391.98169302000002</v>
      </c>
      <c r="I182" s="139"/>
      <c r="J182" s="139"/>
      <c r="K182" s="132">
        <f>SUM(K179,K180)</f>
        <v>399.31416461285454</v>
      </c>
      <c r="L182" s="140">
        <f>K182-H182</f>
        <v>7.3324715928545174</v>
      </c>
      <c r="M182" s="141">
        <f>IF((H182)=0,"",(L182/H182))</f>
        <v>1.8706158280918476E-2</v>
      </c>
    </row>
    <row r="183" spans="1:18" ht="13" thickBot="1" x14ac:dyDescent="0.3">
      <c r="A183" s="14" t="str">
        <f t="shared" si="19"/>
        <v>GENERAL SERVICE LESS THAN 50 KW SERVICE CLASSIFICATION</v>
      </c>
      <c r="B183" s="14" t="s">
        <v>25</v>
      </c>
      <c r="C183" s="61"/>
      <c r="D183" s="109"/>
      <c r="E183" s="110"/>
      <c r="F183" s="142"/>
      <c r="G183" s="143"/>
      <c r="H183" s="144"/>
      <c r="I183" s="142"/>
      <c r="J183" s="112"/>
      <c r="K183" s="144"/>
      <c r="L183" s="145"/>
      <c r="M183" s="116"/>
    </row>
    <row r="184" spans="1:18" ht="13" x14ac:dyDescent="0.25">
      <c r="A184" s="14" t="str">
        <f t="shared" si="19"/>
        <v>GENERAL SERVICE LESS THAN 50 KW SERVICE CLASSIFICATION</v>
      </c>
      <c r="B184" s="14" t="s">
        <v>20</v>
      </c>
      <c r="C184" s="61"/>
      <c r="D184" s="117" t="s">
        <v>92</v>
      </c>
      <c r="E184" s="102"/>
      <c r="F184" s="118"/>
      <c r="G184" s="119"/>
      <c r="H184" s="120">
        <f>SUM(H172,H164:H167,H163)</f>
        <v>346.88645400000001</v>
      </c>
      <c r="I184" s="121"/>
      <c r="J184" s="121"/>
      <c r="K184" s="120">
        <f>SUM(K172,K164:K167,K163)</f>
        <v>353.37536691403056</v>
      </c>
      <c r="L184" s="122">
        <f>K184-H184</f>
        <v>6.4889129140305499</v>
      </c>
      <c r="M184" s="123">
        <f>IF((H184)=0,"",(L184/H184))</f>
        <v>1.8706158280918487E-2</v>
      </c>
    </row>
    <row r="185" spans="1:18" x14ac:dyDescent="0.25">
      <c r="A185" s="14" t="str">
        <f t="shared" si="19"/>
        <v>GENERAL SERVICE LESS THAN 50 KW SERVICE CLASSIFICATION</v>
      </c>
      <c r="B185" s="14" t="s">
        <v>20</v>
      </c>
      <c r="C185" s="61"/>
      <c r="D185" s="124" t="s">
        <v>86</v>
      </c>
      <c r="E185" s="102"/>
      <c r="F185" s="118">
        <v>0.13</v>
      </c>
      <c r="G185" s="119"/>
      <c r="H185" s="126">
        <f>H184*F185</f>
        <v>45.095239020000001</v>
      </c>
      <c r="I185" s="118">
        <v>0.13</v>
      </c>
      <c r="J185" s="127"/>
      <c r="K185" s="126">
        <f>K184*I185</f>
        <v>45.938797698823976</v>
      </c>
      <c r="L185" s="69">
        <f>K185-H185</f>
        <v>0.84355867882397462</v>
      </c>
      <c r="M185" s="128">
        <f>IF((H185)=0,"",(L185/H185))</f>
        <v>1.8706158280918556E-2</v>
      </c>
    </row>
    <row r="186" spans="1:18" ht="14.5" x14ac:dyDescent="0.35">
      <c r="A186" s="14" t="str">
        <f t="shared" si="19"/>
        <v>GENERAL SERVICE LESS THAN 50 KW SERVICE CLASSIFICATION</v>
      </c>
      <c r="B186" s="14" t="s">
        <v>20</v>
      </c>
      <c r="C186" s="61"/>
      <c r="D186" s="124" t="s">
        <v>87</v>
      </c>
      <c r="E186"/>
      <c r="F186" s="129">
        <v>0.11700000000000001</v>
      </c>
      <c r="G186" s="119"/>
      <c r="H186" s="126">
        <f>IF(OR(ISNUMBER(SEARCH("[DGEN]", E135))=TRUE, ISNUMBER(SEARCH("STREET LIGHT", E135))=TRUE), 0, IF(AND(E137=0, E138=0),0, IF(AND(E138=0, E137*12&gt;250000), 0, IF(AND(E137=0, E138&gt;=50), 0, IF(E137*12&lt;=250000, F186*H184*-1, IF(E138&lt;50, F186*H184*-1, 0))))))</f>
        <v>-40.585715118000003</v>
      </c>
      <c r="I186" s="129">
        <v>0.11700000000000001</v>
      </c>
      <c r="J186" s="127"/>
      <c r="K186" s="126">
        <f>IF(OR(ISNUMBER(SEARCH("[DGEN]", E135))=TRUE, ISNUMBER(SEARCH("STREET LIGHT", E135))=TRUE), 0, IF(AND(E137=0, E138=0),0, IF(AND(E138=0, E137*12&gt;250000), 0, IF(AND(E137=0, E138&gt;=50), 0, IF(E137*12&lt;=250000, I186*K184*-1, IF(E138&lt;50, I186*K184*-1, 0))))))</f>
        <v>-41.344917928941577</v>
      </c>
      <c r="L186" s="69"/>
      <c r="M186" s="128"/>
    </row>
    <row r="187" spans="1:18" ht="13.5" thickBot="1" x14ac:dyDescent="0.3">
      <c r="A187" s="14" t="str">
        <f t="shared" si="19"/>
        <v>GENERAL SERVICE LESS THAN 50 KW SERVICE CLASSIFICATION</v>
      </c>
      <c r="B187" s="14" t="s">
        <v>93</v>
      </c>
      <c r="C187" s="61"/>
      <c r="D187" s="181" t="s">
        <v>92</v>
      </c>
      <c r="E187" s="181"/>
      <c r="F187" s="137"/>
      <c r="G187" s="138"/>
      <c r="H187" s="132">
        <f>SUM(H184,H185)</f>
        <v>391.98169302000002</v>
      </c>
      <c r="I187" s="139"/>
      <c r="J187" s="139"/>
      <c r="K187" s="132">
        <f>SUM(K184,K185)</f>
        <v>399.31416461285454</v>
      </c>
      <c r="L187" s="140">
        <f>K187-H187</f>
        <v>7.3324715928545174</v>
      </c>
      <c r="M187" s="141">
        <f>IF((H187)=0,"",(L187/H187))</f>
        <v>1.8706158280918476E-2</v>
      </c>
    </row>
    <row r="188" spans="1:18" ht="13" thickBot="1" x14ac:dyDescent="0.3">
      <c r="A188" s="14" t="str">
        <f t="shared" si="19"/>
        <v>GENERAL SERVICE LESS THAN 50 KW SERVICE CLASSIFICATION</v>
      </c>
      <c r="B188" s="14" t="s">
        <v>20</v>
      </c>
      <c r="C188" s="61"/>
      <c r="D188" s="109"/>
      <c r="E188" s="110"/>
      <c r="F188" s="146"/>
      <c r="G188" s="143"/>
      <c r="H188" s="147"/>
      <c r="I188" s="146"/>
      <c r="J188" s="112"/>
      <c r="K188" s="147"/>
      <c r="L188" s="145"/>
      <c r="M188" s="148"/>
    </row>
    <row r="191" spans="1:18" ht="13" x14ac:dyDescent="0.25">
      <c r="C191" s="14"/>
      <c r="D191" s="46" t="s">
        <v>39</v>
      </c>
      <c r="E191" s="176" t="str">
        <f>D32</f>
        <v>GENERAL SERVICE 50 to 4,999 kW SERVICE CLASSIFICATION</v>
      </c>
      <c r="F191" s="176"/>
      <c r="G191" s="176"/>
      <c r="H191" s="176"/>
      <c r="I191" s="176"/>
      <c r="J191" s="176"/>
      <c r="K191" s="14" t="str">
        <f>IF(N32="DEMAND - INTERVAL","RTSR - INTERVAL METERED","")</f>
        <v/>
      </c>
      <c r="R191" s="14" t="s">
        <v>29</v>
      </c>
    </row>
    <row r="192" spans="1:18" ht="13" x14ac:dyDescent="0.25">
      <c r="C192" s="14"/>
      <c r="D192" s="46" t="s">
        <v>40</v>
      </c>
      <c r="E192" s="177" t="str">
        <f>H32</f>
        <v>Non-RPP (Other)</v>
      </c>
      <c r="F192" s="177"/>
      <c r="G192" s="177"/>
      <c r="H192" s="47"/>
      <c r="I192" s="47"/>
    </row>
    <row r="193" spans="1:13" ht="15.5" x14ac:dyDescent="0.3">
      <c r="C193" s="14"/>
      <c r="D193" s="46" t="s">
        <v>41</v>
      </c>
      <c r="E193" s="48">
        <f>K32</f>
        <v>80000</v>
      </c>
      <c r="F193" s="49" t="s">
        <v>14</v>
      </c>
      <c r="J193" s="50"/>
      <c r="K193" s="50"/>
      <c r="L193" s="50"/>
      <c r="M193" s="50"/>
    </row>
    <row r="194" spans="1:13" ht="15.5" x14ac:dyDescent="0.35">
      <c r="C194" s="14"/>
      <c r="D194" s="46" t="s">
        <v>42</v>
      </c>
      <c r="E194" s="48">
        <f>L32</f>
        <v>200</v>
      </c>
      <c r="F194" s="51" t="s">
        <v>19</v>
      </c>
      <c r="G194" s="52"/>
      <c r="H194" s="53"/>
      <c r="I194" s="53"/>
      <c r="J194" s="53"/>
    </row>
    <row r="195" spans="1:13" ht="13" x14ac:dyDescent="0.3">
      <c r="C195" s="14"/>
      <c r="D195" s="46" t="s">
        <v>43</v>
      </c>
      <c r="E195" s="54">
        <f>I32</f>
        <v>1.0561</v>
      </c>
    </row>
    <row r="196" spans="1:13" ht="13" x14ac:dyDescent="0.3">
      <c r="C196" s="14"/>
      <c r="D196" s="46" t="s">
        <v>44</v>
      </c>
      <c r="E196" s="54">
        <f>J32</f>
        <v>1.0561</v>
      </c>
    </row>
    <row r="197" spans="1:13" x14ac:dyDescent="0.25">
      <c r="C197" s="14"/>
    </row>
    <row r="198" spans="1:13" ht="13" x14ac:dyDescent="0.3">
      <c r="C198" s="14"/>
      <c r="E198" s="49"/>
      <c r="F198" s="178" t="s">
        <v>45</v>
      </c>
      <c r="G198" s="179"/>
      <c r="H198" s="180"/>
      <c r="I198" s="178" t="s">
        <v>46</v>
      </c>
      <c r="J198" s="179"/>
      <c r="K198" s="180"/>
      <c r="L198" s="178" t="s">
        <v>47</v>
      </c>
      <c r="M198" s="180"/>
    </row>
    <row r="199" spans="1:13" ht="13" x14ac:dyDescent="0.3">
      <c r="C199" s="14"/>
      <c r="E199" s="182"/>
      <c r="F199" s="56" t="s">
        <v>48</v>
      </c>
      <c r="G199" s="56" t="s">
        <v>49</v>
      </c>
      <c r="H199" s="57" t="s">
        <v>50</v>
      </c>
      <c r="I199" s="56" t="s">
        <v>48</v>
      </c>
      <c r="J199" s="58" t="s">
        <v>49</v>
      </c>
      <c r="K199" s="57" t="s">
        <v>50</v>
      </c>
      <c r="L199" s="184" t="s">
        <v>51</v>
      </c>
      <c r="M199" s="186" t="s">
        <v>52</v>
      </c>
    </row>
    <row r="200" spans="1:13" ht="13" x14ac:dyDescent="0.3">
      <c r="C200" s="14"/>
      <c r="E200" s="183"/>
      <c r="F200" s="59" t="s">
        <v>53</v>
      </c>
      <c r="G200" s="59"/>
      <c r="H200" s="60" t="s">
        <v>53</v>
      </c>
      <c r="I200" s="59" t="s">
        <v>53</v>
      </c>
      <c r="J200" s="60"/>
      <c r="K200" s="60" t="s">
        <v>53</v>
      </c>
      <c r="L200" s="185"/>
      <c r="M200" s="187"/>
    </row>
    <row r="201" spans="1:13" ht="13" x14ac:dyDescent="0.25">
      <c r="A201" s="14" t="str">
        <f>$E191</f>
        <v>GENERAL SERVICE 50 to 4,999 kW SERVICE CLASSIFICATION</v>
      </c>
      <c r="C201" s="61"/>
      <c r="D201" s="55" t="s">
        <v>54</v>
      </c>
      <c r="E201" s="62"/>
      <c r="F201" s="63">
        <v>340.6</v>
      </c>
      <c r="G201" s="64">
        <v>1</v>
      </c>
      <c r="H201" s="65">
        <f>G201*F201</f>
        <v>340.6</v>
      </c>
      <c r="I201" s="66">
        <v>340.6</v>
      </c>
      <c r="J201" s="67">
        <f>G201</f>
        <v>1</v>
      </c>
      <c r="K201" s="68">
        <f>J201*I201</f>
        <v>340.6</v>
      </c>
      <c r="L201" s="69">
        <f>K201-H201</f>
        <v>0</v>
      </c>
      <c r="M201" s="70">
        <f>IF(ISERROR(L201/H201), "", L201/H201)</f>
        <v>0</v>
      </c>
    </row>
    <row r="202" spans="1:13" ht="13" x14ac:dyDescent="0.25">
      <c r="A202" s="14" t="str">
        <f t="shared" ref="A202:A244" si="24">A201</f>
        <v>GENERAL SERVICE 50 to 4,999 kW SERVICE CLASSIFICATION</v>
      </c>
      <c r="C202" s="61"/>
      <c r="D202" s="55" t="s">
        <v>55</v>
      </c>
      <c r="E202" s="62"/>
      <c r="F202" s="71">
        <v>3.5825</v>
      </c>
      <c r="G202" s="64">
        <f>IF($E194&gt;0, $E194, $E193)</f>
        <v>200</v>
      </c>
      <c r="H202" s="65">
        <f>G202*F202</f>
        <v>716.5</v>
      </c>
      <c r="I202" s="72">
        <v>3.5825</v>
      </c>
      <c r="J202" s="67">
        <f>IF($E194&gt;0, $E194, $E193)</f>
        <v>200</v>
      </c>
      <c r="K202" s="68">
        <f>J202*I202</f>
        <v>716.5</v>
      </c>
      <c r="L202" s="69">
        <f>K202-H202</f>
        <v>0</v>
      </c>
      <c r="M202" s="70">
        <f>IF(ISERROR(L202/H202), "", L202/H202)</f>
        <v>0</v>
      </c>
    </row>
    <row r="203" spans="1:13" ht="13" x14ac:dyDescent="0.25">
      <c r="A203" s="14" t="str">
        <f t="shared" si="24"/>
        <v>GENERAL SERVICE 50 to 4,999 kW SERVICE CLASSIFICATION</v>
      </c>
      <c r="C203" s="61"/>
      <c r="D203" s="55" t="s">
        <v>56</v>
      </c>
      <c r="E203" s="62"/>
      <c r="F203" s="71"/>
      <c r="G203" s="64">
        <f>IF($E194&gt;0, $E194, $E193)</f>
        <v>200</v>
      </c>
      <c r="H203" s="65">
        <v>0</v>
      </c>
      <c r="I203" s="72"/>
      <c r="J203" s="67">
        <f>IF($E194&gt;0, $E194, $E193)</f>
        <v>200</v>
      </c>
      <c r="K203" s="68">
        <v>0</v>
      </c>
      <c r="L203" s="69"/>
      <c r="M203" s="70"/>
    </row>
    <row r="204" spans="1:13" ht="13" x14ac:dyDescent="0.25">
      <c r="A204" s="14" t="str">
        <f t="shared" si="24"/>
        <v>GENERAL SERVICE 50 to 4,999 kW SERVICE CLASSIFICATION</v>
      </c>
      <c r="C204" s="61"/>
      <c r="D204" s="55" t="s">
        <v>57</v>
      </c>
      <c r="E204" s="62"/>
      <c r="F204" s="71"/>
      <c r="G204" s="64">
        <f>IF($E194&gt;0, $E194, $E193)</f>
        <v>200</v>
      </c>
      <c r="H204" s="65">
        <v>0</v>
      </c>
      <c r="I204" s="72"/>
      <c r="J204" s="73">
        <f>IF($E194&gt;0, $E194, $E193)</f>
        <v>200</v>
      </c>
      <c r="K204" s="68">
        <v>0</v>
      </c>
      <c r="L204" s="69">
        <f t="shared" ref="L204:L222" si="25">K204-H204</f>
        <v>0</v>
      </c>
      <c r="M204" s="70" t="str">
        <f>IF(ISERROR(L204/H204), "", L204/H204)</f>
        <v/>
      </c>
    </row>
    <row r="205" spans="1:13" ht="13" x14ac:dyDescent="0.25">
      <c r="A205" s="14" t="str">
        <f t="shared" si="24"/>
        <v>GENERAL SERVICE 50 to 4,999 kW SERVICE CLASSIFICATION</v>
      </c>
      <c r="C205" s="61"/>
      <c r="D205" s="55" t="s">
        <v>58</v>
      </c>
      <c r="E205" s="62"/>
      <c r="F205" s="63">
        <v>-3.41</v>
      </c>
      <c r="G205" s="64">
        <v>1</v>
      </c>
      <c r="H205" s="65">
        <f>G205*F205</f>
        <v>-3.41</v>
      </c>
      <c r="I205" s="66">
        <v>-3.41</v>
      </c>
      <c r="J205" s="67">
        <f>G205</f>
        <v>1</v>
      </c>
      <c r="K205" s="68">
        <f>J205*I205</f>
        <v>-3.41</v>
      </c>
      <c r="L205" s="69">
        <f t="shared" si="25"/>
        <v>0</v>
      </c>
      <c r="M205" s="70">
        <f>IF(ISERROR(L205/H205), "", L205/H205)</f>
        <v>0</v>
      </c>
    </row>
    <row r="206" spans="1:13" ht="13" x14ac:dyDescent="0.25">
      <c r="A206" s="14" t="str">
        <f t="shared" si="24"/>
        <v>GENERAL SERVICE 50 to 4,999 kW SERVICE CLASSIFICATION</v>
      </c>
      <c r="C206" s="61"/>
      <c r="D206" s="55" t="s">
        <v>59</v>
      </c>
      <c r="E206" s="62"/>
      <c r="F206" s="71">
        <v>-1.0334999999999999</v>
      </c>
      <c r="G206" s="64">
        <f>IF($E194&gt;0, $E194, $E193)</f>
        <v>200</v>
      </c>
      <c r="H206" s="65">
        <f>G206*F206</f>
        <v>-206.69999999999996</v>
      </c>
      <c r="I206" s="72">
        <v>4.1599999999999998E-2</v>
      </c>
      <c r="J206" s="67">
        <f>IF($E194&gt;0, $E194, $E193)</f>
        <v>200</v>
      </c>
      <c r="K206" s="68">
        <f>J206*I206</f>
        <v>8.32</v>
      </c>
      <c r="L206" s="69">
        <f t="shared" si="25"/>
        <v>215.01999999999995</v>
      </c>
      <c r="M206" s="70">
        <f>IF(ISERROR(L206/H206), "", IF(H206&lt;0,(K206-(H206))/ABS(H206),L206/H206))</f>
        <v>1.040251572327044</v>
      </c>
    </row>
    <row r="207" spans="1:13" ht="13" x14ac:dyDescent="0.25">
      <c r="A207" s="14" t="str">
        <f t="shared" si="24"/>
        <v>GENERAL SERVICE 50 to 4,999 kW SERVICE CLASSIFICATION</v>
      </c>
      <c r="B207" s="14" t="s">
        <v>60</v>
      </c>
      <c r="C207" s="61">
        <f>B32</f>
        <v>3</v>
      </c>
      <c r="D207" s="74" t="s">
        <v>61</v>
      </c>
      <c r="E207" s="75"/>
      <c r="F207" s="76"/>
      <c r="G207" s="77"/>
      <c r="H207" s="78">
        <f>SUM(H201:H206)</f>
        <v>846.9899999999999</v>
      </c>
      <c r="I207" s="79"/>
      <c r="J207" s="80"/>
      <c r="K207" s="78">
        <f>SUM(K201:K206)</f>
        <v>1062.0099999999998</v>
      </c>
      <c r="L207" s="81">
        <f t="shared" si="25"/>
        <v>215.01999999999987</v>
      </c>
      <c r="M207" s="82">
        <f>IF((H207)=0,"",(L207/H207))</f>
        <v>0.25386368197971626</v>
      </c>
    </row>
    <row r="208" spans="1:13" ht="13" x14ac:dyDescent="0.25">
      <c r="A208" s="14" t="str">
        <f t="shared" si="24"/>
        <v>GENERAL SERVICE 50 to 4,999 kW SERVICE CLASSIFICATION</v>
      </c>
      <c r="C208" s="61"/>
      <c r="D208" s="83" t="s">
        <v>62</v>
      </c>
      <c r="E208" s="62"/>
      <c r="F208" s="71">
        <v>0</v>
      </c>
      <c r="G208" s="84">
        <f>IF(F208=0, 0, $E193*E195-E193)</f>
        <v>0</v>
      </c>
      <c r="H208" s="65">
        <f t="shared" ref="H208:H215" si="26">G208*F208</f>
        <v>0</v>
      </c>
      <c r="I208" s="72">
        <v>0</v>
      </c>
      <c r="J208" s="85">
        <f>IF(I208=0, 0, E193*E196-E193)</f>
        <v>0</v>
      </c>
      <c r="K208" s="68">
        <f t="shared" ref="K208:K215" si="27">J208*I208</f>
        <v>0</v>
      </c>
      <c r="L208" s="69">
        <f t="shared" si="25"/>
        <v>0</v>
      </c>
      <c r="M208" s="70" t="str">
        <f t="shared" ref="M208:M215" si="28">IF(ISERROR(L208/H208), "", L208/H208)</f>
        <v/>
      </c>
    </row>
    <row r="209" spans="1:13" ht="25" x14ac:dyDescent="0.25">
      <c r="A209" s="14" t="str">
        <f t="shared" si="24"/>
        <v>GENERAL SERVICE 50 to 4,999 kW SERVICE CLASSIFICATION</v>
      </c>
      <c r="C209" s="61"/>
      <c r="D209" s="83" t="s">
        <v>63</v>
      </c>
      <c r="E209" s="62"/>
      <c r="F209" s="71">
        <v>2.2675999999999998</v>
      </c>
      <c r="G209" s="86">
        <f>IF($E194&gt;0, $E194, $E193)</f>
        <v>200</v>
      </c>
      <c r="H209" s="65">
        <f t="shared" si="26"/>
        <v>453.52</v>
      </c>
      <c r="I209" s="72">
        <v>1.3557999999999999</v>
      </c>
      <c r="J209" s="87">
        <f>IF($E194&gt;0, $E194, $E193)</f>
        <v>200</v>
      </c>
      <c r="K209" s="68">
        <f t="shared" si="27"/>
        <v>271.15999999999997</v>
      </c>
      <c r="L209" s="69">
        <f t="shared" si="25"/>
        <v>-182.36</v>
      </c>
      <c r="M209" s="70">
        <f t="shared" si="28"/>
        <v>-0.40209913565002653</v>
      </c>
    </row>
    <row r="210" spans="1:13" ht="13" x14ac:dyDescent="0.25">
      <c r="A210" s="14" t="str">
        <f t="shared" si="24"/>
        <v>GENERAL SERVICE 50 to 4,999 kW SERVICE CLASSIFICATION</v>
      </c>
      <c r="C210" s="61"/>
      <c r="D210" s="83" t="s">
        <v>64</v>
      </c>
      <c r="E210" s="62"/>
      <c r="F210" s="71">
        <v>-0.14829999999999999</v>
      </c>
      <c r="G210" s="86">
        <f>IF($E194&gt;0, $E194, $E193)</f>
        <v>200</v>
      </c>
      <c r="H210" s="65">
        <f t="shared" si="26"/>
        <v>-29.659999999999997</v>
      </c>
      <c r="I210" s="72">
        <v>-0.1792</v>
      </c>
      <c r="J210" s="87">
        <f>IF($E194&gt;0, $E194, $E193)</f>
        <v>200</v>
      </c>
      <c r="K210" s="68">
        <f t="shared" si="27"/>
        <v>-35.839999999999996</v>
      </c>
      <c r="L210" s="69">
        <f t="shared" si="25"/>
        <v>-6.18</v>
      </c>
      <c r="M210" s="70">
        <f>IF(ISERROR(L210/H210), "", IF(H210&lt;0,(K210-(H210))/ABS(H210),L210/H210))</f>
        <v>-0.20836142953472692</v>
      </c>
    </row>
    <row r="211" spans="1:13" ht="13" x14ac:dyDescent="0.25">
      <c r="A211" s="14" t="str">
        <f t="shared" si="24"/>
        <v>GENERAL SERVICE 50 to 4,999 kW SERVICE CLASSIFICATION</v>
      </c>
      <c r="C211" s="61"/>
      <c r="D211" s="83" t="s">
        <v>65</v>
      </c>
      <c r="E211" s="62"/>
      <c r="F211" s="71">
        <v>1.4E-3</v>
      </c>
      <c r="G211" s="86">
        <f>E193</f>
        <v>80000</v>
      </c>
      <c r="H211" s="65">
        <f t="shared" si="26"/>
        <v>112</v>
      </c>
      <c r="I211" s="72">
        <v>-8.9999999999999993E-3</v>
      </c>
      <c r="J211" s="87">
        <f>E193</f>
        <v>80000</v>
      </c>
      <c r="K211" s="68">
        <f t="shared" si="27"/>
        <v>-720</v>
      </c>
      <c r="L211" s="69">
        <f t="shared" si="25"/>
        <v>-832</v>
      </c>
      <c r="M211" s="70">
        <f t="shared" si="28"/>
        <v>-7.4285714285714288</v>
      </c>
    </row>
    <row r="212" spans="1:13" ht="13" x14ac:dyDescent="0.25">
      <c r="A212" s="14" t="str">
        <f t="shared" si="24"/>
        <v>GENERAL SERVICE 50 to 4,999 kW SERVICE CLASSIFICATION</v>
      </c>
      <c r="C212" s="61"/>
      <c r="D212" s="55" t="s">
        <v>66</v>
      </c>
      <c r="E212" s="62"/>
      <c r="F212" s="71">
        <v>0.223</v>
      </c>
      <c r="G212" s="86">
        <f>IF($E194&gt;0, $E194, $E193)</f>
        <v>200</v>
      </c>
      <c r="H212" s="65">
        <f t="shared" si="26"/>
        <v>44.6</v>
      </c>
      <c r="I212" s="72">
        <v>0.43531406396352756</v>
      </c>
      <c r="J212" s="87">
        <f>IF($E194&gt;0, $E194, $E193)</f>
        <v>200</v>
      </c>
      <c r="K212" s="68">
        <f t="shared" si="27"/>
        <v>87.062812792705515</v>
      </c>
      <c r="L212" s="69">
        <f t="shared" si="25"/>
        <v>42.462812792705513</v>
      </c>
      <c r="M212" s="70">
        <f t="shared" si="28"/>
        <v>0.95208100432075138</v>
      </c>
    </row>
    <row r="213" spans="1:13" ht="13" x14ac:dyDescent="0.25">
      <c r="A213" s="14" t="str">
        <f t="shared" si="24"/>
        <v>GENERAL SERVICE 50 to 4,999 kW SERVICE CLASSIFICATION</v>
      </c>
      <c r="C213" s="61"/>
      <c r="D213" s="83" t="s">
        <v>67</v>
      </c>
      <c r="E213" s="62"/>
      <c r="F213" s="88">
        <v>0</v>
      </c>
      <c r="G213" s="64">
        <v>1</v>
      </c>
      <c r="H213" s="65">
        <f t="shared" si="26"/>
        <v>0</v>
      </c>
      <c r="I213" s="89">
        <v>0</v>
      </c>
      <c r="J213" s="73">
        <v>1</v>
      </c>
      <c r="K213" s="68">
        <f t="shared" si="27"/>
        <v>0</v>
      </c>
      <c r="L213" s="69">
        <f t="shared" si="25"/>
        <v>0</v>
      </c>
      <c r="M213" s="70" t="str">
        <f t="shared" si="28"/>
        <v/>
      </c>
    </row>
    <row r="214" spans="1:13" ht="13" x14ac:dyDescent="0.25">
      <c r="A214" s="14" t="str">
        <f t="shared" si="24"/>
        <v>GENERAL SERVICE 50 to 4,999 kW SERVICE CLASSIFICATION</v>
      </c>
      <c r="C214" s="61"/>
      <c r="D214" s="55" t="s">
        <v>68</v>
      </c>
      <c r="E214" s="62"/>
      <c r="F214" s="63">
        <v>0</v>
      </c>
      <c r="G214" s="64">
        <v>1</v>
      </c>
      <c r="H214" s="65">
        <f t="shared" si="26"/>
        <v>0</v>
      </c>
      <c r="I214" s="66">
        <v>0</v>
      </c>
      <c r="J214" s="73">
        <v>1</v>
      </c>
      <c r="K214" s="68">
        <f t="shared" si="27"/>
        <v>0</v>
      </c>
      <c r="L214" s="69">
        <f t="shared" si="25"/>
        <v>0</v>
      </c>
      <c r="M214" s="70" t="str">
        <f t="shared" si="28"/>
        <v/>
      </c>
    </row>
    <row r="215" spans="1:13" ht="13" x14ac:dyDescent="0.25">
      <c r="A215" s="14" t="str">
        <f t="shared" si="24"/>
        <v>GENERAL SERVICE 50 to 4,999 kW SERVICE CLASSIFICATION</v>
      </c>
      <c r="C215" s="61"/>
      <c r="D215" s="55" t="s">
        <v>69</v>
      </c>
      <c r="E215" s="62"/>
      <c r="F215" s="71">
        <v>0</v>
      </c>
      <c r="G215" s="86">
        <f>IF($E194&gt;0, $E194, $E193)</f>
        <v>200</v>
      </c>
      <c r="H215" s="65">
        <f t="shared" si="26"/>
        <v>0</v>
      </c>
      <c r="I215" s="72">
        <v>0</v>
      </c>
      <c r="J215" s="87">
        <f>IF($E194&gt;0, $E194, $E193)</f>
        <v>200</v>
      </c>
      <c r="K215" s="68">
        <f t="shared" si="27"/>
        <v>0</v>
      </c>
      <c r="L215" s="69">
        <f t="shared" si="25"/>
        <v>0</v>
      </c>
      <c r="M215" s="70" t="str">
        <f t="shared" si="28"/>
        <v/>
      </c>
    </row>
    <row r="216" spans="1:13" ht="26" x14ac:dyDescent="0.25">
      <c r="A216" s="14" t="str">
        <f t="shared" si="24"/>
        <v>GENERAL SERVICE 50 to 4,999 kW SERVICE CLASSIFICATION</v>
      </c>
      <c r="B216" s="14" t="s">
        <v>70</v>
      </c>
      <c r="C216" s="61">
        <f>B32</f>
        <v>3</v>
      </c>
      <c r="D216" s="90" t="s">
        <v>71</v>
      </c>
      <c r="E216" s="91"/>
      <c r="F216" s="92"/>
      <c r="G216" s="93"/>
      <c r="H216" s="94">
        <f>SUM(H207:H215)</f>
        <v>1427.4499999999996</v>
      </c>
      <c r="I216" s="95"/>
      <c r="J216" s="96"/>
      <c r="K216" s="94">
        <f>SUM(K207:K215)</f>
        <v>664.39281279270517</v>
      </c>
      <c r="L216" s="81">
        <f t="shared" si="25"/>
        <v>-763.05718720729442</v>
      </c>
      <c r="M216" s="82">
        <f>IF((H216)=0,"",(L216/H216))</f>
        <v>-0.53455966037850333</v>
      </c>
    </row>
    <row r="217" spans="1:13" ht="13" x14ac:dyDescent="0.25">
      <c r="A217" s="14" t="str">
        <f t="shared" si="24"/>
        <v>GENERAL SERVICE 50 to 4,999 kW SERVICE CLASSIFICATION</v>
      </c>
      <c r="C217" s="61"/>
      <c r="D217" s="97" t="s">
        <v>72</v>
      </c>
      <c r="E217" s="62"/>
      <c r="F217" s="71">
        <v>3.4401999999999999</v>
      </c>
      <c r="G217" s="84">
        <f>IF($E194&gt;0, $E194, $E193*$E195)</f>
        <v>200</v>
      </c>
      <c r="H217" s="65">
        <f>G217*F217</f>
        <v>688.04</v>
      </c>
      <c r="I217" s="98">
        <v>3.4491000000000001</v>
      </c>
      <c r="J217" s="85">
        <f>IF($E194&gt;0, $E194, $E193*$E196)</f>
        <v>200</v>
      </c>
      <c r="K217" s="68">
        <f>J217*I217</f>
        <v>689.82</v>
      </c>
      <c r="L217" s="69">
        <f t="shared" si="25"/>
        <v>1.7800000000000864</v>
      </c>
      <c r="M217" s="70">
        <f>IF(ISERROR(L217/H217), "", L217/H217)</f>
        <v>2.5870588919250136E-3</v>
      </c>
    </row>
    <row r="218" spans="1:13" ht="25" x14ac:dyDescent="0.25">
      <c r="A218" s="14" t="str">
        <f t="shared" si="24"/>
        <v>GENERAL SERVICE 50 to 4,999 kW SERVICE CLASSIFICATION</v>
      </c>
      <c r="C218" s="61"/>
      <c r="D218" s="99" t="s">
        <v>73</v>
      </c>
      <c r="E218" s="62"/>
      <c r="F218" s="71">
        <v>2.5655000000000001</v>
      </c>
      <c r="G218" s="84">
        <f>IF($E194&gt;0, $E194, $E193*$E195)</f>
        <v>200</v>
      </c>
      <c r="H218" s="65">
        <f>G218*F218</f>
        <v>513.1</v>
      </c>
      <c r="I218" s="98">
        <v>2.5710999999999999</v>
      </c>
      <c r="J218" s="85">
        <f>IF($E194&gt;0, $E194, $E193*$E196)</f>
        <v>200</v>
      </c>
      <c r="K218" s="68">
        <f>J218*I218</f>
        <v>514.22</v>
      </c>
      <c r="L218" s="69">
        <f t="shared" si="25"/>
        <v>1.1200000000000045</v>
      </c>
      <c r="M218" s="70">
        <f>IF(ISERROR(L218/H218), "", L218/H218)</f>
        <v>2.1828103683492585E-3</v>
      </c>
    </row>
    <row r="219" spans="1:13" ht="26" x14ac:dyDescent="0.25">
      <c r="A219" s="14" t="str">
        <f t="shared" si="24"/>
        <v>GENERAL SERVICE 50 to 4,999 kW SERVICE CLASSIFICATION</v>
      </c>
      <c r="B219" s="14" t="s">
        <v>74</v>
      </c>
      <c r="C219" s="61">
        <f>B32</f>
        <v>3</v>
      </c>
      <c r="D219" s="90" t="s">
        <v>75</v>
      </c>
      <c r="E219" s="75"/>
      <c r="F219" s="92"/>
      <c r="G219" s="93"/>
      <c r="H219" s="94">
        <f>SUM(H216:H218)</f>
        <v>2628.5899999999997</v>
      </c>
      <c r="I219" s="95"/>
      <c r="J219" s="80"/>
      <c r="K219" s="94">
        <f>SUM(K216:K218)</f>
        <v>1868.4328127927054</v>
      </c>
      <c r="L219" s="81">
        <f t="shared" si="25"/>
        <v>-760.15718720729433</v>
      </c>
      <c r="M219" s="82">
        <f>IF((H219)=0,"",(L219/H219))</f>
        <v>-0.28918819108620758</v>
      </c>
    </row>
    <row r="220" spans="1:13" ht="25" x14ac:dyDescent="0.25">
      <c r="A220" s="14" t="str">
        <f t="shared" si="24"/>
        <v>GENERAL SERVICE 50 to 4,999 kW SERVICE CLASSIFICATION</v>
      </c>
      <c r="C220" s="61"/>
      <c r="D220" s="100" t="s">
        <v>76</v>
      </c>
      <c r="E220" s="62"/>
      <c r="F220" s="71">
        <v>4.5000000000000005E-3</v>
      </c>
      <c r="G220" s="84">
        <f>E193*E195</f>
        <v>84488</v>
      </c>
      <c r="H220" s="101">
        <f>G220*F220</f>
        <v>380.19600000000003</v>
      </c>
      <c r="I220" s="72">
        <v>4.5000000000000005E-3</v>
      </c>
      <c r="J220" s="85">
        <f>E193*E196</f>
        <v>84488</v>
      </c>
      <c r="K220" s="68">
        <f>J220*I220</f>
        <v>380.19600000000003</v>
      </c>
      <c r="L220" s="69">
        <f t="shared" si="25"/>
        <v>0</v>
      </c>
      <c r="M220" s="70">
        <f>IF(ISERROR(L220/H220), "", L220/H220)</f>
        <v>0</v>
      </c>
    </row>
    <row r="221" spans="1:13" ht="25" x14ac:dyDescent="0.25">
      <c r="A221" s="14" t="str">
        <f t="shared" si="24"/>
        <v>GENERAL SERVICE 50 to 4,999 kW SERVICE CLASSIFICATION</v>
      </c>
      <c r="C221" s="61"/>
      <c r="D221" s="100" t="s">
        <v>77</v>
      </c>
      <c r="E221" s="62"/>
      <c r="F221" s="71">
        <v>6.9999999999999999E-4</v>
      </c>
      <c r="G221" s="84">
        <f>E193*E195</f>
        <v>84488</v>
      </c>
      <c r="H221" s="101">
        <f>G221*F221</f>
        <v>59.141599999999997</v>
      </c>
      <c r="I221" s="72">
        <v>6.9999999999999999E-4</v>
      </c>
      <c r="J221" s="85">
        <f>E193*E196</f>
        <v>84488</v>
      </c>
      <c r="K221" s="68">
        <f>J221*I221</f>
        <v>59.141599999999997</v>
      </c>
      <c r="L221" s="69">
        <f t="shared" si="25"/>
        <v>0</v>
      </c>
      <c r="M221" s="70">
        <f>IF(ISERROR(L221/H221), "", L221/H221)</f>
        <v>0</v>
      </c>
    </row>
    <row r="222" spans="1:13" ht="13" x14ac:dyDescent="0.25">
      <c r="A222" s="14" t="str">
        <f t="shared" si="24"/>
        <v>GENERAL SERVICE 50 to 4,999 kW SERVICE CLASSIFICATION</v>
      </c>
      <c r="C222" s="61"/>
      <c r="D222" s="102" t="s">
        <v>78</v>
      </c>
      <c r="E222" s="62"/>
      <c r="F222" s="88">
        <v>0.25</v>
      </c>
      <c r="G222" s="64">
        <v>1</v>
      </c>
      <c r="H222" s="101">
        <f>G222*F222</f>
        <v>0.25</v>
      </c>
      <c r="I222" s="89">
        <v>0.25</v>
      </c>
      <c r="J222" s="67">
        <v>1</v>
      </c>
      <c r="K222" s="68">
        <f>J222*I222</f>
        <v>0.25</v>
      </c>
      <c r="L222" s="69">
        <f t="shared" si="25"/>
        <v>0</v>
      </c>
      <c r="M222" s="70">
        <f>IF(ISERROR(L222/H222), "", L222/H222)</f>
        <v>0</v>
      </c>
    </row>
    <row r="223" spans="1:13" ht="25" x14ac:dyDescent="0.25">
      <c r="A223" s="14" t="str">
        <f t="shared" si="24"/>
        <v>GENERAL SERVICE 50 to 4,999 kW SERVICE CLASSIFICATION</v>
      </c>
      <c r="C223" s="61"/>
      <c r="D223" s="100" t="s">
        <v>79</v>
      </c>
      <c r="E223" s="62"/>
      <c r="F223" s="71"/>
      <c r="G223" s="84"/>
      <c r="H223" s="101"/>
      <c r="I223" s="72"/>
      <c r="J223" s="85"/>
      <c r="K223" s="68"/>
      <c r="L223" s="69"/>
      <c r="M223" s="70"/>
    </row>
    <row r="224" spans="1:13" ht="13" x14ac:dyDescent="0.25">
      <c r="A224" s="14" t="str">
        <f t="shared" si="24"/>
        <v>GENERAL SERVICE 50 to 4,999 kW SERVICE CLASSIFICATION</v>
      </c>
      <c r="B224" s="14" t="s">
        <v>15</v>
      </c>
      <c r="C224" s="61"/>
      <c r="D224" s="102" t="s">
        <v>80</v>
      </c>
      <c r="E224" s="62"/>
      <c r="F224" s="103">
        <v>7.3999999999999996E-2</v>
      </c>
      <c r="G224" s="104">
        <v>53227.44</v>
      </c>
      <c r="H224" s="101">
        <f>G224*F224</f>
        <v>3938.8305599999999</v>
      </c>
      <c r="I224" s="105">
        <v>7.3999999999999996E-2</v>
      </c>
      <c r="J224" s="106">
        <v>53227.44</v>
      </c>
      <c r="K224" s="68">
        <f>J224*I224</f>
        <v>3938.8305599999999</v>
      </c>
      <c r="L224" s="69">
        <f>K224-H224</f>
        <v>0</v>
      </c>
      <c r="M224" s="70">
        <f>IF(ISERROR(L224/H224), "", L224/H224)</f>
        <v>0</v>
      </c>
    </row>
    <row r="225" spans="1:13" ht="13" x14ac:dyDescent="0.25">
      <c r="A225" s="14" t="str">
        <f t="shared" si="24"/>
        <v>GENERAL SERVICE 50 to 4,999 kW SERVICE CLASSIFICATION</v>
      </c>
      <c r="B225" s="14" t="s">
        <v>15</v>
      </c>
      <c r="C225" s="61"/>
      <c r="D225" s="102" t="s">
        <v>81</v>
      </c>
      <c r="E225" s="62"/>
      <c r="F225" s="103">
        <v>0.10199999999999999</v>
      </c>
      <c r="G225" s="104">
        <v>15207.84</v>
      </c>
      <c r="H225" s="101">
        <f>G225*F225</f>
        <v>1551.1996799999999</v>
      </c>
      <c r="I225" s="105">
        <v>0.10199999999999999</v>
      </c>
      <c r="J225" s="106">
        <v>15207.84</v>
      </c>
      <c r="K225" s="68">
        <f>J225*I225</f>
        <v>1551.1996799999999</v>
      </c>
      <c r="L225" s="69">
        <f>K225-H225</f>
        <v>0</v>
      </c>
      <c r="M225" s="70">
        <f>IF(ISERROR(L225/H225), "", L225/H225)</f>
        <v>0</v>
      </c>
    </row>
    <row r="226" spans="1:13" ht="13" x14ac:dyDescent="0.25">
      <c r="A226" s="14" t="str">
        <f t="shared" si="24"/>
        <v>GENERAL SERVICE 50 to 4,999 kW SERVICE CLASSIFICATION</v>
      </c>
      <c r="B226" s="14" t="s">
        <v>15</v>
      </c>
      <c r="C226" s="61"/>
      <c r="D226" s="14" t="s">
        <v>82</v>
      </c>
      <c r="E226" s="62"/>
      <c r="F226" s="103">
        <v>0.151</v>
      </c>
      <c r="G226" s="104">
        <v>16052.720000000001</v>
      </c>
      <c r="H226" s="101">
        <f>G226*F226</f>
        <v>2423.96072</v>
      </c>
      <c r="I226" s="105">
        <v>0.151</v>
      </c>
      <c r="J226" s="106">
        <v>16052.720000000001</v>
      </c>
      <c r="K226" s="68">
        <f>J226*I226</f>
        <v>2423.96072</v>
      </c>
      <c r="L226" s="69">
        <f>K226-H226</f>
        <v>0</v>
      </c>
      <c r="M226" s="70">
        <f>IF(ISERROR(L226/H226), "", L226/H226)</f>
        <v>0</v>
      </c>
    </row>
    <row r="227" spans="1:13" ht="13" x14ac:dyDescent="0.25">
      <c r="A227" s="14" t="str">
        <f t="shared" si="24"/>
        <v>GENERAL SERVICE 50 to 4,999 kW SERVICE CLASSIFICATION</v>
      </c>
      <c r="B227" s="14" t="s">
        <v>25</v>
      </c>
      <c r="C227" s="61"/>
      <c r="D227" s="102" t="s">
        <v>83</v>
      </c>
      <c r="E227" s="62"/>
      <c r="F227" s="107">
        <v>0.1076</v>
      </c>
      <c r="G227" s="104">
        <f>IF(AND(E193*12&gt;=150000),E193*E195,E193)</f>
        <v>84488</v>
      </c>
      <c r="H227" s="101">
        <f>G227*F227</f>
        <v>9090.9087999999992</v>
      </c>
      <c r="I227" s="108">
        <f>F227</f>
        <v>0.1076</v>
      </c>
      <c r="J227" s="106">
        <f>IF(AND(E193*12&gt;=150000),E193*E196,E193)</f>
        <v>84488</v>
      </c>
      <c r="K227" s="68">
        <f>J227*I227</f>
        <v>9090.9087999999992</v>
      </c>
      <c r="L227" s="69">
        <f>K227-H227</f>
        <v>0</v>
      </c>
      <c r="M227" s="70">
        <f>IF(ISERROR(L227/H227), "", L227/H227)</f>
        <v>0</v>
      </c>
    </row>
    <row r="228" spans="1:13" ht="13.5" thickBot="1" x14ac:dyDescent="0.3">
      <c r="A228" s="14" t="str">
        <f t="shared" si="24"/>
        <v>GENERAL SERVICE 50 to 4,999 kW SERVICE CLASSIFICATION</v>
      </c>
      <c r="B228" s="14" t="s">
        <v>20</v>
      </c>
      <c r="C228" s="61"/>
      <c r="D228" s="102" t="s">
        <v>84</v>
      </c>
      <c r="E228" s="62"/>
      <c r="F228" s="107">
        <v>0.1076</v>
      </c>
      <c r="G228" s="104">
        <f>IF(AND(E193*12&gt;=150000),E193*E195,E193)</f>
        <v>84488</v>
      </c>
      <c r="H228" s="101">
        <f>G228*F228</f>
        <v>9090.9087999999992</v>
      </c>
      <c r="I228" s="108">
        <f>F228</f>
        <v>0.1076</v>
      </c>
      <c r="J228" s="106">
        <f>IF(AND(E193*12&gt;=150000),E193*E196,E193)</f>
        <v>84488</v>
      </c>
      <c r="K228" s="68">
        <f>J228*I228</f>
        <v>9090.9087999999992</v>
      </c>
      <c r="L228" s="69">
        <f>K228-H228</f>
        <v>0</v>
      </c>
      <c r="M228" s="70">
        <f>IF(ISERROR(L228/H228), "", L228/H228)</f>
        <v>0</v>
      </c>
    </row>
    <row r="229" spans="1:13" ht="13" thickBot="1" x14ac:dyDescent="0.3">
      <c r="A229" s="14" t="str">
        <f t="shared" si="24"/>
        <v>GENERAL SERVICE 50 to 4,999 kW SERVICE CLASSIFICATION</v>
      </c>
      <c r="C229" s="61"/>
      <c r="D229" s="109"/>
      <c r="E229" s="110"/>
      <c r="F229" s="111"/>
      <c r="G229" s="112"/>
      <c r="H229" s="113"/>
      <c r="I229" s="111"/>
      <c r="J229" s="114"/>
      <c r="K229" s="113"/>
      <c r="L229" s="115"/>
      <c r="M229" s="116"/>
    </row>
    <row r="230" spans="1:13" ht="13" x14ac:dyDescent="0.25">
      <c r="A230" s="14" t="str">
        <f t="shared" si="24"/>
        <v>GENERAL SERVICE 50 to 4,999 kW SERVICE CLASSIFICATION</v>
      </c>
      <c r="B230" s="14" t="s">
        <v>15</v>
      </c>
      <c r="C230" s="61"/>
      <c r="D230" s="117" t="s">
        <v>85</v>
      </c>
      <c r="E230" s="102"/>
      <c r="F230" s="118"/>
      <c r="G230" s="119"/>
      <c r="H230" s="120">
        <f>SUM(H220:H226,H219)</f>
        <v>10982.16856</v>
      </c>
      <c r="I230" s="121"/>
      <c r="J230" s="121"/>
      <c r="K230" s="120">
        <f>SUM(K220:K226,K219)</f>
        <v>10222.011372792706</v>
      </c>
      <c r="L230" s="122">
        <f>K230-H230</f>
        <v>-760.15718720729456</v>
      </c>
      <c r="M230" s="123">
        <f>IF((H230)=0,"",(L230/H230))</f>
        <v>-6.9217403016011855E-2</v>
      </c>
    </row>
    <row r="231" spans="1:13" x14ac:dyDescent="0.25">
      <c r="A231" s="14" t="str">
        <f t="shared" si="24"/>
        <v>GENERAL SERVICE 50 to 4,999 kW SERVICE CLASSIFICATION</v>
      </c>
      <c r="B231" s="14" t="s">
        <v>15</v>
      </c>
      <c r="C231" s="61"/>
      <c r="D231" s="124" t="s">
        <v>86</v>
      </c>
      <c r="E231" s="102"/>
      <c r="F231" s="118">
        <v>0.13</v>
      </c>
      <c r="G231" s="125"/>
      <c r="H231" s="126">
        <f>H230*F231</f>
        <v>1427.6819128</v>
      </c>
      <c r="I231" s="127">
        <v>0.13</v>
      </c>
      <c r="J231" s="64"/>
      <c r="K231" s="126">
        <f>K230*I231</f>
        <v>1328.8614784630518</v>
      </c>
      <c r="L231" s="69">
        <f>K231-H231</f>
        <v>-98.82043433694821</v>
      </c>
      <c r="M231" s="128">
        <f>IF((H231)=0,"",(L231/H231))</f>
        <v>-6.92174030160118E-2</v>
      </c>
    </row>
    <row r="232" spans="1:13" ht="14.5" x14ac:dyDescent="0.35">
      <c r="A232" s="14" t="str">
        <f t="shared" si="24"/>
        <v>GENERAL SERVICE 50 to 4,999 kW SERVICE CLASSIFICATION</v>
      </c>
      <c r="B232" s="14" t="s">
        <v>15</v>
      </c>
      <c r="C232" s="61"/>
      <c r="D232" s="124" t="s">
        <v>87</v>
      </c>
      <c r="E232"/>
      <c r="F232" s="129">
        <v>0.11700000000000001</v>
      </c>
      <c r="G232" s="125"/>
      <c r="H232" s="126">
        <f>IF(OR(ISNUMBER(SEARCH("[DGEN]", E191))=TRUE, ISNUMBER(SEARCH("STREET LIGHT", E191))=TRUE), 0, IF(AND(E193=0, E194=0),0, IF(AND(E194=0, E193*12&gt;250000), 0, IF(AND(E193=0, E194&gt;=50), 0, IF(E193*12&lt;=250000, F232*H230*-1, IF(E194&lt;50, F232*H230*-1, 0))))))</f>
        <v>0</v>
      </c>
      <c r="I232" s="129">
        <v>0.11700000000000001</v>
      </c>
      <c r="J232" s="64"/>
      <c r="K232" s="126">
        <f>IF(OR(ISNUMBER(SEARCH("[DGEN]", E191))=TRUE, ISNUMBER(SEARCH("STREET LIGHT", E191))=TRUE), 0, IF(AND(E193=0, E194=0),0, IF(AND(E194=0, E193*12&gt;250000), 0, IF(AND(E193=0, E194&gt;=50), 0, IF(E193*12&lt;=250000, I232*K230*-1, IF(E194&lt;50, I232*K230*-1, 0))))))</f>
        <v>0</v>
      </c>
      <c r="L232" s="69">
        <f>K232-H232</f>
        <v>0</v>
      </c>
      <c r="M232" s="128"/>
    </row>
    <row r="233" spans="1:13" ht="13.5" thickBot="1" x14ac:dyDescent="0.3">
      <c r="A233" s="14" t="str">
        <f t="shared" si="24"/>
        <v>GENERAL SERVICE 50 to 4,999 kW SERVICE CLASSIFICATION</v>
      </c>
      <c r="B233" s="14" t="s">
        <v>88</v>
      </c>
      <c r="C233" s="61"/>
      <c r="D233" s="181" t="s">
        <v>89</v>
      </c>
      <c r="E233" s="181"/>
      <c r="F233" s="130"/>
      <c r="G233" s="131"/>
      <c r="H233" s="132">
        <f>H230+H231+H232</f>
        <v>12409.850472800001</v>
      </c>
      <c r="I233" s="133"/>
      <c r="J233" s="133"/>
      <c r="K233" s="134">
        <f>K230+K231+K232</f>
        <v>11550.872851255757</v>
      </c>
      <c r="L233" s="135">
        <f>K233-H233</f>
        <v>-858.97762154424345</v>
      </c>
      <c r="M233" s="136">
        <f>IF((H233)=0,"",(L233/H233))</f>
        <v>-6.9217403016011897E-2</v>
      </c>
    </row>
    <row r="234" spans="1:13" ht="13" thickBot="1" x14ac:dyDescent="0.3">
      <c r="A234" s="14" t="str">
        <f t="shared" si="24"/>
        <v>GENERAL SERVICE 50 to 4,999 kW SERVICE CLASSIFICATION</v>
      </c>
      <c r="B234" s="14" t="s">
        <v>15</v>
      </c>
      <c r="C234" s="61"/>
      <c r="D234" s="109"/>
      <c r="E234" s="110"/>
      <c r="F234" s="111"/>
      <c r="G234" s="112"/>
      <c r="H234" s="113"/>
      <c r="I234" s="111"/>
      <c r="J234" s="114"/>
      <c r="K234" s="113"/>
      <c r="L234" s="115"/>
      <c r="M234" s="116"/>
    </row>
    <row r="235" spans="1:13" ht="13" x14ac:dyDescent="0.25">
      <c r="A235" s="14" t="str">
        <f t="shared" si="24"/>
        <v>GENERAL SERVICE 50 to 4,999 kW SERVICE CLASSIFICATION</v>
      </c>
      <c r="B235" s="14" t="s">
        <v>25</v>
      </c>
      <c r="C235" s="61"/>
      <c r="D235" s="117" t="s">
        <v>90</v>
      </c>
      <c r="E235" s="102"/>
      <c r="F235" s="118"/>
      <c r="G235" s="119"/>
      <c r="H235" s="120">
        <f>SUM(H227,H220:H223,H219)</f>
        <v>12159.0864</v>
      </c>
      <c r="I235" s="121"/>
      <c r="J235" s="121"/>
      <c r="K235" s="120">
        <f>SUM(K227,K220:K223,K219)</f>
        <v>11398.929212792706</v>
      </c>
      <c r="L235" s="122">
        <f>K235-H235</f>
        <v>-760.15718720729456</v>
      </c>
      <c r="M235" s="123">
        <f>IF((H235)=0,"",(L235/H235))</f>
        <v>-6.2517623627322411E-2</v>
      </c>
    </row>
    <row r="236" spans="1:13" x14ac:dyDescent="0.25">
      <c r="A236" s="14" t="str">
        <f t="shared" si="24"/>
        <v>GENERAL SERVICE 50 to 4,999 kW SERVICE CLASSIFICATION</v>
      </c>
      <c r="B236" s="14" t="s">
        <v>25</v>
      </c>
      <c r="C236" s="61"/>
      <c r="D236" s="124" t="s">
        <v>86</v>
      </c>
      <c r="E236" s="102"/>
      <c r="F236" s="118">
        <v>0.13</v>
      </c>
      <c r="G236" s="119"/>
      <c r="H236" s="126">
        <f>H235*F236</f>
        <v>1580.6812320000001</v>
      </c>
      <c r="I236" s="118">
        <v>0.13</v>
      </c>
      <c r="J236" s="127"/>
      <c r="K236" s="126">
        <f>K235*I236</f>
        <v>1481.8607976630517</v>
      </c>
      <c r="L236" s="69">
        <f>K236-H236</f>
        <v>-98.820434336948438</v>
      </c>
      <c r="M236" s="128">
        <f>IF((H236)=0,"",(L236/H236))</f>
        <v>-6.2517623627322494E-2</v>
      </c>
    </row>
    <row r="237" spans="1:13" ht="14.5" x14ac:dyDescent="0.35">
      <c r="A237" s="14" t="str">
        <f t="shared" si="24"/>
        <v>GENERAL SERVICE 50 to 4,999 kW SERVICE CLASSIFICATION</v>
      </c>
      <c r="B237" s="14" t="s">
        <v>25</v>
      </c>
      <c r="C237" s="61"/>
      <c r="D237" s="124" t="s">
        <v>87</v>
      </c>
      <c r="E237"/>
      <c r="F237" s="129">
        <v>0.11700000000000001</v>
      </c>
      <c r="G237" s="119"/>
      <c r="H237" s="126">
        <f>IF(OR(ISNUMBER(SEARCH("[DGEN]", E191))=TRUE, ISNUMBER(SEARCH("STREET LIGHT", E191))=TRUE), 0, IF(AND(E193=0, E194=0),0, IF(AND(E194=0, E193*12&gt;250000), 0, IF(AND(E193=0, E194&gt;=50), 0, IF(E193*12&lt;=250000, F237*H235*-1, IF(E194&lt;50, F237*H235*-1, 0))))))</f>
        <v>0</v>
      </c>
      <c r="I237" s="129">
        <v>0.11700000000000001</v>
      </c>
      <c r="J237" s="127"/>
      <c r="K237" s="126">
        <f>IF(OR(ISNUMBER(SEARCH("[DGEN]", E191))=TRUE, ISNUMBER(SEARCH("STREET LIGHT", E191))=TRUE), 0, IF(AND(E193=0, E194=0),0, IF(AND(E194=0, E193*12&gt;250000), 0, IF(AND(E193=0, E194&gt;=50), 0, IF(E193*12&lt;=250000, I237*K235*-1, IF(E194&lt;50, I237*K235*-1, 0))))))</f>
        <v>0</v>
      </c>
      <c r="L237" s="69"/>
      <c r="M237" s="128"/>
    </row>
    <row r="238" spans="1:13" ht="13.5" thickBot="1" x14ac:dyDescent="0.3">
      <c r="A238" s="14" t="str">
        <f t="shared" si="24"/>
        <v>GENERAL SERVICE 50 to 4,999 kW SERVICE CLASSIFICATION</v>
      </c>
      <c r="B238" s="14" t="s">
        <v>91</v>
      </c>
      <c r="C238" s="61"/>
      <c r="D238" s="181" t="s">
        <v>90</v>
      </c>
      <c r="E238" s="181"/>
      <c r="F238" s="137"/>
      <c r="G238" s="138"/>
      <c r="H238" s="132">
        <f>SUM(H235,H236)</f>
        <v>13739.767632000001</v>
      </c>
      <c r="I238" s="139"/>
      <c r="J238" s="139"/>
      <c r="K238" s="132">
        <f>SUM(K235,K236)</f>
        <v>12880.790010455758</v>
      </c>
      <c r="L238" s="140">
        <f>K238-H238</f>
        <v>-858.97762154424345</v>
      </c>
      <c r="M238" s="141">
        <f>IF((H238)=0,"",(L238/H238))</f>
        <v>-6.2517623627322452E-2</v>
      </c>
    </row>
    <row r="239" spans="1:13" ht="13" thickBot="1" x14ac:dyDescent="0.3">
      <c r="A239" s="14" t="str">
        <f t="shared" si="24"/>
        <v>GENERAL SERVICE 50 to 4,999 kW SERVICE CLASSIFICATION</v>
      </c>
      <c r="B239" s="14" t="s">
        <v>25</v>
      </c>
      <c r="C239" s="61"/>
      <c r="D239" s="109"/>
      <c r="E239" s="110"/>
      <c r="F239" s="142"/>
      <c r="G239" s="143"/>
      <c r="H239" s="144"/>
      <c r="I239" s="142"/>
      <c r="J239" s="112"/>
      <c r="K239" s="144"/>
      <c r="L239" s="145"/>
      <c r="M239" s="116"/>
    </row>
    <row r="240" spans="1:13" ht="13" x14ac:dyDescent="0.25">
      <c r="A240" s="14" t="str">
        <f t="shared" si="24"/>
        <v>GENERAL SERVICE 50 to 4,999 kW SERVICE CLASSIFICATION</v>
      </c>
      <c r="B240" s="14" t="s">
        <v>20</v>
      </c>
      <c r="C240" s="61"/>
      <c r="D240" s="117" t="s">
        <v>92</v>
      </c>
      <c r="E240" s="102"/>
      <c r="F240" s="118"/>
      <c r="G240" s="119"/>
      <c r="H240" s="120">
        <f>SUM(H228,H220:H223,H219)</f>
        <v>12159.0864</v>
      </c>
      <c r="I240" s="121"/>
      <c r="J240" s="121"/>
      <c r="K240" s="120">
        <f>SUM(K228,K220:K223,K219)</f>
        <v>11398.929212792706</v>
      </c>
      <c r="L240" s="122">
        <f>K240-H240</f>
        <v>-760.15718720729456</v>
      </c>
      <c r="M240" s="123">
        <f>IF((H240)=0,"",(L240/H240))</f>
        <v>-6.2517623627322411E-2</v>
      </c>
    </row>
    <row r="241" spans="1:18" x14ac:dyDescent="0.25">
      <c r="A241" s="14" t="str">
        <f t="shared" si="24"/>
        <v>GENERAL SERVICE 50 to 4,999 kW SERVICE CLASSIFICATION</v>
      </c>
      <c r="B241" s="14" t="s">
        <v>20</v>
      </c>
      <c r="C241" s="61"/>
      <c r="D241" s="124" t="s">
        <v>86</v>
      </c>
      <c r="E241" s="102"/>
      <c r="F241" s="118">
        <v>0.13</v>
      </c>
      <c r="G241" s="119"/>
      <c r="H241" s="126">
        <f>H240*F241</f>
        <v>1580.6812320000001</v>
      </c>
      <c r="I241" s="118">
        <v>0.13</v>
      </c>
      <c r="J241" s="127"/>
      <c r="K241" s="126">
        <f>K240*I241</f>
        <v>1481.8607976630517</v>
      </c>
      <c r="L241" s="69">
        <f>K241-H241</f>
        <v>-98.820434336948438</v>
      </c>
      <c r="M241" s="128">
        <f>IF((H241)=0,"",(L241/H241))</f>
        <v>-6.2517623627322494E-2</v>
      </c>
    </row>
    <row r="242" spans="1:18" ht="14.5" x14ac:dyDescent="0.35">
      <c r="A242" s="14" t="str">
        <f t="shared" si="24"/>
        <v>GENERAL SERVICE 50 to 4,999 kW SERVICE CLASSIFICATION</v>
      </c>
      <c r="B242" s="14" t="s">
        <v>20</v>
      </c>
      <c r="C242" s="61"/>
      <c r="D242" s="124" t="s">
        <v>87</v>
      </c>
      <c r="E242"/>
      <c r="F242" s="129">
        <v>0.11700000000000001</v>
      </c>
      <c r="G242" s="119"/>
      <c r="H242" s="126">
        <f>IF(OR(ISNUMBER(SEARCH("[DGEN]", E191))=TRUE, ISNUMBER(SEARCH("STREET LIGHT", E191))=TRUE), 0, IF(AND(E193=0, E194=0),0, IF(AND(E194=0, E193*12&gt;250000), 0, IF(AND(E193=0, E194&gt;=50), 0, IF(E193*12&lt;=250000, F242*H240*-1, IF(E194&lt;50, F242*H240*-1, 0))))))</f>
        <v>0</v>
      </c>
      <c r="I242" s="129">
        <v>0.11700000000000001</v>
      </c>
      <c r="J242" s="127"/>
      <c r="K242" s="126">
        <f>IF(OR(ISNUMBER(SEARCH("[DGEN]", E191))=TRUE, ISNUMBER(SEARCH("STREET LIGHT", E191))=TRUE), 0, IF(AND(E193=0, E194=0),0, IF(AND(E194=0, E193*12&gt;250000), 0, IF(AND(E193=0, E194&gt;=50), 0, IF(E193*12&lt;=250000, I242*K240*-1, IF(E194&lt;50, I242*K240*-1, 0))))))</f>
        <v>0</v>
      </c>
      <c r="L242" s="69"/>
      <c r="M242" s="128"/>
    </row>
    <row r="243" spans="1:18" ht="13.5" thickBot="1" x14ac:dyDescent="0.3">
      <c r="A243" s="14" t="str">
        <f t="shared" si="24"/>
        <v>GENERAL SERVICE 50 to 4,999 kW SERVICE CLASSIFICATION</v>
      </c>
      <c r="B243" s="14" t="s">
        <v>93</v>
      </c>
      <c r="C243" s="61">
        <f>B32</f>
        <v>3</v>
      </c>
      <c r="D243" s="181" t="s">
        <v>92</v>
      </c>
      <c r="E243" s="181"/>
      <c r="F243" s="137"/>
      <c r="G243" s="138"/>
      <c r="H243" s="132">
        <f>SUM(H240,H241)</f>
        <v>13739.767632000001</v>
      </c>
      <c r="I243" s="139"/>
      <c r="J243" s="139"/>
      <c r="K243" s="132">
        <f>SUM(K240,K241)</f>
        <v>12880.790010455758</v>
      </c>
      <c r="L243" s="140">
        <f>K243-H243</f>
        <v>-858.97762154424345</v>
      </c>
      <c r="M243" s="141">
        <f>IF((H243)=0,"",(L243/H243))</f>
        <v>-6.2517623627322452E-2</v>
      </c>
    </row>
    <row r="244" spans="1:18" ht="13" thickBot="1" x14ac:dyDescent="0.3">
      <c r="A244" s="14" t="str">
        <f t="shared" si="24"/>
        <v>GENERAL SERVICE 50 to 4,999 kW SERVICE CLASSIFICATION</v>
      </c>
      <c r="B244" s="14" t="s">
        <v>20</v>
      </c>
      <c r="C244" s="61"/>
      <c r="D244" s="109"/>
      <c r="E244" s="110"/>
      <c r="F244" s="146"/>
      <c r="G244" s="143"/>
      <c r="H244" s="147"/>
      <c r="I244" s="146"/>
      <c r="J244" s="112"/>
      <c r="K244" s="147"/>
      <c r="L244" s="145"/>
      <c r="M244" s="148"/>
    </row>
    <row r="247" spans="1:18" ht="13" x14ac:dyDescent="0.25">
      <c r="C247" s="14"/>
      <c r="D247" s="46" t="s">
        <v>39</v>
      </c>
      <c r="E247" s="176" t="str">
        <f>D33</f>
        <v>UNMETERED SCATTERED LOAD SERVICE CLASSIFICATION</v>
      </c>
      <c r="F247" s="176"/>
      <c r="G247" s="176"/>
      <c r="H247" s="176"/>
      <c r="I247" s="176"/>
      <c r="J247" s="176"/>
      <c r="K247" s="14" t="str">
        <f>IF(N33="DEMAND - INTERVAL","RTSR - INTERVAL METERED","")</f>
        <v/>
      </c>
      <c r="R247" s="14" t="s">
        <v>29</v>
      </c>
    </row>
    <row r="248" spans="1:18" ht="13" x14ac:dyDescent="0.25">
      <c r="C248" s="14"/>
      <c r="D248" s="46" t="s">
        <v>40</v>
      </c>
      <c r="E248" s="177" t="str">
        <f>H33</f>
        <v>RPP</v>
      </c>
      <c r="F248" s="177"/>
      <c r="G248" s="177"/>
      <c r="H248" s="47"/>
      <c r="I248" s="47"/>
    </row>
    <row r="249" spans="1:18" ht="15.5" x14ac:dyDescent="0.3">
      <c r="C249" s="14"/>
      <c r="D249" s="46" t="s">
        <v>41</v>
      </c>
      <c r="E249" s="48">
        <f>K33</f>
        <v>100</v>
      </c>
      <c r="F249" s="49" t="s">
        <v>14</v>
      </c>
      <c r="J249" s="50"/>
      <c r="K249" s="50"/>
      <c r="L249" s="50"/>
      <c r="M249" s="50"/>
    </row>
    <row r="250" spans="1:18" ht="15.5" x14ac:dyDescent="0.35">
      <c r="C250" s="14"/>
      <c r="D250" s="46" t="s">
        <v>42</v>
      </c>
      <c r="E250" s="48">
        <f>L33</f>
        <v>0</v>
      </c>
      <c r="F250" s="51" t="s">
        <v>19</v>
      </c>
      <c r="G250" s="52"/>
      <c r="H250" s="53"/>
      <c r="I250" s="53"/>
      <c r="J250" s="53"/>
    </row>
    <row r="251" spans="1:18" ht="13" x14ac:dyDescent="0.3">
      <c r="C251" s="14"/>
      <c r="D251" s="46" t="s">
        <v>43</v>
      </c>
      <c r="E251" s="54">
        <f>I33</f>
        <v>1.0561</v>
      </c>
    </row>
    <row r="252" spans="1:18" ht="13" x14ac:dyDescent="0.3">
      <c r="C252" s="14"/>
      <c r="D252" s="46" t="s">
        <v>44</v>
      </c>
      <c r="E252" s="54">
        <f>J33</f>
        <v>1.0561</v>
      </c>
    </row>
    <row r="253" spans="1:18" x14ac:dyDescent="0.25">
      <c r="C253" s="14"/>
    </row>
    <row r="254" spans="1:18" ht="13" x14ac:dyDescent="0.3">
      <c r="C254" s="14"/>
      <c r="E254" s="49"/>
      <c r="F254" s="178" t="s">
        <v>45</v>
      </c>
      <c r="G254" s="179"/>
      <c r="H254" s="180"/>
      <c r="I254" s="178" t="s">
        <v>46</v>
      </c>
      <c r="J254" s="179"/>
      <c r="K254" s="180"/>
      <c r="L254" s="178" t="s">
        <v>47</v>
      </c>
      <c r="M254" s="180"/>
    </row>
    <row r="255" spans="1:18" ht="13" x14ac:dyDescent="0.3">
      <c r="C255" s="14"/>
      <c r="E255" s="182"/>
      <c r="F255" s="56" t="s">
        <v>48</v>
      </c>
      <c r="G255" s="56" t="s">
        <v>49</v>
      </c>
      <c r="H255" s="57" t="s">
        <v>50</v>
      </c>
      <c r="I255" s="56" t="s">
        <v>48</v>
      </c>
      <c r="J255" s="58" t="s">
        <v>49</v>
      </c>
      <c r="K255" s="57" t="s">
        <v>50</v>
      </c>
      <c r="L255" s="184" t="s">
        <v>51</v>
      </c>
      <c r="M255" s="186" t="s">
        <v>52</v>
      </c>
    </row>
    <row r="256" spans="1:18" ht="13" x14ac:dyDescent="0.3">
      <c r="C256" s="14"/>
      <c r="E256" s="183"/>
      <c r="F256" s="59" t="s">
        <v>53</v>
      </c>
      <c r="G256" s="59"/>
      <c r="H256" s="60" t="s">
        <v>53</v>
      </c>
      <c r="I256" s="59" t="s">
        <v>53</v>
      </c>
      <c r="J256" s="60"/>
      <c r="K256" s="60" t="s">
        <v>53</v>
      </c>
      <c r="L256" s="185"/>
      <c r="M256" s="187"/>
    </row>
    <row r="257" spans="1:13" ht="13" x14ac:dyDescent="0.25">
      <c r="A257" s="14" t="str">
        <f>$E247</f>
        <v>UNMETERED SCATTERED LOAD SERVICE CLASSIFICATION</v>
      </c>
      <c r="C257" s="61"/>
      <c r="D257" s="55" t="s">
        <v>54</v>
      </c>
      <c r="E257" s="62"/>
      <c r="F257" s="63">
        <v>10.59</v>
      </c>
      <c r="G257" s="64">
        <v>1</v>
      </c>
      <c r="H257" s="65">
        <f>G257*F257</f>
        <v>10.59</v>
      </c>
      <c r="I257" s="66">
        <v>10.59</v>
      </c>
      <c r="J257" s="67">
        <v>1</v>
      </c>
      <c r="K257" s="68">
        <f>J257*I257</f>
        <v>10.59</v>
      </c>
      <c r="L257" s="69">
        <f>K257-H257</f>
        <v>0</v>
      </c>
      <c r="M257" s="70">
        <f>IF(ISERROR(L257/H257), "", L257/H257)</f>
        <v>0</v>
      </c>
    </row>
    <row r="258" spans="1:13" ht="13" x14ac:dyDescent="0.25">
      <c r="A258" s="14" t="str">
        <f t="shared" ref="A258:A300" si="29">A257</f>
        <v>UNMETERED SCATTERED LOAD SERVICE CLASSIFICATION</v>
      </c>
      <c r="C258" s="61"/>
      <c r="D258" s="55" t="s">
        <v>55</v>
      </c>
      <c r="E258" s="62"/>
      <c r="F258" s="71">
        <v>9.4999999999999998E-3</v>
      </c>
      <c r="G258" s="64">
        <f>IF($E250&gt;0, $E250, $E249)</f>
        <v>100</v>
      </c>
      <c r="H258" s="65">
        <f>G258*F258</f>
        <v>0.95</v>
      </c>
      <c r="I258" s="72">
        <v>9.4999999999999998E-3</v>
      </c>
      <c r="J258" s="67">
        <f>IF($E250&gt;0, $E250, $E249)</f>
        <v>100</v>
      </c>
      <c r="K258" s="68">
        <f>J258*I258</f>
        <v>0.95</v>
      </c>
      <c r="L258" s="69">
        <f>K258-H258</f>
        <v>0</v>
      </c>
      <c r="M258" s="70">
        <f>IF(ISERROR(L258/H258), "", L258/H258)</f>
        <v>0</v>
      </c>
    </row>
    <row r="259" spans="1:13" ht="13" x14ac:dyDescent="0.25">
      <c r="A259" s="14" t="str">
        <f t="shared" si="29"/>
        <v>UNMETERED SCATTERED LOAD SERVICE CLASSIFICATION</v>
      </c>
      <c r="C259" s="61"/>
      <c r="D259" s="55" t="s">
        <v>56</v>
      </c>
      <c r="E259" s="62"/>
      <c r="F259" s="71"/>
      <c r="G259" s="64">
        <f>IF($E250&gt;0, $E250, $E249)</f>
        <v>100</v>
      </c>
      <c r="H259" s="65">
        <v>0</v>
      </c>
      <c r="I259" s="72"/>
      <c r="J259" s="67">
        <f>IF($E250&gt;0, $E250, $E249)</f>
        <v>100</v>
      </c>
      <c r="K259" s="68">
        <v>0</v>
      </c>
      <c r="L259" s="69"/>
      <c r="M259" s="70"/>
    </row>
    <row r="260" spans="1:13" ht="13" x14ac:dyDescent="0.25">
      <c r="A260" s="14" t="str">
        <f t="shared" si="29"/>
        <v>UNMETERED SCATTERED LOAD SERVICE CLASSIFICATION</v>
      </c>
      <c r="C260" s="61"/>
      <c r="D260" s="55" t="s">
        <v>57</v>
      </c>
      <c r="E260" s="62"/>
      <c r="F260" s="71"/>
      <c r="G260" s="64">
        <f>IF($E250&gt;0, $E250, $E249)</f>
        <v>100</v>
      </c>
      <c r="H260" s="65">
        <v>0</v>
      </c>
      <c r="I260" s="72"/>
      <c r="J260" s="73">
        <f>IF($E250&gt;0, $E250, $E249)</f>
        <v>100</v>
      </c>
      <c r="K260" s="68">
        <v>0</v>
      </c>
      <c r="L260" s="69">
        <f t="shared" ref="L260:L278" si="30">K260-H260</f>
        <v>0</v>
      </c>
      <c r="M260" s="70" t="str">
        <f>IF(ISERROR(L260/H260), "", L260/H260)</f>
        <v/>
      </c>
    </row>
    <row r="261" spans="1:13" ht="13" x14ac:dyDescent="0.25">
      <c r="A261" s="14" t="str">
        <f t="shared" si="29"/>
        <v>UNMETERED SCATTERED LOAD SERVICE CLASSIFICATION</v>
      </c>
      <c r="C261" s="61"/>
      <c r="D261" s="55" t="s">
        <v>58</v>
      </c>
      <c r="E261" s="62"/>
      <c r="F261" s="63">
        <v>0</v>
      </c>
      <c r="G261" s="64">
        <v>1</v>
      </c>
      <c r="H261" s="65">
        <f>G261*F261</f>
        <v>0</v>
      </c>
      <c r="I261" s="66">
        <v>0</v>
      </c>
      <c r="J261" s="67">
        <v>1</v>
      </c>
      <c r="K261" s="68">
        <f>J261*I261</f>
        <v>0</v>
      </c>
      <c r="L261" s="69">
        <f t="shared" si="30"/>
        <v>0</v>
      </c>
      <c r="M261" s="70" t="str">
        <f>IF(ISERROR(L261/H261), "", L261/H261)</f>
        <v/>
      </c>
    </row>
    <row r="262" spans="1:13" ht="13" x14ac:dyDescent="0.25">
      <c r="A262" s="14" t="str">
        <f t="shared" si="29"/>
        <v>UNMETERED SCATTERED LOAD SERVICE CLASSIFICATION</v>
      </c>
      <c r="C262" s="61"/>
      <c r="D262" s="55" t="s">
        <v>59</v>
      </c>
      <c r="E262" s="62"/>
      <c r="F262" s="71">
        <v>-9.7000000000000003E-3</v>
      </c>
      <c r="G262" s="64">
        <f>IF($E250&gt;0, $E250, $E249)</f>
        <v>100</v>
      </c>
      <c r="H262" s="65">
        <f>G262*F262</f>
        <v>-0.97</v>
      </c>
      <c r="I262" s="72">
        <v>0</v>
      </c>
      <c r="J262" s="67">
        <f>IF($E250&gt;0, $E250, $E249)</f>
        <v>100</v>
      </c>
      <c r="K262" s="68">
        <f>J262*I262</f>
        <v>0</v>
      </c>
      <c r="L262" s="69">
        <f t="shared" si="30"/>
        <v>0.97</v>
      </c>
      <c r="M262" s="70">
        <f>IF(ISERROR(L262/H262), "", IF(H262&lt;0,(K262-(H262))/ABS(H262),L262/H262))</f>
        <v>1</v>
      </c>
    </row>
    <row r="263" spans="1:13" ht="13" x14ac:dyDescent="0.25">
      <c r="A263" s="14" t="str">
        <f t="shared" si="29"/>
        <v>UNMETERED SCATTERED LOAD SERVICE CLASSIFICATION</v>
      </c>
      <c r="B263" s="14" t="s">
        <v>60</v>
      </c>
      <c r="C263" s="61">
        <f>B33</f>
        <v>4</v>
      </c>
      <c r="D263" s="74" t="s">
        <v>61</v>
      </c>
      <c r="E263" s="75"/>
      <c r="F263" s="76"/>
      <c r="G263" s="77"/>
      <c r="H263" s="78">
        <f>SUM(H257:H262)</f>
        <v>10.569999999999999</v>
      </c>
      <c r="I263" s="79"/>
      <c r="J263" s="80"/>
      <c r="K263" s="78">
        <f>SUM(K257:K262)</f>
        <v>11.54</v>
      </c>
      <c r="L263" s="81">
        <f t="shared" si="30"/>
        <v>0.97000000000000064</v>
      </c>
      <c r="M263" s="82">
        <f>IF((H263)=0,"",(L263/H263))</f>
        <v>9.1769157994323627E-2</v>
      </c>
    </row>
    <row r="264" spans="1:13" ht="13" x14ac:dyDescent="0.25">
      <c r="A264" s="14" t="str">
        <f t="shared" si="29"/>
        <v>UNMETERED SCATTERED LOAD SERVICE CLASSIFICATION</v>
      </c>
      <c r="C264" s="61"/>
      <c r="D264" s="83" t="s">
        <v>62</v>
      </c>
      <c r="E264" s="62"/>
      <c r="F264" s="71">
        <v>9.3670000000000003E-2</v>
      </c>
      <c r="G264" s="84">
        <f>IF(F264=0, 0, $E249*E251-E249)</f>
        <v>5.6099999999999994</v>
      </c>
      <c r="H264" s="65">
        <f t="shared" ref="H264:H271" si="31">G264*F264</f>
        <v>0.52548869999999992</v>
      </c>
      <c r="I264" s="72">
        <v>9.3670000000000003E-2</v>
      </c>
      <c r="J264" s="85">
        <f>IF(I264=0, 0, E249*E252-E249)</f>
        <v>5.6099999999999994</v>
      </c>
      <c r="K264" s="68">
        <f t="shared" ref="K264:K271" si="32">J264*I264</f>
        <v>0.52548869999999992</v>
      </c>
      <c r="L264" s="69">
        <f t="shared" si="30"/>
        <v>0</v>
      </c>
      <c r="M264" s="70">
        <f t="shared" ref="M264:M271" si="33">IF(ISERROR(L264/H264), "", L264/H264)</f>
        <v>0</v>
      </c>
    </row>
    <row r="265" spans="1:13" ht="25" x14ac:dyDescent="0.25">
      <c r="A265" s="14" t="str">
        <f t="shared" si="29"/>
        <v>UNMETERED SCATTERED LOAD SERVICE CLASSIFICATION</v>
      </c>
      <c r="C265" s="61"/>
      <c r="D265" s="83" t="s">
        <v>63</v>
      </c>
      <c r="E265" s="62"/>
      <c r="F265" s="71">
        <v>5.7999999999999996E-3</v>
      </c>
      <c r="G265" s="86">
        <f>IF($E250&gt;0, $E250, $E249)</f>
        <v>100</v>
      </c>
      <c r="H265" s="65">
        <f t="shared" si="31"/>
        <v>0.57999999999999996</v>
      </c>
      <c r="I265" s="72">
        <v>3.0999999999999999E-3</v>
      </c>
      <c r="J265" s="87">
        <f>IF($E250&gt;0, $E250, $E249)</f>
        <v>100</v>
      </c>
      <c r="K265" s="68">
        <f t="shared" si="32"/>
        <v>0.31</v>
      </c>
      <c r="L265" s="69">
        <f t="shared" si="30"/>
        <v>-0.26999999999999996</v>
      </c>
      <c r="M265" s="70">
        <f t="shared" si="33"/>
        <v>-0.46551724137931033</v>
      </c>
    </row>
    <row r="266" spans="1:13" ht="13" x14ac:dyDescent="0.25">
      <c r="A266" s="14" t="str">
        <f t="shared" si="29"/>
        <v>UNMETERED SCATTERED LOAD SERVICE CLASSIFICATION</v>
      </c>
      <c r="C266" s="61"/>
      <c r="D266" s="83" t="s">
        <v>64</v>
      </c>
      <c r="E266" s="62"/>
      <c r="F266" s="71">
        <v>-2.0000000000000001E-4</v>
      </c>
      <c r="G266" s="86">
        <f>IF($E250&gt;0, $E250, $E249)</f>
        <v>100</v>
      </c>
      <c r="H266" s="65">
        <f t="shared" si="31"/>
        <v>-0.02</v>
      </c>
      <c r="I266" s="72">
        <v>-4.0000000000000002E-4</v>
      </c>
      <c r="J266" s="87">
        <f>IF($E250&gt;0, $E250, $E249)</f>
        <v>100</v>
      </c>
      <c r="K266" s="68">
        <f t="shared" si="32"/>
        <v>-0.04</v>
      </c>
      <c r="L266" s="69">
        <f t="shared" si="30"/>
        <v>-0.02</v>
      </c>
      <c r="M266" s="70">
        <f>IF(ISERROR(L266/H266), "", IF(H266&lt;0,(K266-(H266))/ABS(H266),L266/H266))</f>
        <v>-1</v>
      </c>
    </row>
    <row r="267" spans="1:13" ht="13" x14ac:dyDescent="0.25">
      <c r="A267" s="14" t="str">
        <f t="shared" si="29"/>
        <v>UNMETERED SCATTERED LOAD SERVICE CLASSIFICATION</v>
      </c>
      <c r="C267" s="61"/>
      <c r="D267" s="83" t="s">
        <v>65</v>
      </c>
      <c r="E267" s="62"/>
      <c r="F267" s="71">
        <v>0</v>
      </c>
      <c r="G267" s="86">
        <f>E249</f>
        <v>100</v>
      </c>
      <c r="H267" s="65">
        <f t="shared" si="31"/>
        <v>0</v>
      </c>
      <c r="I267" s="72">
        <v>0</v>
      </c>
      <c r="J267" s="87">
        <f>E249</f>
        <v>100</v>
      </c>
      <c r="K267" s="68">
        <f t="shared" si="32"/>
        <v>0</v>
      </c>
      <c r="L267" s="69">
        <f t="shared" si="30"/>
        <v>0</v>
      </c>
      <c r="M267" s="70" t="str">
        <f t="shared" si="33"/>
        <v/>
      </c>
    </row>
    <row r="268" spans="1:13" ht="13" x14ac:dyDescent="0.25">
      <c r="A268" s="14" t="str">
        <f t="shared" si="29"/>
        <v>UNMETERED SCATTERED LOAD SERVICE CLASSIFICATION</v>
      </c>
      <c r="C268" s="61"/>
      <c r="D268" s="55" t="s">
        <v>66</v>
      </c>
      <c r="E268" s="62"/>
      <c r="F268" s="71">
        <v>5.9999999999999995E-4</v>
      </c>
      <c r="G268" s="86">
        <f>IF($E250&gt;0, $E250, $E249)</f>
        <v>100</v>
      </c>
      <c r="H268" s="65">
        <f t="shared" si="31"/>
        <v>0.06</v>
      </c>
      <c r="I268" s="72">
        <v>1.0355423162672049E-3</v>
      </c>
      <c r="J268" s="87">
        <f>IF($E250&gt;0, $E250, $E249)</f>
        <v>100</v>
      </c>
      <c r="K268" s="68">
        <f t="shared" si="32"/>
        <v>0.10355423162672049</v>
      </c>
      <c r="L268" s="69">
        <f t="shared" si="30"/>
        <v>4.3554231626720494E-2</v>
      </c>
      <c r="M268" s="70">
        <f>IF(ISERROR(L268/H268), "", IF(H268&lt;0,(K268-(H268))/ABS(H268),L268/H268))</f>
        <v>0.72590386044534161</v>
      </c>
    </row>
    <row r="269" spans="1:13" ht="13" x14ac:dyDescent="0.25">
      <c r="A269" s="14" t="str">
        <f t="shared" si="29"/>
        <v>UNMETERED SCATTERED LOAD SERVICE CLASSIFICATION</v>
      </c>
      <c r="C269" s="61"/>
      <c r="D269" s="83" t="s">
        <v>67</v>
      </c>
      <c r="E269" s="62"/>
      <c r="F269" s="88">
        <v>0</v>
      </c>
      <c r="G269" s="64">
        <v>1</v>
      </c>
      <c r="H269" s="65">
        <f t="shared" si="31"/>
        <v>0</v>
      </c>
      <c r="I269" s="89">
        <v>0</v>
      </c>
      <c r="J269" s="73">
        <v>1</v>
      </c>
      <c r="K269" s="68">
        <f t="shared" si="32"/>
        <v>0</v>
      </c>
      <c r="L269" s="69">
        <f t="shared" si="30"/>
        <v>0</v>
      </c>
      <c r="M269" s="70" t="str">
        <f t="shared" si="33"/>
        <v/>
      </c>
    </row>
    <row r="270" spans="1:13" ht="13" x14ac:dyDescent="0.25">
      <c r="A270" s="14" t="str">
        <f t="shared" si="29"/>
        <v>UNMETERED SCATTERED LOAD SERVICE CLASSIFICATION</v>
      </c>
      <c r="C270" s="61"/>
      <c r="D270" s="55" t="s">
        <v>68</v>
      </c>
      <c r="E270" s="62"/>
      <c r="F270" s="63">
        <v>0</v>
      </c>
      <c r="G270" s="64">
        <v>1</v>
      </c>
      <c r="H270" s="65">
        <f t="shared" si="31"/>
        <v>0</v>
      </c>
      <c r="I270" s="66">
        <v>0</v>
      </c>
      <c r="J270" s="73">
        <v>1</v>
      </c>
      <c r="K270" s="68">
        <f t="shared" si="32"/>
        <v>0</v>
      </c>
      <c r="L270" s="69">
        <f t="shared" si="30"/>
        <v>0</v>
      </c>
      <c r="M270" s="70" t="str">
        <f t="shared" si="33"/>
        <v/>
      </c>
    </row>
    <row r="271" spans="1:13" ht="13" x14ac:dyDescent="0.25">
      <c r="A271" s="14" t="str">
        <f t="shared" si="29"/>
        <v>UNMETERED SCATTERED LOAD SERVICE CLASSIFICATION</v>
      </c>
      <c r="C271" s="61"/>
      <c r="D271" s="55" t="s">
        <v>69</v>
      </c>
      <c r="E271" s="62"/>
      <c r="F271" s="71">
        <v>0</v>
      </c>
      <c r="G271" s="86">
        <f>IF($E250&gt;0, $E250, $E249)</f>
        <v>100</v>
      </c>
      <c r="H271" s="65">
        <f t="shared" si="31"/>
        <v>0</v>
      </c>
      <c r="I271" s="72">
        <v>0</v>
      </c>
      <c r="J271" s="87">
        <f>IF($E250&gt;0, $E250, $E249)</f>
        <v>100</v>
      </c>
      <c r="K271" s="68">
        <f t="shared" si="32"/>
        <v>0</v>
      </c>
      <c r="L271" s="69">
        <f t="shared" si="30"/>
        <v>0</v>
      </c>
      <c r="M271" s="70" t="str">
        <f t="shared" si="33"/>
        <v/>
      </c>
    </row>
    <row r="272" spans="1:13" ht="26" x14ac:dyDescent="0.25">
      <c r="A272" s="14" t="str">
        <f t="shared" si="29"/>
        <v>UNMETERED SCATTERED LOAD SERVICE CLASSIFICATION</v>
      </c>
      <c r="B272" s="14" t="s">
        <v>70</v>
      </c>
      <c r="C272" s="61">
        <f>B33</f>
        <v>4</v>
      </c>
      <c r="D272" s="90" t="s">
        <v>71</v>
      </c>
      <c r="E272" s="91"/>
      <c r="F272" s="92"/>
      <c r="G272" s="93"/>
      <c r="H272" s="94">
        <f>SUM(H263:H271)</f>
        <v>11.7154887</v>
      </c>
      <c r="I272" s="95"/>
      <c r="J272" s="96"/>
      <c r="K272" s="94">
        <f>SUM(K263:K271)</f>
        <v>12.439042931626721</v>
      </c>
      <c r="L272" s="81">
        <f t="shared" si="30"/>
        <v>0.72355423162672139</v>
      </c>
      <c r="M272" s="82">
        <f>IF((H272)=0,"",(L272/H272))</f>
        <v>6.1760482226125263E-2</v>
      </c>
    </row>
    <row r="273" spans="1:13" ht="13" x14ac:dyDescent="0.25">
      <c r="A273" s="14" t="str">
        <f t="shared" si="29"/>
        <v>UNMETERED SCATTERED LOAD SERVICE CLASSIFICATION</v>
      </c>
      <c r="C273" s="61"/>
      <c r="D273" s="97" t="s">
        <v>72</v>
      </c>
      <c r="E273" s="62"/>
      <c r="F273" s="71">
        <v>7.7000000000000002E-3</v>
      </c>
      <c r="G273" s="84">
        <f>IF($E250&gt;0, $E250, $E249*$E251)</f>
        <v>105.61</v>
      </c>
      <c r="H273" s="65">
        <f>G273*F273</f>
        <v>0.81319700000000006</v>
      </c>
      <c r="I273" s="98">
        <v>7.7000000000000002E-3</v>
      </c>
      <c r="J273" s="85">
        <f>IF($E250&gt;0, $E250, $E249*$E252)</f>
        <v>105.61</v>
      </c>
      <c r="K273" s="68">
        <f>J273*I273</f>
        <v>0.81319700000000006</v>
      </c>
      <c r="L273" s="69">
        <f t="shared" si="30"/>
        <v>0</v>
      </c>
      <c r="M273" s="70">
        <f>IF(ISERROR(L273/H273), "", L273/H273)</f>
        <v>0</v>
      </c>
    </row>
    <row r="274" spans="1:13" ht="25" x14ac:dyDescent="0.25">
      <c r="A274" s="14" t="str">
        <f t="shared" si="29"/>
        <v>UNMETERED SCATTERED LOAD SERVICE CLASSIFICATION</v>
      </c>
      <c r="C274" s="61"/>
      <c r="D274" s="99" t="s">
        <v>73</v>
      </c>
      <c r="E274" s="62"/>
      <c r="F274" s="71">
        <v>6.4999999999999997E-3</v>
      </c>
      <c r="G274" s="84">
        <f>IF($E250&gt;0, $E250, $E249*$E251)</f>
        <v>105.61</v>
      </c>
      <c r="H274" s="65">
        <f>G274*F274</f>
        <v>0.68646499999999999</v>
      </c>
      <c r="I274" s="98">
        <v>6.4999999999999997E-3</v>
      </c>
      <c r="J274" s="85">
        <f>IF($E250&gt;0, $E250, $E249*$E252)</f>
        <v>105.61</v>
      </c>
      <c r="K274" s="68">
        <f>J274*I274</f>
        <v>0.68646499999999999</v>
      </c>
      <c r="L274" s="69">
        <f t="shared" si="30"/>
        <v>0</v>
      </c>
      <c r="M274" s="70">
        <f>IF(ISERROR(L274/H274), "", L274/H274)</f>
        <v>0</v>
      </c>
    </row>
    <row r="275" spans="1:13" ht="26" x14ac:dyDescent="0.25">
      <c r="A275" s="14" t="str">
        <f t="shared" si="29"/>
        <v>UNMETERED SCATTERED LOAD SERVICE CLASSIFICATION</v>
      </c>
      <c r="B275" s="14" t="s">
        <v>74</v>
      </c>
      <c r="C275" s="61">
        <f>B33</f>
        <v>4</v>
      </c>
      <c r="D275" s="90" t="s">
        <v>75</v>
      </c>
      <c r="E275" s="75"/>
      <c r="F275" s="92"/>
      <c r="G275" s="93"/>
      <c r="H275" s="94">
        <f>SUM(H272:H274)</f>
        <v>13.215150700000001</v>
      </c>
      <c r="I275" s="95"/>
      <c r="J275" s="80"/>
      <c r="K275" s="94">
        <f>SUM(K272:K274)</f>
        <v>13.938704931626722</v>
      </c>
      <c r="L275" s="81">
        <f t="shared" si="30"/>
        <v>0.72355423162672139</v>
      </c>
      <c r="M275" s="82">
        <f>IF((H275)=0,"",(L275/H275))</f>
        <v>5.4751871397631609E-2</v>
      </c>
    </row>
    <row r="276" spans="1:13" ht="25" x14ac:dyDescent="0.25">
      <c r="A276" s="14" t="str">
        <f t="shared" si="29"/>
        <v>UNMETERED SCATTERED LOAD SERVICE CLASSIFICATION</v>
      </c>
      <c r="C276" s="61"/>
      <c r="D276" s="100" t="s">
        <v>76</v>
      </c>
      <c r="E276" s="62"/>
      <c r="F276" s="71">
        <v>4.5000000000000005E-3</v>
      </c>
      <c r="G276" s="84">
        <f>E249*E251</f>
        <v>105.61</v>
      </c>
      <c r="H276" s="101">
        <f>G276*F276</f>
        <v>0.47524500000000003</v>
      </c>
      <c r="I276" s="72">
        <v>4.5000000000000005E-3</v>
      </c>
      <c r="J276" s="85">
        <f>E249*E252</f>
        <v>105.61</v>
      </c>
      <c r="K276" s="68">
        <f>J276*I276</f>
        <v>0.47524500000000003</v>
      </c>
      <c r="L276" s="69">
        <f t="shared" si="30"/>
        <v>0</v>
      </c>
      <c r="M276" s="70">
        <f>IF(ISERROR(L276/H276), "", L276/H276)</f>
        <v>0</v>
      </c>
    </row>
    <row r="277" spans="1:13" ht="25" x14ac:dyDescent="0.25">
      <c r="A277" s="14" t="str">
        <f t="shared" si="29"/>
        <v>UNMETERED SCATTERED LOAD SERVICE CLASSIFICATION</v>
      </c>
      <c r="C277" s="61"/>
      <c r="D277" s="100" t="s">
        <v>77</v>
      </c>
      <c r="E277" s="62"/>
      <c r="F277" s="71">
        <v>6.9999999999999999E-4</v>
      </c>
      <c r="G277" s="84">
        <f>E249*E251</f>
        <v>105.61</v>
      </c>
      <c r="H277" s="101">
        <f>G277*F277</f>
        <v>7.3926999999999993E-2</v>
      </c>
      <c r="I277" s="72">
        <v>6.9999999999999999E-4</v>
      </c>
      <c r="J277" s="85">
        <f>E249*E252</f>
        <v>105.61</v>
      </c>
      <c r="K277" s="68">
        <f>J277*I277</f>
        <v>7.3926999999999993E-2</v>
      </c>
      <c r="L277" s="69">
        <f t="shared" si="30"/>
        <v>0</v>
      </c>
      <c r="M277" s="70">
        <f>IF(ISERROR(L277/H277), "", L277/H277)</f>
        <v>0</v>
      </c>
    </row>
    <row r="278" spans="1:13" ht="13" x14ac:dyDescent="0.25">
      <c r="A278" s="14" t="str">
        <f t="shared" si="29"/>
        <v>UNMETERED SCATTERED LOAD SERVICE CLASSIFICATION</v>
      </c>
      <c r="C278" s="61"/>
      <c r="D278" s="102" t="s">
        <v>78</v>
      </c>
      <c r="E278" s="62"/>
      <c r="F278" s="88">
        <v>0.25</v>
      </c>
      <c r="G278" s="64">
        <v>1</v>
      </c>
      <c r="H278" s="101">
        <f>G278*F278</f>
        <v>0.25</v>
      </c>
      <c r="I278" s="89">
        <v>0.25</v>
      </c>
      <c r="J278" s="67">
        <v>1</v>
      </c>
      <c r="K278" s="68">
        <f>J278*I278</f>
        <v>0.25</v>
      </c>
      <c r="L278" s="69">
        <f t="shared" si="30"/>
        <v>0</v>
      </c>
      <c r="M278" s="70">
        <f>IF(ISERROR(L278/H278), "", L278/H278)</f>
        <v>0</v>
      </c>
    </row>
    <row r="279" spans="1:13" ht="25" x14ac:dyDescent="0.25">
      <c r="A279" s="14" t="str">
        <f t="shared" si="29"/>
        <v>UNMETERED SCATTERED LOAD SERVICE CLASSIFICATION</v>
      </c>
      <c r="C279" s="61"/>
      <c r="D279" s="100" t="s">
        <v>79</v>
      </c>
      <c r="E279" s="62"/>
      <c r="F279" s="71"/>
      <c r="G279" s="84"/>
      <c r="H279" s="101"/>
      <c r="I279" s="72"/>
      <c r="J279" s="85"/>
      <c r="K279" s="68"/>
      <c r="L279" s="69"/>
      <c r="M279" s="70"/>
    </row>
    <row r="280" spans="1:13" ht="13" x14ac:dyDescent="0.25">
      <c r="A280" s="14" t="str">
        <f t="shared" si="29"/>
        <v>UNMETERED SCATTERED LOAD SERVICE CLASSIFICATION</v>
      </c>
      <c r="B280" s="14" t="s">
        <v>15</v>
      </c>
      <c r="C280" s="61"/>
      <c r="D280" s="102" t="s">
        <v>80</v>
      </c>
      <c r="E280" s="62"/>
      <c r="F280" s="103">
        <v>7.3999999999999996E-2</v>
      </c>
      <c r="G280" s="104">
        <v>63</v>
      </c>
      <c r="H280" s="101">
        <f>G280*F280</f>
        <v>4.6619999999999999</v>
      </c>
      <c r="I280" s="105">
        <v>7.3999999999999996E-2</v>
      </c>
      <c r="J280" s="106">
        <v>63</v>
      </c>
      <c r="K280" s="68">
        <f>J280*I280</f>
        <v>4.6619999999999999</v>
      </c>
      <c r="L280" s="69">
        <f>K280-H280</f>
        <v>0</v>
      </c>
      <c r="M280" s="70">
        <f>IF(ISERROR(L280/H280), "", L280/H280)</f>
        <v>0</v>
      </c>
    </row>
    <row r="281" spans="1:13" ht="13" x14ac:dyDescent="0.25">
      <c r="A281" s="14" t="str">
        <f t="shared" si="29"/>
        <v>UNMETERED SCATTERED LOAD SERVICE CLASSIFICATION</v>
      </c>
      <c r="B281" s="14" t="s">
        <v>15</v>
      </c>
      <c r="C281" s="61"/>
      <c r="D281" s="102" t="s">
        <v>81</v>
      </c>
      <c r="E281" s="62"/>
      <c r="F281" s="103">
        <v>0.10199999999999999</v>
      </c>
      <c r="G281" s="104">
        <v>18</v>
      </c>
      <c r="H281" s="101">
        <f>G281*F281</f>
        <v>1.8359999999999999</v>
      </c>
      <c r="I281" s="105">
        <v>0.10199999999999999</v>
      </c>
      <c r="J281" s="106">
        <v>18</v>
      </c>
      <c r="K281" s="68">
        <f>J281*I281</f>
        <v>1.8359999999999999</v>
      </c>
      <c r="L281" s="69">
        <f>K281-H281</f>
        <v>0</v>
      </c>
      <c r="M281" s="70">
        <f>IF(ISERROR(L281/H281), "", L281/H281)</f>
        <v>0</v>
      </c>
    </row>
    <row r="282" spans="1:13" ht="13" x14ac:dyDescent="0.25">
      <c r="A282" s="14" t="str">
        <f t="shared" si="29"/>
        <v>UNMETERED SCATTERED LOAD SERVICE CLASSIFICATION</v>
      </c>
      <c r="B282" s="14" t="s">
        <v>15</v>
      </c>
      <c r="C282" s="61"/>
      <c r="D282" s="14" t="s">
        <v>82</v>
      </c>
      <c r="E282" s="62"/>
      <c r="F282" s="103">
        <v>0.151</v>
      </c>
      <c r="G282" s="104">
        <v>19</v>
      </c>
      <c r="H282" s="101">
        <f>G282*F282</f>
        <v>2.8689999999999998</v>
      </c>
      <c r="I282" s="105">
        <v>0.151</v>
      </c>
      <c r="J282" s="106">
        <v>19</v>
      </c>
      <c r="K282" s="68">
        <f>J282*I282</f>
        <v>2.8689999999999998</v>
      </c>
      <c r="L282" s="69">
        <f>K282-H282</f>
        <v>0</v>
      </c>
      <c r="M282" s="70">
        <f>IF(ISERROR(L282/H282), "", L282/H282)</f>
        <v>0</v>
      </c>
    </row>
    <row r="283" spans="1:13" ht="13" x14ac:dyDescent="0.25">
      <c r="A283" s="14" t="str">
        <f t="shared" si="29"/>
        <v>UNMETERED SCATTERED LOAD SERVICE CLASSIFICATION</v>
      </c>
      <c r="B283" s="14" t="s">
        <v>25</v>
      </c>
      <c r="C283" s="61"/>
      <c r="D283" s="102" t="s">
        <v>83</v>
      </c>
      <c r="E283" s="62"/>
      <c r="F283" s="107">
        <v>0.1076</v>
      </c>
      <c r="G283" s="104">
        <f>IF(AND(E249*12&gt;=150000),E249*E251,E249)</f>
        <v>100</v>
      </c>
      <c r="H283" s="101">
        <f>G283*F283</f>
        <v>10.76</v>
      </c>
      <c r="I283" s="108">
        <f>F283</f>
        <v>0.1076</v>
      </c>
      <c r="J283" s="106">
        <f>IF(AND(E249*12&gt;=150000),E249*E252,E249)</f>
        <v>100</v>
      </c>
      <c r="K283" s="68">
        <f>J283*I283</f>
        <v>10.76</v>
      </c>
      <c r="L283" s="69">
        <f>K283-H283</f>
        <v>0</v>
      </c>
      <c r="M283" s="70">
        <f>IF(ISERROR(L283/H283), "", L283/H283)</f>
        <v>0</v>
      </c>
    </row>
    <row r="284" spans="1:13" ht="13.5" thickBot="1" x14ac:dyDescent="0.3">
      <c r="A284" s="14" t="str">
        <f t="shared" si="29"/>
        <v>UNMETERED SCATTERED LOAD SERVICE CLASSIFICATION</v>
      </c>
      <c r="B284" s="14" t="s">
        <v>20</v>
      </c>
      <c r="C284" s="61"/>
      <c r="D284" s="102" t="s">
        <v>84</v>
      </c>
      <c r="E284" s="62"/>
      <c r="F284" s="107">
        <v>0.1076</v>
      </c>
      <c r="G284" s="104">
        <f>IF(AND(E249*12&gt;=150000),E249*E251,E249)</f>
        <v>100</v>
      </c>
      <c r="H284" s="101">
        <f>G284*F284</f>
        <v>10.76</v>
      </c>
      <c r="I284" s="108">
        <f>F284</f>
        <v>0.1076</v>
      </c>
      <c r="J284" s="106">
        <f>IF(AND(E249*12&gt;=150000),E249*E252,E249)</f>
        <v>100</v>
      </c>
      <c r="K284" s="68">
        <f>J284*I284</f>
        <v>10.76</v>
      </c>
      <c r="L284" s="69">
        <f>K284-H284</f>
        <v>0</v>
      </c>
      <c r="M284" s="70">
        <f>IF(ISERROR(L284/H284), "", L284/H284)</f>
        <v>0</v>
      </c>
    </row>
    <row r="285" spans="1:13" ht="13" thickBot="1" x14ac:dyDescent="0.3">
      <c r="A285" s="14" t="str">
        <f t="shared" si="29"/>
        <v>UNMETERED SCATTERED LOAD SERVICE CLASSIFICATION</v>
      </c>
      <c r="C285" s="61"/>
      <c r="D285" s="109"/>
      <c r="E285" s="110"/>
      <c r="F285" s="111"/>
      <c r="G285" s="112"/>
      <c r="H285" s="113"/>
      <c r="I285" s="111"/>
      <c r="J285" s="114"/>
      <c r="K285" s="113"/>
      <c r="L285" s="115"/>
      <c r="M285" s="116"/>
    </row>
    <row r="286" spans="1:13" ht="13" x14ac:dyDescent="0.25">
      <c r="A286" s="14" t="str">
        <f t="shared" si="29"/>
        <v>UNMETERED SCATTERED LOAD SERVICE CLASSIFICATION</v>
      </c>
      <c r="B286" s="14" t="s">
        <v>15</v>
      </c>
      <c r="C286" s="61"/>
      <c r="D286" s="117" t="s">
        <v>85</v>
      </c>
      <c r="E286" s="102"/>
      <c r="F286" s="118"/>
      <c r="G286" s="119"/>
      <c r="H286" s="120">
        <f>SUM(H276:H282,H275)</f>
        <v>23.381322699999998</v>
      </c>
      <c r="I286" s="121"/>
      <c r="J286" s="121"/>
      <c r="K286" s="120">
        <f>SUM(K276:K282,K275)</f>
        <v>24.10487693162672</v>
      </c>
      <c r="L286" s="122">
        <f>K286-H286</f>
        <v>0.72355423162672139</v>
      </c>
      <c r="M286" s="123">
        <f>IF((H286)=0,"",(L286/H286))</f>
        <v>3.0945821197135327E-2</v>
      </c>
    </row>
    <row r="287" spans="1:13" x14ac:dyDescent="0.25">
      <c r="A287" s="14" t="str">
        <f t="shared" si="29"/>
        <v>UNMETERED SCATTERED LOAD SERVICE CLASSIFICATION</v>
      </c>
      <c r="B287" s="14" t="s">
        <v>15</v>
      </c>
      <c r="C287" s="61"/>
      <c r="D287" s="124" t="s">
        <v>86</v>
      </c>
      <c r="E287" s="102"/>
      <c r="F287" s="118">
        <v>0.13</v>
      </c>
      <c r="G287" s="125"/>
      <c r="H287" s="126">
        <f>H286*F287</f>
        <v>3.0395719510000001</v>
      </c>
      <c r="I287" s="127">
        <v>0.13</v>
      </c>
      <c r="J287" s="64"/>
      <c r="K287" s="126">
        <f>K286*I287</f>
        <v>3.1336340011114738</v>
      </c>
      <c r="L287" s="69">
        <f>K287-H287</f>
        <v>9.4062050111473727E-2</v>
      </c>
      <c r="M287" s="128">
        <f>IF((H287)=0,"",(L287/H287))</f>
        <v>3.0945821197135306E-2</v>
      </c>
    </row>
    <row r="288" spans="1:13" ht="14.5" x14ac:dyDescent="0.35">
      <c r="A288" s="14" t="str">
        <f t="shared" si="29"/>
        <v>UNMETERED SCATTERED LOAD SERVICE CLASSIFICATION</v>
      </c>
      <c r="B288" s="14" t="s">
        <v>15</v>
      </c>
      <c r="C288" s="61"/>
      <c r="D288" s="124" t="s">
        <v>87</v>
      </c>
      <c r="E288"/>
      <c r="F288" s="129">
        <v>0.11700000000000001</v>
      </c>
      <c r="G288" s="125"/>
      <c r="H288" s="126">
        <f>IF(OR(ISNUMBER(SEARCH("[DGEN]", E247))=TRUE, ISNUMBER(SEARCH("STREET LIGHT", E247))=TRUE), 0, IF(AND(E249=0, E250=0),0, IF(AND(E250=0, E249*12&gt;250000), 0, IF(AND(E249=0, E250&gt;=50), 0, IF(E249*12&lt;=250000, F288*H286*-1, IF(E250&lt;50, F288*H286*-1, 0))))))</f>
        <v>-2.7356147558999999</v>
      </c>
      <c r="I288" s="129">
        <v>0.11700000000000001</v>
      </c>
      <c r="J288" s="64"/>
      <c r="K288" s="126">
        <f>IF(OR(ISNUMBER(SEARCH("[DGEN]", E247))=TRUE, ISNUMBER(SEARCH("STREET LIGHT", E247))=TRUE), 0, IF(AND(E249=0, E250=0),0, IF(AND(E250=0, E249*12&gt;250000), 0, IF(AND(E249=0, E250&gt;=50), 0, IF(E249*12&lt;=250000, I288*K286*-1, IF(E250&lt;50, I288*K286*-1, 0))))))</f>
        <v>-2.8202706010003262</v>
      </c>
      <c r="L288" s="69">
        <f>K288-H288</f>
        <v>-8.465584510032631E-2</v>
      </c>
      <c r="M288" s="128"/>
    </row>
    <row r="289" spans="1:18" ht="13.5" thickBot="1" x14ac:dyDescent="0.3">
      <c r="A289" s="14" t="str">
        <f t="shared" si="29"/>
        <v>UNMETERED SCATTERED LOAD SERVICE CLASSIFICATION</v>
      </c>
      <c r="B289" s="14" t="s">
        <v>88</v>
      </c>
      <c r="C289" s="61">
        <f>B33</f>
        <v>4</v>
      </c>
      <c r="D289" s="181" t="s">
        <v>89</v>
      </c>
      <c r="E289" s="181"/>
      <c r="F289" s="130"/>
      <c r="G289" s="131"/>
      <c r="H289" s="132">
        <f>H286+H287+H288</f>
        <v>23.685279895099999</v>
      </c>
      <c r="I289" s="133"/>
      <c r="J289" s="133"/>
      <c r="K289" s="134">
        <f>K286+K287+K288</f>
        <v>24.418240331737866</v>
      </c>
      <c r="L289" s="135">
        <f>K289-H289</f>
        <v>0.73296043663786747</v>
      </c>
      <c r="M289" s="136">
        <f>IF((H289)=0,"",(L289/H289))</f>
        <v>3.0945821197135272E-2</v>
      </c>
    </row>
    <row r="290" spans="1:18" ht="13" thickBot="1" x14ac:dyDescent="0.3">
      <c r="A290" s="14" t="str">
        <f t="shared" si="29"/>
        <v>UNMETERED SCATTERED LOAD SERVICE CLASSIFICATION</v>
      </c>
      <c r="B290" s="14" t="s">
        <v>15</v>
      </c>
      <c r="C290" s="61"/>
      <c r="D290" s="109"/>
      <c r="E290" s="110"/>
      <c r="F290" s="111"/>
      <c r="G290" s="112"/>
      <c r="H290" s="113"/>
      <c r="I290" s="111"/>
      <c r="J290" s="114"/>
      <c r="K290" s="113"/>
      <c r="L290" s="115"/>
      <c r="M290" s="116"/>
    </row>
    <row r="291" spans="1:18" ht="13" x14ac:dyDescent="0.25">
      <c r="A291" s="14" t="str">
        <f t="shared" si="29"/>
        <v>UNMETERED SCATTERED LOAD SERVICE CLASSIFICATION</v>
      </c>
      <c r="B291" s="14" t="s">
        <v>25</v>
      </c>
      <c r="C291" s="61"/>
      <c r="D291" s="117" t="s">
        <v>90</v>
      </c>
      <c r="E291" s="102"/>
      <c r="F291" s="118"/>
      <c r="G291" s="119"/>
      <c r="H291" s="120">
        <f>SUM(H283,H276:H279,H275)</f>
        <v>24.774322699999999</v>
      </c>
      <c r="I291" s="121"/>
      <c r="J291" s="121"/>
      <c r="K291" s="120">
        <f>SUM(K283,K276:K279,K275)</f>
        <v>25.49787693162672</v>
      </c>
      <c r="L291" s="122">
        <f>K291-H291</f>
        <v>0.72355423162672139</v>
      </c>
      <c r="M291" s="123">
        <f>IF((H291)=0,"",(L291/H291))</f>
        <v>2.9205812824369216E-2</v>
      </c>
    </row>
    <row r="292" spans="1:18" x14ac:dyDescent="0.25">
      <c r="A292" s="14" t="str">
        <f t="shared" si="29"/>
        <v>UNMETERED SCATTERED LOAD SERVICE CLASSIFICATION</v>
      </c>
      <c r="B292" s="14" t="s">
        <v>25</v>
      </c>
      <c r="C292" s="61"/>
      <c r="D292" s="124" t="s">
        <v>86</v>
      </c>
      <c r="E292" s="102"/>
      <c r="F292" s="118">
        <v>0.13</v>
      </c>
      <c r="G292" s="119"/>
      <c r="H292" s="126">
        <f>H291*F292</f>
        <v>3.2206619509999999</v>
      </c>
      <c r="I292" s="118">
        <v>0.13</v>
      </c>
      <c r="J292" s="127"/>
      <c r="K292" s="126">
        <f>K291*I292</f>
        <v>3.3147240011114736</v>
      </c>
      <c r="L292" s="69">
        <f>K292-H292</f>
        <v>9.4062050111473727E-2</v>
      </c>
      <c r="M292" s="128">
        <f>IF((H292)=0,"",(L292/H292))</f>
        <v>2.9205812824369203E-2</v>
      </c>
    </row>
    <row r="293" spans="1:18" ht="14.5" x14ac:dyDescent="0.35">
      <c r="A293" s="14" t="str">
        <f t="shared" si="29"/>
        <v>UNMETERED SCATTERED LOAD SERVICE CLASSIFICATION</v>
      </c>
      <c r="B293" s="14" t="s">
        <v>25</v>
      </c>
      <c r="C293" s="61"/>
      <c r="D293" s="124" t="s">
        <v>87</v>
      </c>
      <c r="E293"/>
      <c r="F293" s="129">
        <v>0.11700000000000001</v>
      </c>
      <c r="G293" s="119"/>
      <c r="H293" s="126">
        <f>IF(OR(ISNUMBER(SEARCH("[DGEN]", E247))=TRUE, ISNUMBER(SEARCH("STREET LIGHT", E247))=TRUE), 0, IF(AND(E249=0, E250=0),0, IF(AND(E250=0, E249*12&gt;250000), 0, IF(AND(E249=0, E250&gt;=50), 0, IF(E249*12&lt;=250000, F293*H291*-1, IF(E250&lt;50, F293*H291*-1, 0))))))</f>
        <v>-2.8985957559000002</v>
      </c>
      <c r="I293" s="129">
        <v>0.11700000000000001</v>
      </c>
      <c r="J293" s="127"/>
      <c r="K293" s="126">
        <f>IF(OR(ISNUMBER(SEARCH("[DGEN]", E247))=TRUE, ISNUMBER(SEARCH("STREET LIGHT", E247))=TRUE), 0, IF(AND(E249=0, E250=0),0, IF(AND(E250=0, E249*12&gt;250000), 0, IF(AND(E249=0, E250&gt;=50), 0, IF(E249*12&lt;=250000, I293*K291*-1, IF(E250&lt;50, I293*K291*-1, 0))))))</f>
        <v>-2.9832516010003265</v>
      </c>
      <c r="L293" s="69"/>
      <c r="M293" s="128"/>
    </row>
    <row r="294" spans="1:18" ht="13.5" thickBot="1" x14ac:dyDescent="0.3">
      <c r="A294" s="14" t="str">
        <f t="shared" si="29"/>
        <v>UNMETERED SCATTERED LOAD SERVICE CLASSIFICATION</v>
      </c>
      <c r="B294" s="14" t="s">
        <v>91</v>
      </c>
      <c r="C294" s="61"/>
      <c r="D294" s="181" t="s">
        <v>90</v>
      </c>
      <c r="E294" s="181"/>
      <c r="F294" s="137"/>
      <c r="G294" s="138"/>
      <c r="H294" s="132">
        <f>SUM(H291,H292)</f>
        <v>27.994984650999999</v>
      </c>
      <c r="I294" s="139"/>
      <c r="J294" s="139"/>
      <c r="K294" s="132">
        <f>SUM(K291,K292)</f>
        <v>28.812600932738192</v>
      </c>
      <c r="L294" s="140">
        <f>K294-H294</f>
        <v>0.8176162817381929</v>
      </c>
      <c r="M294" s="141">
        <f>IF((H294)=0,"",(L294/H294))</f>
        <v>2.9205812824369137E-2</v>
      </c>
    </row>
    <row r="295" spans="1:18" ht="13" thickBot="1" x14ac:dyDescent="0.3">
      <c r="A295" s="14" t="str">
        <f t="shared" si="29"/>
        <v>UNMETERED SCATTERED LOAD SERVICE CLASSIFICATION</v>
      </c>
      <c r="B295" s="14" t="s">
        <v>25</v>
      </c>
      <c r="C295" s="61"/>
      <c r="D295" s="109"/>
      <c r="E295" s="110"/>
      <c r="F295" s="142"/>
      <c r="G295" s="143"/>
      <c r="H295" s="144"/>
      <c r="I295" s="142"/>
      <c r="J295" s="112"/>
      <c r="K295" s="144"/>
      <c r="L295" s="145"/>
      <c r="M295" s="116"/>
    </row>
    <row r="296" spans="1:18" ht="13" x14ac:dyDescent="0.25">
      <c r="A296" s="14" t="str">
        <f t="shared" si="29"/>
        <v>UNMETERED SCATTERED LOAD SERVICE CLASSIFICATION</v>
      </c>
      <c r="B296" s="14" t="s">
        <v>20</v>
      </c>
      <c r="C296" s="61"/>
      <c r="D296" s="117" t="s">
        <v>92</v>
      </c>
      <c r="E296" s="102"/>
      <c r="F296" s="118"/>
      <c r="G296" s="119"/>
      <c r="H296" s="120">
        <f>SUM(H284,H276:H279,H275)</f>
        <v>24.774322699999999</v>
      </c>
      <c r="I296" s="121"/>
      <c r="J296" s="121"/>
      <c r="K296" s="120">
        <f>SUM(K284,K276:K279,K275)</f>
        <v>25.49787693162672</v>
      </c>
      <c r="L296" s="122">
        <f>K296-H296</f>
        <v>0.72355423162672139</v>
      </c>
      <c r="M296" s="123">
        <f>IF((H296)=0,"",(L296/H296))</f>
        <v>2.9205812824369216E-2</v>
      </c>
    </row>
    <row r="297" spans="1:18" x14ac:dyDescent="0.25">
      <c r="A297" s="14" t="str">
        <f t="shared" si="29"/>
        <v>UNMETERED SCATTERED LOAD SERVICE CLASSIFICATION</v>
      </c>
      <c r="B297" s="14" t="s">
        <v>20</v>
      </c>
      <c r="C297" s="61"/>
      <c r="D297" s="124" t="s">
        <v>86</v>
      </c>
      <c r="E297" s="102"/>
      <c r="F297" s="118">
        <v>0.13</v>
      </c>
      <c r="G297" s="119"/>
      <c r="H297" s="126">
        <f>H296*F297</f>
        <v>3.2206619509999999</v>
      </c>
      <c r="I297" s="118">
        <v>0.13</v>
      </c>
      <c r="J297" s="127"/>
      <c r="K297" s="126">
        <f>K296*I297</f>
        <v>3.3147240011114736</v>
      </c>
      <c r="L297" s="69">
        <f>K297-H297</f>
        <v>9.4062050111473727E-2</v>
      </c>
      <c r="M297" s="128">
        <f>IF((H297)=0,"",(L297/H297))</f>
        <v>2.9205812824369203E-2</v>
      </c>
    </row>
    <row r="298" spans="1:18" ht="14.5" x14ac:dyDescent="0.35">
      <c r="A298" s="14" t="str">
        <f t="shared" si="29"/>
        <v>UNMETERED SCATTERED LOAD SERVICE CLASSIFICATION</v>
      </c>
      <c r="B298" s="14" t="s">
        <v>20</v>
      </c>
      <c r="C298" s="61"/>
      <c r="D298" s="124" t="s">
        <v>87</v>
      </c>
      <c r="E298"/>
      <c r="F298" s="129">
        <v>0.11700000000000001</v>
      </c>
      <c r="G298" s="119"/>
      <c r="H298" s="126">
        <f>IF(OR(ISNUMBER(SEARCH("[DGEN]", E247))=TRUE, ISNUMBER(SEARCH("STREET LIGHT", E247))=TRUE), 0, IF(AND(E249=0, E250=0),0, IF(AND(E250=0, E249*12&gt;250000), 0, IF(AND(E249=0, E250&gt;=50), 0, IF(E249*12&lt;=250000, F298*H296*-1, IF(E250&lt;50, F298*H296*-1, 0))))))</f>
        <v>-2.8985957559000002</v>
      </c>
      <c r="I298" s="129">
        <v>0.11700000000000001</v>
      </c>
      <c r="J298" s="127"/>
      <c r="K298" s="126">
        <f>IF(OR(ISNUMBER(SEARCH("[DGEN]", E247))=TRUE, ISNUMBER(SEARCH("STREET LIGHT", E247))=TRUE), 0, IF(AND(E249=0, E250=0),0, IF(AND(E250=0, E249*12&gt;250000), 0, IF(AND(E249=0, E250&gt;=50), 0, IF(E249*12&lt;=250000, I298*K296*-1, IF(E250&lt;50, I298*K296*-1, 0))))))</f>
        <v>-2.9832516010003265</v>
      </c>
      <c r="L298" s="69"/>
      <c r="M298" s="128"/>
    </row>
    <row r="299" spans="1:18" ht="13.5" thickBot="1" x14ac:dyDescent="0.3">
      <c r="A299" s="14" t="str">
        <f t="shared" si="29"/>
        <v>UNMETERED SCATTERED LOAD SERVICE CLASSIFICATION</v>
      </c>
      <c r="B299" s="14" t="s">
        <v>93</v>
      </c>
      <c r="C299" s="61"/>
      <c r="D299" s="181" t="s">
        <v>92</v>
      </c>
      <c r="E299" s="181"/>
      <c r="F299" s="137"/>
      <c r="G299" s="138"/>
      <c r="H299" s="132">
        <f>SUM(H296,H297)</f>
        <v>27.994984650999999</v>
      </c>
      <c r="I299" s="139"/>
      <c r="J299" s="139"/>
      <c r="K299" s="132">
        <f>SUM(K296,K297)</f>
        <v>28.812600932738192</v>
      </c>
      <c r="L299" s="140">
        <f>K299-H299</f>
        <v>0.8176162817381929</v>
      </c>
      <c r="M299" s="141">
        <f>IF((H299)=0,"",(L299/H299))</f>
        <v>2.9205812824369137E-2</v>
      </c>
    </row>
    <row r="300" spans="1:18" ht="13" thickBot="1" x14ac:dyDescent="0.3">
      <c r="A300" s="14" t="str">
        <f t="shared" si="29"/>
        <v>UNMETERED SCATTERED LOAD SERVICE CLASSIFICATION</v>
      </c>
      <c r="B300" s="14" t="s">
        <v>20</v>
      </c>
      <c r="C300" s="61"/>
      <c r="D300" s="109"/>
      <c r="E300" s="110"/>
      <c r="F300" s="146"/>
      <c r="G300" s="143"/>
      <c r="H300" s="147"/>
      <c r="I300" s="146"/>
      <c r="J300" s="112"/>
      <c r="K300" s="147"/>
      <c r="L300" s="145"/>
      <c r="M300" s="148"/>
    </row>
    <row r="303" spans="1:18" ht="13" x14ac:dyDescent="0.25">
      <c r="C303" s="14"/>
      <c r="D303" s="46" t="s">
        <v>39</v>
      </c>
      <c r="E303" s="176" t="str">
        <f>D34</f>
        <v>SENTINEL LIGHTING SERVICE CLASSIFICATION</v>
      </c>
      <c r="F303" s="176"/>
      <c r="G303" s="176"/>
      <c r="H303" s="176"/>
      <c r="I303" s="176"/>
      <c r="J303" s="176"/>
      <c r="K303" s="14" t="str">
        <f>IF(N34="DEMAND - INTERVAL","RTSR - INTERVAL METERED","")</f>
        <v/>
      </c>
      <c r="R303" s="14" t="s">
        <v>29</v>
      </c>
    </row>
    <row r="304" spans="1:18" ht="13" x14ac:dyDescent="0.25">
      <c r="C304" s="14"/>
      <c r="D304" s="46" t="s">
        <v>40</v>
      </c>
      <c r="E304" s="177" t="str">
        <f>H34</f>
        <v>RPP</v>
      </c>
      <c r="F304" s="177"/>
      <c r="G304" s="177"/>
      <c r="H304" s="47"/>
      <c r="I304" s="47"/>
    </row>
    <row r="305" spans="1:13" ht="15.5" x14ac:dyDescent="0.3">
      <c r="C305" s="14"/>
      <c r="D305" s="46" t="s">
        <v>41</v>
      </c>
      <c r="E305" s="48">
        <f>K34</f>
        <v>500</v>
      </c>
      <c r="F305" s="49" t="s">
        <v>14</v>
      </c>
      <c r="J305" s="50"/>
      <c r="K305" s="50"/>
      <c r="L305" s="50"/>
      <c r="M305" s="50"/>
    </row>
    <row r="306" spans="1:13" ht="15.5" x14ac:dyDescent="0.35">
      <c r="C306" s="14"/>
      <c r="D306" s="46" t="s">
        <v>42</v>
      </c>
      <c r="E306" s="48">
        <f>L34</f>
        <v>1</v>
      </c>
      <c r="F306" s="51" t="s">
        <v>19</v>
      </c>
      <c r="G306" s="52"/>
      <c r="H306" s="53"/>
      <c r="I306" s="53"/>
      <c r="J306" s="53"/>
    </row>
    <row r="307" spans="1:13" ht="13" x14ac:dyDescent="0.3">
      <c r="C307" s="14"/>
      <c r="D307" s="46" t="s">
        <v>43</v>
      </c>
      <c r="E307" s="54">
        <f>I34</f>
        <v>1.0561</v>
      </c>
    </row>
    <row r="308" spans="1:13" ht="13" x14ac:dyDescent="0.3">
      <c r="C308" s="14"/>
      <c r="D308" s="46" t="s">
        <v>44</v>
      </c>
      <c r="E308" s="54">
        <f>J34</f>
        <v>1.0561</v>
      </c>
    </row>
    <row r="309" spans="1:13" x14ac:dyDescent="0.25">
      <c r="C309" s="14"/>
    </row>
    <row r="310" spans="1:13" ht="13" x14ac:dyDescent="0.3">
      <c r="C310" s="14"/>
      <c r="E310" s="49"/>
      <c r="F310" s="178" t="s">
        <v>45</v>
      </c>
      <c r="G310" s="179"/>
      <c r="H310" s="180"/>
      <c r="I310" s="178" t="s">
        <v>46</v>
      </c>
      <c r="J310" s="179"/>
      <c r="K310" s="180"/>
      <c r="L310" s="178" t="s">
        <v>47</v>
      </c>
      <c r="M310" s="180"/>
    </row>
    <row r="311" spans="1:13" ht="13" x14ac:dyDescent="0.3">
      <c r="C311" s="14"/>
      <c r="E311" s="182"/>
      <c r="F311" s="56" t="s">
        <v>48</v>
      </c>
      <c r="G311" s="56" t="s">
        <v>49</v>
      </c>
      <c r="H311" s="57" t="s">
        <v>50</v>
      </c>
      <c r="I311" s="56" t="s">
        <v>48</v>
      </c>
      <c r="J311" s="58" t="s">
        <v>49</v>
      </c>
      <c r="K311" s="57" t="s">
        <v>50</v>
      </c>
      <c r="L311" s="184" t="s">
        <v>51</v>
      </c>
      <c r="M311" s="186" t="s">
        <v>52</v>
      </c>
    </row>
    <row r="312" spans="1:13" ht="13" x14ac:dyDescent="0.3">
      <c r="C312" s="14"/>
      <c r="E312" s="183"/>
      <c r="F312" s="59" t="s">
        <v>53</v>
      </c>
      <c r="G312" s="59"/>
      <c r="H312" s="60" t="s">
        <v>53</v>
      </c>
      <c r="I312" s="59" t="s">
        <v>53</v>
      </c>
      <c r="J312" s="60"/>
      <c r="K312" s="60" t="s">
        <v>53</v>
      </c>
      <c r="L312" s="185"/>
      <c r="M312" s="187"/>
    </row>
    <row r="313" spans="1:13" ht="13" x14ac:dyDescent="0.25">
      <c r="A313" s="14" t="str">
        <f>$E303</f>
        <v>SENTINEL LIGHTING SERVICE CLASSIFICATION</v>
      </c>
      <c r="C313" s="61"/>
      <c r="D313" s="55" t="s">
        <v>54</v>
      </c>
      <c r="E313" s="62"/>
      <c r="F313" s="63">
        <v>3.88</v>
      </c>
      <c r="G313" s="64">
        <v>0</v>
      </c>
      <c r="H313" s="65">
        <f>G313*F313</f>
        <v>0</v>
      </c>
      <c r="I313" s="66">
        <v>3.88</v>
      </c>
      <c r="J313" s="67">
        <v>0</v>
      </c>
      <c r="K313" s="68">
        <f>J313*I313</f>
        <v>0</v>
      </c>
      <c r="L313" s="69">
        <f>K313-H313</f>
        <v>0</v>
      </c>
      <c r="M313" s="70" t="str">
        <f>IF(ISERROR(L313/H313), "", L313/H313)</f>
        <v/>
      </c>
    </row>
    <row r="314" spans="1:13" ht="13" x14ac:dyDescent="0.25">
      <c r="A314" s="14" t="str">
        <f t="shared" ref="A314:A356" si="34">A313</f>
        <v>SENTINEL LIGHTING SERVICE CLASSIFICATION</v>
      </c>
      <c r="C314" s="61"/>
      <c r="D314" s="55" t="s">
        <v>55</v>
      </c>
      <c r="E314" s="62"/>
      <c r="F314" s="71">
        <v>10.1477</v>
      </c>
      <c r="G314" s="64">
        <f>IF($E306&gt;0, $E306, $E305)</f>
        <v>1</v>
      </c>
      <c r="H314" s="65">
        <f>G314*F314</f>
        <v>10.1477</v>
      </c>
      <c r="I314" s="72">
        <v>10.1477</v>
      </c>
      <c r="J314" s="67">
        <f>IF($E306&gt;0, $E306, $E305)</f>
        <v>1</v>
      </c>
      <c r="K314" s="68">
        <f>J314*I314</f>
        <v>10.1477</v>
      </c>
      <c r="L314" s="69">
        <f>K314-H314</f>
        <v>0</v>
      </c>
      <c r="M314" s="70">
        <f>IF(ISERROR(L314/H314), "", L314/H314)</f>
        <v>0</v>
      </c>
    </row>
    <row r="315" spans="1:13" ht="13" x14ac:dyDescent="0.25">
      <c r="A315" s="14" t="str">
        <f t="shared" si="34"/>
        <v>SENTINEL LIGHTING SERVICE CLASSIFICATION</v>
      </c>
      <c r="C315" s="61"/>
      <c r="D315" s="55" t="s">
        <v>56</v>
      </c>
      <c r="E315" s="62"/>
      <c r="F315" s="71"/>
      <c r="G315" s="64">
        <f>IF($E306&gt;0, $E306, $E305)</f>
        <v>1</v>
      </c>
      <c r="H315" s="65">
        <v>0</v>
      </c>
      <c r="I315" s="72"/>
      <c r="J315" s="67">
        <f>IF($E306&gt;0, $E306, $E305)</f>
        <v>1</v>
      </c>
      <c r="K315" s="68">
        <v>0</v>
      </c>
      <c r="L315" s="69"/>
      <c r="M315" s="70"/>
    </row>
    <row r="316" spans="1:13" ht="13" x14ac:dyDescent="0.25">
      <c r="A316" s="14" t="str">
        <f t="shared" si="34"/>
        <v>SENTINEL LIGHTING SERVICE CLASSIFICATION</v>
      </c>
      <c r="C316" s="61"/>
      <c r="D316" s="55" t="s">
        <v>57</v>
      </c>
      <c r="E316" s="62"/>
      <c r="F316" s="71"/>
      <c r="G316" s="64">
        <f>IF($E306&gt;0, $E306, $E305)</f>
        <v>1</v>
      </c>
      <c r="H316" s="65">
        <v>0</v>
      </c>
      <c r="I316" s="72"/>
      <c r="J316" s="73">
        <f>IF($E306&gt;0, $E306, $E305)</f>
        <v>1</v>
      </c>
      <c r="K316" s="68">
        <v>0</v>
      </c>
      <c r="L316" s="69">
        <f t="shared" ref="L316:L334" si="35">K316-H316</f>
        <v>0</v>
      </c>
      <c r="M316" s="70" t="str">
        <f>IF(ISERROR(L316/H316), "", L316/H316)</f>
        <v/>
      </c>
    </row>
    <row r="317" spans="1:13" ht="13" x14ac:dyDescent="0.25">
      <c r="A317" s="14" t="str">
        <f t="shared" si="34"/>
        <v>SENTINEL LIGHTING SERVICE CLASSIFICATION</v>
      </c>
      <c r="C317" s="61"/>
      <c r="D317" s="55" t="s">
        <v>58</v>
      </c>
      <c r="E317" s="62"/>
      <c r="F317" s="63">
        <v>0</v>
      </c>
      <c r="G317" s="64">
        <v>0</v>
      </c>
      <c r="H317" s="65">
        <f>G317*F317</f>
        <v>0</v>
      </c>
      <c r="I317" s="66">
        <v>0</v>
      </c>
      <c r="J317" s="67">
        <v>0</v>
      </c>
      <c r="K317" s="68">
        <f>J317*I317</f>
        <v>0</v>
      </c>
      <c r="L317" s="69">
        <f t="shared" si="35"/>
        <v>0</v>
      </c>
      <c r="M317" s="70" t="str">
        <f>IF(ISERROR(L317/H317), "", L317/H317)</f>
        <v/>
      </c>
    </row>
    <row r="318" spans="1:13" ht="13" x14ac:dyDescent="0.25">
      <c r="A318" s="14" t="str">
        <f t="shared" si="34"/>
        <v>SENTINEL LIGHTING SERVICE CLASSIFICATION</v>
      </c>
      <c r="C318" s="61"/>
      <c r="D318" s="55" t="s">
        <v>59</v>
      </c>
      <c r="E318" s="62"/>
      <c r="F318" s="71">
        <v>0</v>
      </c>
      <c r="G318" s="64">
        <f>IF($E306&gt;0, $E306, $E305)</f>
        <v>1</v>
      </c>
      <c r="H318" s="65">
        <f>G318*F318</f>
        <v>0</v>
      </c>
      <c r="I318" s="72">
        <v>0</v>
      </c>
      <c r="J318" s="67">
        <f>IF($E306&gt;0, $E306, $E305)</f>
        <v>1</v>
      </c>
      <c r="K318" s="68">
        <f>J318*I318</f>
        <v>0</v>
      </c>
      <c r="L318" s="69">
        <f t="shared" si="35"/>
        <v>0</v>
      </c>
      <c r="M318" s="70" t="str">
        <f>IF(ISERROR(L318/H318), "", L318/H318)</f>
        <v/>
      </c>
    </row>
    <row r="319" spans="1:13" ht="13" x14ac:dyDescent="0.25">
      <c r="A319" s="14" t="str">
        <f t="shared" si="34"/>
        <v>SENTINEL LIGHTING SERVICE CLASSIFICATION</v>
      </c>
      <c r="B319" s="14" t="s">
        <v>60</v>
      </c>
      <c r="C319" s="61">
        <f>B34</f>
        <v>5</v>
      </c>
      <c r="D319" s="74" t="s">
        <v>61</v>
      </c>
      <c r="E319" s="75"/>
      <c r="F319" s="76"/>
      <c r="G319" s="77"/>
      <c r="H319" s="78">
        <f>SUM(H313:H318)</f>
        <v>10.1477</v>
      </c>
      <c r="I319" s="79"/>
      <c r="J319" s="80"/>
      <c r="K319" s="78">
        <f>SUM(K313:K318)</f>
        <v>10.1477</v>
      </c>
      <c r="L319" s="81">
        <f t="shared" si="35"/>
        <v>0</v>
      </c>
      <c r="M319" s="82">
        <f>IF((H319)=0,"",(L319/H319))</f>
        <v>0</v>
      </c>
    </row>
    <row r="320" spans="1:13" ht="13" x14ac:dyDescent="0.25">
      <c r="A320" s="14" t="str">
        <f t="shared" si="34"/>
        <v>SENTINEL LIGHTING SERVICE CLASSIFICATION</v>
      </c>
      <c r="C320" s="61"/>
      <c r="D320" s="83" t="s">
        <v>62</v>
      </c>
      <c r="E320" s="62"/>
      <c r="F320" s="71">
        <v>9.3670000000000003E-2</v>
      </c>
      <c r="G320" s="84">
        <f>IF(F320=0, 0, $E305*E307-E305)</f>
        <v>28.050000000000068</v>
      </c>
      <c r="H320" s="65">
        <f t="shared" ref="H320:H327" si="36">G320*F320</f>
        <v>2.6274435000000063</v>
      </c>
      <c r="I320" s="72">
        <v>9.3670000000000003E-2</v>
      </c>
      <c r="J320" s="85">
        <f>IF(I320=0, 0, E305*E308-E305)</f>
        <v>28.050000000000068</v>
      </c>
      <c r="K320" s="68">
        <f t="shared" ref="K320:K327" si="37">J320*I320</f>
        <v>2.6274435000000063</v>
      </c>
      <c r="L320" s="69">
        <f t="shared" si="35"/>
        <v>0</v>
      </c>
      <c r="M320" s="70">
        <f t="shared" ref="M320:M327" si="38">IF(ISERROR(L320/H320), "", L320/H320)</f>
        <v>0</v>
      </c>
    </row>
    <row r="321" spans="1:13" ht="25" x14ac:dyDescent="0.25">
      <c r="A321" s="14" t="str">
        <f t="shared" si="34"/>
        <v>SENTINEL LIGHTING SERVICE CLASSIFICATION</v>
      </c>
      <c r="C321" s="61"/>
      <c r="D321" s="83" t="s">
        <v>63</v>
      </c>
      <c r="E321" s="62"/>
      <c r="F321" s="71">
        <v>0</v>
      </c>
      <c r="G321" s="86">
        <f>IF($E306&gt;0, $E306, $E305)</f>
        <v>1</v>
      </c>
      <c r="H321" s="65">
        <f t="shared" si="36"/>
        <v>0</v>
      </c>
      <c r="I321" s="72">
        <v>0</v>
      </c>
      <c r="J321" s="87">
        <f>IF($E306&gt;0, $E306, $E305)</f>
        <v>1</v>
      </c>
      <c r="K321" s="68">
        <f t="shared" si="37"/>
        <v>0</v>
      </c>
      <c r="L321" s="69">
        <f t="shared" si="35"/>
        <v>0</v>
      </c>
      <c r="M321" s="70" t="str">
        <f t="shared" si="38"/>
        <v/>
      </c>
    </row>
    <row r="322" spans="1:13" ht="13" x14ac:dyDescent="0.25">
      <c r="A322" s="14" t="str">
        <f t="shared" si="34"/>
        <v>SENTINEL LIGHTING SERVICE CLASSIFICATION</v>
      </c>
      <c r="C322" s="61"/>
      <c r="D322" s="83" t="s">
        <v>64</v>
      </c>
      <c r="E322" s="62"/>
      <c r="F322" s="71">
        <v>0</v>
      </c>
      <c r="G322" s="86">
        <f>IF($E306&gt;0, $E306, $E305)</f>
        <v>1</v>
      </c>
      <c r="H322" s="65">
        <f t="shared" si="36"/>
        <v>0</v>
      </c>
      <c r="I322" s="72">
        <v>0</v>
      </c>
      <c r="J322" s="87">
        <f>IF($E306&gt;0, $E306, $E305)</f>
        <v>1</v>
      </c>
      <c r="K322" s="68">
        <f t="shared" si="37"/>
        <v>0</v>
      </c>
      <c r="L322" s="69">
        <f t="shared" si="35"/>
        <v>0</v>
      </c>
      <c r="M322" s="70" t="str">
        <f t="shared" si="38"/>
        <v/>
      </c>
    </row>
    <row r="323" spans="1:13" ht="13" x14ac:dyDescent="0.25">
      <c r="A323" s="14" t="str">
        <f t="shared" si="34"/>
        <v>SENTINEL LIGHTING SERVICE CLASSIFICATION</v>
      </c>
      <c r="C323" s="61"/>
      <c r="D323" s="83" t="s">
        <v>65</v>
      </c>
      <c r="E323" s="62"/>
      <c r="F323" s="71">
        <v>0</v>
      </c>
      <c r="G323" s="86">
        <f>E305</f>
        <v>500</v>
      </c>
      <c r="H323" s="65">
        <f t="shared" si="36"/>
        <v>0</v>
      </c>
      <c r="I323" s="72">
        <v>0</v>
      </c>
      <c r="J323" s="87">
        <f>E305</f>
        <v>500</v>
      </c>
      <c r="K323" s="68">
        <f t="shared" si="37"/>
        <v>0</v>
      </c>
      <c r="L323" s="69">
        <f t="shared" si="35"/>
        <v>0</v>
      </c>
      <c r="M323" s="70" t="str">
        <f t="shared" si="38"/>
        <v/>
      </c>
    </row>
    <row r="324" spans="1:13" ht="13" x14ac:dyDescent="0.25">
      <c r="A324" s="14" t="str">
        <f t="shared" si="34"/>
        <v>SENTINEL LIGHTING SERVICE CLASSIFICATION</v>
      </c>
      <c r="C324" s="61"/>
      <c r="D324" s="55" t="s">
        <v>66</v>
      </c>
      <c r="E324" s="62"/>
      <c r="F324" s="71">
        <v>0.16980000000000001</v>
      </c>
      <c r="G324" s="86">
        <f>IF($E306&gt;0, $E306, $E305)</f>
        <v>1</v>
      </c>
      <c r="H324" s="65">
        <f t="shared" si="36"/>
        <v>0.16980000000000001</v>
      </c>
      <c r="I324" s="72">
        <v>6.5940865733718219E-4</v>
      </c>
      <c r="J324" s="87">
        <f>IF($E306&gt;0, $E306, $E305)</f>
        <v>1</v>
      </c>
      <c r="K324" s="68">
        <f t="shared" si="37"/>
        <v>6.5940865733718219E-4</v>
      </c>
      <c r="L324" s="69">
        <f t="shared" si="35"/>
        <v>-0.16914059134266282</v>
      </c>
      <c r="M324" s="70">
        <f>IF(ISERROR(L324/H324), "", IF(H324&lt;0,(K324-(H324))/ABS(H324),L324/H324))</f>
        <v>-0.99611655678835576</v>
      </c>
    </row>
    <row r="325" spans="1:13" ht="13" x14ac:dyDescent="0.25">
      <c r="A325" s="14" t="str">
        <f t="shared" si="34"/>
        <v>SENTINEL LIGHTING SERVICE CLASSIFICATION</v>
      </c>
      <c r="C325" s="61"/>
      <c r="D325" s="83" t="s">
        <v>67</v>
      </c>
      <c r="E325" s="62"/>
      <c r="F325" s="88">
        <v>0</v>
      </c>
      <c r="G325" s="64">
        <v>0</v>
      </c>
      <c r="H325" s="65">
        <f t="shared" si="36"/>
        <v>0</v>
      </c>
      <c r="I325" s="89">
        <v>0</v>
      </c>
      <c r="J325" s="73">
        <v>0</v>
      </c>
      <c r="K325" s="68">
        <f t="shared" si="37"/>
        <v>0</v>
      </c>
      <c r="L325" s="69">
        <f t="shared" si="35"/>
        <v>0</v>
      </c>
      <c r="M325" s="70" t="str">
        <f t="shared" si="38"/>
        <v/>
      </c>
    </row>
    <row r="326" spans="1:13" ht="13" x14ac:dyDescent="0.25">
      <c r="A326" s="14" t="str">
        <f t="shared" si="34"/>
        <v>SENTINEL LIGHTING SERVICE CLASSIFICATION</v>
      </c>
      <c r="C326" s="61"/>
      <c r="D326" s="55" t="s">
        <v>68</v>
      </c>
      <c r="E326" s="62"/>
      <c r="F326" s="63">
        <v>0</v>
      </c>
      <c r="G326" s="64">
        <v>0</v>
      </c>
      <c r="H326" s="65">
        <f t="shared" si="36"/>
        <v>0</v>
      </c>
      <c r="I326" s="66">
        <v>0</v>
      </c>
      <c r="J326" s="73">
        <v>0</v>
      </c>
      <c r="K326" s="68">
        <f t="shared" si="37"/>
        <v>0</v>
      </c>
      <c r="L326" s="69">
        <f t="shared" si="35"/>
        <v>0</v>
      </c>
      <c r="M326" s="70" t="str">
        <f t="shared" si="38"/>
        <v/>
      </c>
    </row>
    <row r="327" spans="1:13" ht="13" x14ac:dyDescent="0.25">
      <c r="A327" s="14" t="str">
        <f t="shared" si="34"/>
        <v>SENTINEL LIGHTING SERVICE CLASSIFICATION</v>
      </c>
      <c r="C327" s="61"/>
      <c r="D327" s="55" t="s">
        <v>69</v>
      </c>
      <c r="E327" s="62"/>
      <c r="F327" s="71">
        <v>0</v>
      </c>
      <c r="G327" s="86">
        <f>IF($E306&gt;0, $E306, $E305)</f>
        <v>1</v>
      </c>
      <c r="H327" s="65">
        <f t="shared" si="36"/>
        <v>0</v>
      </c>
      <c r="I327" s="72">
        <v>0</v>
      </c>
      <c r="J327" s="87">
        <f>IF($E306&gt;0, $E306, $E305)</f>
        <v>1</v>
      </c>
      <c r="K327" s="68">
        <f t="shared" si="37"/>
        <v>0</v>
      </c>
      <c r="L327" s="69">
        <f t="shared" si="35"/>
        <v>0</v>
      </c>
      <c r="M327" s="70" t="str">
        <f t="shared" si="38"/>
        <v/>
      </c>
    </row>
    <row r="328" spans="1:13" ht="26" x14ac:dyDescent="0.25">
      <c r="A328" s="14" t="str">
        <f t="shared" si="34"/>
        <v>SENTINEL LIGHTING SERVICE CLASSIFICATION</v>
      </c>
      <c r="B328" s="14" t="s">
        <v>70</v>
      </c>
      <c r="C328" s="61">
        <f>B34</f>
        <v>5</v>
      </c>
      <c r="D328" s="90" t="s">
        <v>71</v>
      </c>
      <c r="E328" s="91"/>
      <c r="F328" s="92"/>
      <c r="G328" s="93"/>
      <c r="H328" s="94">
        <f>SUM(H319:H327)</f>
        <v>12.944943500000006</v>
      </c>
      <c r="I328" s="95"/>
      <c r="J328" s="96"/>
      <c r="K328" s="94">
        <f>SUM(K319:K327)</f>
        <v>12.775802908657344</v>
      </c>
      <c r="L328" s="81">
        <f t="shared" si="35"/>
        <v>-0.16914059134266246</v>
      </c>
      <c r="M328" s="82">
        <f>IF((H328)=0,"",(L328/H328))</f>
        <v>-1.3066151377382403E-2</v>
      </c>
    </row>
    <row r="329" spans="1:13" ht="13" x14ac:dyDescent="0.25">
      <c r="A329" s="14" t="str">
        <f t="shared" si="34"/>
        <v>SENTINEL LIGHTING SERVICE CLASSIFICATION</v>
      </c>
      <c r="C329" s="61"/>
      <c r="D329" s="97" t="s">
        <v>72</v>
      </c>
      <c r="E329" s="62"/>
      <c r="F329" s="71">
        <v>0</v>
      </c>
      <c r="G329" s="84">
        <f>IF($E306&gt;0, $E306, $E305*$E307)</f>
        <v>1</v>
      </c>
      <c r="H329" s="65">
        <f>G329*F329</f>
        <v>0</v>
      </c>
      <c r="I329" s="98">
        <v>0</v>
      </c>
      <c r="J329" s="85">
        <f>IF($E306&gt;0, $E306, $E305*$E308)</f>
        <v>1</v>
      </c>
      <c r="K329" s="68">
        <f>J329*I329</f>
        <v>0</v>
      </c>
      <c r="L329" s="69">
        <f t="shared" si="35"/>
        <v>0</v>
      </c>
      <c r="M329" s="70" t="str">
        <f>IF(ISERROR(L329/H329), "", L329/H329)</f>
        <v/>
      </c>
    </row>
    <row r="330" spans="1:13" ht="25" x14ac:dyDescent="0.25">
      <c r="A330" s="14" t="str">
        <f t="shared" si="34"/>
        <v>SENTINEL LIGHTING SERVICE CLASSIFICATION</v>
      </c>
      <c r="C330" s="61"/>
      <c r="D330" s="99" t="s">
        <v>73</v>
      </c>
      <c r="E330" s="62"/>
      <c r="F330" s="71">
        <v>0</v>
      </c>
      <c r="G330" s="84">
        <f>IF($E306&gt;0, $E306, $E305*$E307)</f>
        <v>1</v>
      </c>
      <c r="H330" s="65">
        <f>G330*F330</f>
        <v>0</v>
      </c>
      <c r="I330" s="98">
        <v>0</v>
      </c>
      <c r="J330" s="85">
        <f>IF($E306&gt;0, $E306, $E305*$E308)</f>
        <v>1</v>
      </c>
      <c r="K330" s="68">
        <f>J330*I330</f>
        <v>0</v>
      </c>
      <c r="L330" s="69">
        <f t="shared" si="35"/>
        <v>0</v>
      </c>
      <c r="M330" s="70" t="str">
        <f>IF(ISERROR(L330/H330), "", L330/H330)</f>
        <v/>
      </c>
    </row>
    <row r="331" spans="1:13" ht="26" x14ac:dyDescent="0.25">
      <c r="A331" s="14" t="str">
        <f t="shared" si="34"/>
        <v>SENTINEL LIGHTING SERVICE CLASSIFICATION</v>
      </c>
      <c r="B331" s="14" t="s">
        <v>74</v>
      </c>
      <c r="C331" s="61">
        <f>B34</f>
        <v>5</v>
      </c>
      <c r="D331" s="90" t="s">
        <v>75</v>
      </c>
      <c r="E331" s="75"/>
      <c r="F331" s="92"/>
      <c r="G331" s="93"/>
      <c r="H331" s="94">
        <f>SUM(H328:H330)</f>
        <v>12.944943500000006</v>
      </c>
      <c r="I331" s="95"/>
      <c r="J331" s="80"/>
      <c r="K331" s="94">
        <f>SUM(K328:K330)</f>
        <v>12.775802908657344</v>
      </c>
      <c r="L331" s="81">
        <f t="shared" si="35"/>
        <v>-0.16914059134266246</v>
      </c>
      <c r="M331" s="82">
        <f>IF((H331)=0,"",(L331/H331))</f>
        <v>-1.3066151377382403E-2</v>
      </c>
    </row>
    <row r="332" spans="1:13" ht="25" x14ac:dyDescent="0.25">
      <c r="A332" s="14" t="str">
        <f t="shared" si="34"/>
        <v>SENTINEL LIGHTING SERVICE CLASSIFICATION</v>
      </c>
      <c r="C332" s="61"/>
      <c r="D332" s="100" t="s">
        <v>76</v>
      </c>
      <c r="E332" s="62"/>
      <c r="F332" s="71">
        <v>4.5000000000000005E-3</v>
      </c>
      <c r="G332" s="84">
        <f>E305*E307</f>
        <v>528.05000000000007</v>
      </c>
      <c r="H332" s="101">
        <f>G332*F332</f>
        <v>2.3762250000000007</v>
      </c>
      <c r="I332" s="72">
        <v>4.5000000000000005E-3</v>
      </c>
      <c r="J332" s="85">
        <f>E305*E308</f>
        <v>528.05000000000007</v>
      </c>
      <c r="K332" s="68">
        <f>J332*I332</f>
        <v>2.3762250000000007</v>
      </c>
      <c r="L332" s="69">
        <f t="shared" si="35"/>
        <v>0</v>
      </c>
      <c r="M332" s="70">
        <f>IF(ISERROR(L332/H332), "", L332/H332)</f>
        <v>0</v>
      </c>
    </row>
    <row r="333" spans="1:13" ht="25" x14ac:dyDescent="0.25">
      <c r="A333" s="14" t="str">
        <f t="shared" si="34"/>
        <v>SENTINEL LIGHTING SERVICE CLASSIFICATION</v>
      </c>
      <c r="C333" s="61"/>
      <c r="D333" s="100" t="s">
        <v>77</v>
      </c>
      <c r="E333" s="62"/>
      <c r="F333" s="71">
        <v>6.9999999999999999E-4</v>
      </c>
      <c r="G333" s="84">
        <f>E305*E307</f>
        <v>528.05000000000007</v>
      </c>
      <c r="H333" s="101">
        <f>G333*F333</f>
        <v>0.36963500000000005</v>
      </c>
      <c r="I333" s="72">
        <v>6.9999999999999999E-4</v>
      </c>
      <c r="J333" s="85">
        <f>E305*E308</f>
        <v>528.05000000000007</v>
      </c>
      <c r="K333" s="68">
        <f>J333*I333</f>
        <v>0.36963500000000005</v>
      </c>
      <c r="L333" s="69">
        <f t="shared" si="35"/>
        <v>0</v>
      </c>
      <c r="M333" s="70">
        <f>IF(ISERROR(L333/H333), "", L333/H333)</f>
        <v>0</v>
      </c>
    </row>
    <row r="334" spans="1:13" ht="13" x14ac:dyDescent="0.25">
      <c r="A334" s="14" t="str">
        <f t="shared" si="34"/>
        <v>SENTINEL LIGHTING SERVICE CLASSIFICATION</v>
      </c>
      <c r="C334" s="61"/>
      <c r="D334" s="102" t="s">
        <v>78</v>
      </c>
      <c r="E334" s="62"/>
      <c r="F334" s="88">
        <v>0.25</v>
      </c>
      <c r="G334" s="64">
        <v>0</v>
      </c>
      <c r="H334" s="101">
        <f>G334*F334</f>
        <v>0</v>
      </c>
      <c r="I334" s="89">
        <v>0.25</v>
      </c>
      <c r="J334" s="67">
        <v>0</v>
      </c>
      <c r="K334" s="68">
        <f>J334*I334</f>
        <v>0</v>
      </c>
      <c r="L334" s="69">
        <f t="shared" si="35"/>
        <v>0</v>
      </c>
      <c r="M334" s="70" t="str">
        <f>IF(ISERROR(L334/H334), "", L334/H334)</f>
        <v/>
      </c>
    </row>
    <row r="335" spans="1:13" ht="25" x14ac:dyDescent="0.25">
      <c r="A335" s="14" t="str">
        <f t="shared" si="34"/>
        <v>SENTINEL LIGHTING SERVICE CLASSIFICATION</v>
      </c>
      <c r="C335" s="61"/>
      <c r="D335" s="100" t="s">
        <v>79</v>
      </c>
      <c r="E335" s="62"/>
      <c r="F335" s="71"/>
      <c r="G335" s="84"/>
      <c r="H335" s="101"/>
      <c r="I335" s="72"/>
      <c r="J335" s="85"/>
      <c r="K335" s="68"/>
      <c r="L335" s="69"/>
      <c r="M335" s="70"/>
    </row>
    <row r="336" spans="1:13" ht="13" x14ac:dyDescent="0.25">
      <c r="A336" s="14" t="str">
        <f t="shared" si="34"/>
        <v>SENTINEL LIGHTING SERVICE CLASSIFICATION</v>
      </c>
      <c r="B336" s="14" t="s">
        <v>15</v>
      </c>
      <c r="C336" s="61"/>
      <c r="D336" s="102" t="s">
        <v>80</v>
      </c>
      <c r="E336" s="62"/>
      <c r="F336" s="103">
        <v>7.3999999999999996E-2</v>
      </c>
      <c r="G336" s="104">
        <v>315</v>
      </c>
      <c r="H336" s="101">
        <f>G336*F336</f>
        <v>23.31</v>
      </c>
      <c r="I336" s="105">
        <v>7.3999999999999996E-2</v>
      </c>
      <c r="J336" s="106">
        <v>315</v>
      </c>
      <c r="K336" s="68">
        <f>J336*I336</f>
        <v>23.31</v>
      </c>
      <c r="L336" s="69">
        <f>K336-H336</f>
        <v>0</v>
      </c>
      <c r="M336" s="70">
        <f>IF(ISERROR(L336/H336), "", L336/H336)</f>
        <v>0</v>
      </c>
    </row>
    <row r="337" spans="1:13" ht="13" x14ac:dyDescent="0.25">
      <c r="A337" s="14" t="str">
        <f t="shared" si="34"/>
        <v>SENTINEL LIGHTING SERVICE CLASSIFICATION</v>
      </c>
      <c r="B337" s="14" t="s">
        <v>15</v>
      </c>
      <c r="C337" s="61"/>
      <c r="D337" s="102" t="s">
        <v>81</v>
      </c>
      <c r="E337" s="62"/>
      <c r="F337" s="103">
        <v>0.10199999999999999</v>
      </c>
      <c r="G337" s="104">
        <v>90</v>
      </c>
      <c r="H337" s="101">
        <f>G337*F337</f>
        <v>9.18</v>
      </c>
      <c r="I337" s="105">
        <v>0.10199999999999999</v>
      </c>
      <c r="J337" s="106">
        <v>90</v>
      </c>
      <c r="K337" s="68">
        <f>J337*I337</f>
        <v>9.18</v>
      </c>
      <c r="L337" s="69">
        <f>K337-H337</f>
        <v>0</v>
      </c>
      <c r="M337" s="70">
        <f>IF(ISERROR(L337/H337), "", L337/H337)</f>
        <v>0</v>
      </c>
    </row>
    <row r="338" spans="1:13" ht="13" x14ac:dyDescent="0.25">
      <c r="A338" s="14" t="str">
        <f t="shared" si="34"/>
        <v>SENTINEL LIGHTING SERVICE CLASSIFICATION</v>
      </c>
      <c r="B338" s="14" t="s">
        <v>15</v>
      </c>
      <c r="C338" s="61"/>
      <c r="D338" s="14" t="s">
        <v>82</v>
      </c>
      <c r="E338" s="62"/>
      <c r="F338" s="103">
        <v>0.151</v>
      </c>
      <c r="G338" s="104">
        <v>95</v>
      </c>
      <c r="H338" s="101">
        <f>G338*F338</f>
        <v>14.344999999999999</v>
      </c>
      <c r="I338" s="105">
        <v>0.151</v>
      </c>
      <c r="J338" s="106">
        <v>95</v>
      </c>
      <c r="K338" s="68">
        <f>J338*I338</f>
        <v>14.344999999999999</v>
      </c>
      <c r="L338" s="69">
        <f>K338-H338</f>
        <v>0</v>
      </c>
      <c r="M338" s="70">
        <f>IF(ISERROR(L338/H338), "", L338/H338)</f>
        <v>0</v>
      </c>
    </row>
    <row r="339" spans="1:13" ht="13" x14ac:dyDescent="0.25">
      <c r="A339" s="14" t="str">
        <f t="shared" si="34"/>
        <v>SENTINEL LIGHTING SERVICE CLASSIFICATION</v>
      </c>
      <c r="B339" s="14" t="s">
        <v>25</v>
      </c>
      <c r="C339" s="61"/>
      <c r="D339" s="102" t="s">
        <v>83</v>
      </c>
      <c r="E339" s="62"/>
      <c r="F339" s="107">
        <v>0.1076</v>
      </c>
      <c r="G339" s="104">
        <f>IF(AND(E305*12&gt;=150000),E305*E307,E305)</f>
        <v>500</v>
      </c>
      <c r="H339" s="101">
        <f>G339*F339</f>
        <v>53.8</v>
      </c>
      <c r="I339" s="108">
        <f>F339</f>
        <v>0.1076</v>
      </c>
      <c r="J339" s="106">
        <f>IF(AND(E305*12&gt;=150000),E305*E308,E305)</f>
        <v>500</v>
      </c>
      <c r="K339" s="68">
        <f>J339*I339</f>
        <v>53.8</v>
      </c>
      <c r="L339" s="69">
        <f>K339-H339</f>
        <v>0</v>
      </c>
      <c r="M339" s="70">
        <f>IF(ISERROR(L339/H339), "", L339/H339)</f>
        <v>0</v>
      </c>
    </row>
    <row r="340" spans="1:13" ht="13.5" thickBot="1" x14ac:dyDescent="0.3">
      <c r="A340" s="14" t="str">
        <f t="shared" si="34"/>
        <v>SENTINEL LIGHTING SERVICE CLASSIFICATION</v>
      </c>
      <c r="B340" s="14" t="s">
        <v>20</v>
      </c>
      <c r="C340" s="61"/>
      <c r="D340" s="102" t="s">
        <v>84</v>
      </c>
      <c r="E340" s="62"/>
      <c r="F340" s="107">
        <v>0.1076</v>
      </c>
      <c r="G340" s="104">
        <f>IF(AND(E305*12&gt;=150000),E305*E307,E305)</f>
        <v>500</v>
      </c>
      <c r="H340" s="101">
        <f>G340*F340</f>
        <v>53.8</v>
      </c>
      <c r="I340" s="108">
        <f>F340</f>
        <v>0.1076</v>
      </c>
      <c r="J340" s="106">
        <f>IF(AND(E305*12&gt;=150000),E305*E308,E305)</f>
        <v>500</v>
      </c>
      <c r="K340" s="68">
        <f>J340*I340</f>
        <v>53.8</v>
      </c>
      <c r="L340" s="69">
        <f>K340-H340</f>
        <v>0</v>
      </c>
      <c r="M340" s="70">
        <f>IF(ISERROR(L340/H340), "", L340/H340)</f>
        <v>0</v>
      </c>
    </row>
    <row r="341" spans="1:13" ht="13" thickBot="1" x14ac:dyDescent="0.3">
      <c r="A341" s="14" t="str">
        <f t="shared" si="34"/>
        <v>SENTINEL LIGHTING SERVICE CLASSIFICATION</v>
      </c>
      <c r="C341" s="61"/>
      <c r="D341" s="109"/>
      <c r="E341" s="110"/>
      <c r="F341" s="111"/>
      <c r="G341" s="112"/>
      <c r="H341" s="113"/>
      <c r="I341" s="111"/>
      <c r="J341" s="114"/>
      <c r="K341" s="113"/>
      <c r="L341" s="115"/>
      <c r="M341" s="116"/>
    </row>
    <row r="342" spans="1:13" ht="13" x14ac:dyDescent="0.25">
      <c r="A342" s="14" t="str">
        <f t="shared" si="34"/>
        <v>SENTINEL LIGHTING SERVICE CLASSIFICATION</v>
      </c>
      <c r="B342" s="14" t="s">
        <v>15</v>
      </c>
      <c r="C342" s="61"/>
      <c r="D342" s="117" t="s">
        <v>85</v>
      </c>
      <c r="E342" s="102"/>
      <c r="F342" s="118"/>
      <c r="G342" s="119"/>
      <c r="H342" s="120">
        <f>SUM(H332:H338,H331)</f>
        <v>62.525803500000009</v>
      </c>
      <c r="I342" s="121"/>
      <c r="J342" s="121"/>
      <c r="K342" s="120">
        <f>SUM(K332:K338,K331)</f>
        <v>62.356662908657341</v>
      </c>
      <c r="L342" s="122">
        <f>K342-H342</f>
        <v>-0.16914059134266779</v>
      </c>
      <c r="M342" s="123">
        <f>IF((H342)=0,"",(L342/H342))</f>
        <v>-2.7051326312450791E-3</v>
      </c>
    </row>
    <row r="343" spans="1:13" x14ac:dyDescent="0.25">
      <c r="A343" s="14" t="str">
        <f t="shared" si="34"/>
        <v>SENTINEL LIGHTING SERVICE CLASSIFICATION</v>
      </c>
      <c r="B343" s="14" t="s">
        <v>15</v>
      </c>
      <c r="C343" s="61"/>
      <c r="D343" s="124" t="s">
        <v>86</v>
      </c>
      <c r="E343" s="102"/>
      <c r="F343" s="118">
        <v>0.13</v>
      </c>
      <c r="G343" s="125"/>
      <c r="H343" s="126">
        <f>H342*F343</f>
        <v>8.128354455000002</v>
      </c>
      <c r="I343" s="127">
        <v>0.13</v>
      </c>
      <c r="J343" s="64"/>
      <c r="K343" s="126">
        <f>K342*I343</f>
        <v>8.1063661781254552</v>
      </c>
      <c r="L343" s="69">
        <f>K343-H343</f>
        <v>-2.1988276874546742E-2</v>
      </c>
      <c r="M343" s="128">
        <f>IF((H343)=0,"",(L343/H343))</f>
        <v>-2.70513263124507E-3</v>
      </c>
    </row>
    <row r="344" spans="1:13" ht="14.5" x14ac:dyDescent="0.35">
      <c r="A344" s="14" t="str">
        <f t="shared" si="34"/>
        <v>SENTINEL LIGHTING SERVICE CLASSIFICATION</v>
      </c>
      <c r="B344" s="14" t="s">
        <v>15</v>
      </c>
      <c r="C344" s="61"/>
      <c r="D344" s="124" t="s">
        <v>87</v>
      </c>
      <c r="E344"/>
      <c r="F344" s="129">
        <v>0.11700000000000001</v>
      </c>
      <c r="G344" s="125"/>
      <c r="H344" s="126">
        <f>IF(OR(ISNUMBER(SEARCH("[DGEN]", E303))=TRUE, ISNUMBER(SEARCH("STREET LIGHT", E303))=TRUE), 0, IF(AND(E305=0, E306=0),0, IF(AND(E306=0, E305*12&gt;250000), 0, IF(AND(E305=0, E306&gt;=50), 0, IF(E305*12&lt;=250000, F344*H342*-1, IF(E306&lt;50, F344*H342*-1, 0))))))</f>
        <v>-7.3155190095000018</v>
      </c>
      <c r="I344" s="129">
        <v>0.11700000000000001</v>
      </c>
      <c r="J344" s="64"/>
      <c r="K344" s="126">
        <f>IF(OR(ISNUMBER(SEARCH("[DGEN]", E303))=TRUE, ISNUMBER(SEARCH("STREET LIGHT", E303))=TRUE), 0, IF(AND(E305=0, E306=0),0, IF(AND(E306=0, E305*12&gt;250000), 0, IF(AND(E305=0, E306&gt;=50), 0, IF(E305*12&lt;=250000, I344*K342*-1, IF(E306&lt;50, I344*K342*-1, 0))))))</f>
        <v>-7.2957295603129095</v>
      </c>
      <c r="L344" s="69">
        <f>K344-H344</f>
        <v>1.9789449187092245E-2</v>
      </c>
      <c r="M344" s="128"/>
    </row>
    <row r="345" spans="1:13" ht="13.5" thickBot="1" x14ac:dyDescent="0.3">
      <c r="A345" s="14" t="str">
        <f t="shared" si="34"/>
        <v>SENTINEL LIGHTING SERVICE CLASSIFICATION</v>
      </c>
      <c r="B345" s="14" t="s">
        <v>88</v>
      </c>
      <c r="C345" s="61">
        <f>B34</f>
        <v>5</v>
      </c>
      <c r="D345" s="181" t="s">
        <v>89</v>
      </c>
      <c r="E345" s="181"/>
      <c r="F345" s="130"/>
      <c r="G345" s="131"/>
      <c r="H345" s="132">
        <f>H342+H343+H344</f>
        <v>63.338638945500016</v>
      </c>
      <c r="I345" s="133"/>
      <c r="J345" s="133"/>
      <c r="K345" s="134">
        <f>K342+K343+K344</f>
        <v>63.16729952646989</v>
      </c>
      <c r="L345" s="135">
        <f>K345-H345</f>
        <v>-0.17133941903012584</v>
      </c>
      <c r="M345" s="136">
        <f>IF((H345)=0,"",(L345/H345))</f>
        <v>-2.705132631245132E-3</v>
      </c>
    </row>
    <row r="346" spans="1:13" ht="13" thickBot="1" x14ac:dyDescent="0.3">
      <c r="A346" s="14" t="str">
        <f t="shared" si="34"/>
        <v>SENTINEL LIGHTING SERVICE CLASSIFICATION</v>
      </c>
      <c r="B346" s="14" t="s">
        <v>15</v>
      </c>
      <c r="C346" s="61"/>
      <c r="D346" s="109"/>
      <c r="E346" s="110"/>
      <c r="F346" s="111"/>
      <c r="G346" s="112"/>
      <c r="H346" s="113"/>
      <c r="I346" s="111"/>
      <c r="J346" s="114"/>
      <c r="K346" s="113"/>
      <c r="L346" s="115"/>
      <c r="M346" s="116"/>
    </row>
    <row r="347" spans="1:13" ht="13" x14ac:dyDescent="0.25">
      <c r="A347" s="14" t="str">
        <f t="shared" si="34"/>
        <v>SENTINEL LIGHTING SERVICE CLASSIFICATION</v>
      </c>
      <c r="B347" s="14" t="s">
        <v>25</v>
      </c>
      <c r="C347" s="61"/>
      <c r="D347" s="117" t="s">
        <v>90</v>
      </c>
      <c r="E347" s="102"/>
      <c r="F347" s="118"/>
      <c r="G347" s="119"/>
      <c r="H347" s="120">
        <f>SUM(H339,H332:H335,H331)</f>
        <v>69.490803499999998</v>
      </c>
      <c r="I347" s="121"/>
      <c r="J347" s="121"/>
      <c r="K347" s="120">
        <f>SUM(K339,K332:K335,K331)</f>
        <v>69.321662908657345</v>
      </c>
      <c r="L347" s="122">
        <f>K347-H347</f>
        <v>-0.16914059134265358</v>
      </c>
      <c r="M347" s="123">
        <f>IF((H347)=0,"",(L347/H347))</f>
        <v>-2.4339996492147853E-3</v>
      </c>
    </row>
    <row r="348" spans="1:13" x14ac:dyDescent="0.25">
      <c r="A348" s="14" t="str">
        <f t="shared" si="34"/>
        <v>SENTINEL LIGHTING SERVICE CLASSIFICATION</v>
      </c>
      <c r="B348" s="14" t="s">
        <v>25</v>
      </c>
      <c r="C348" s="61"/>
      <c r="D348" s="124" t="s">
        <v>86</v>
      </c>
      <c r="E348" s="102"/>
      <c r="F348" s="118">
        <v>0.13</v>
      </c>
      <c r="G348" s="119"/>
      <c r="H348" s="126">
        <f>H347*F348</f>
        <v>9.0338044550000003</v>
      </c>
      <c r="I348" s="118">
        <v>0.13</v>
      </c>
      <c r="J348" s="127"/>
      <c r="K348" s="126">
        <f>K347*I348</f>
        <v>9.0118161781254553</v>
      </c>
      <c r="L348" s="69">
        <f>K348-H348</f>
        <v>-2.1988276874544965E-2</v>
      </c>
      <c r="M348" s="128">
        <f>IF((H348)=0,"",(L348/H348))</f>
        <v>-2.4339996492147853E-3</v>
      </c>
    </row>
    <row r="349" spans="1:13" ht="14.5" x14ac:dyDescent="0.35">
      <c r="A349" s="14" t="str">
        <f t="shared" si="34"/>
        <v>SENTINEL LIGHTING SERVICE CLASSIFICATION</v>
      </c>
      <c r="B349" s="14" t="s">
        <v>25</v>
      </c>
      <c r="C349" s="61"/>
      <c r="D349" s="124" t="s">
        <v>87</v>
      </c>
      <c r="E349"/>
      <c r="F349" s="129">
        <v>0.11700000000000001</v>
      </c>
      <c r="G349" s="119"/>
      <c r="H349" s="126">
        <f>IF(OR(ISNUMBER(SEARCH("[DGEN]", E303))=TRUE, ISNUMBER(SEARCH("STREET LIGHT", E303))=TRUE), 0, IF(AND(E305=0, E306=0),0, IF(AND(E306=0, E305*12&gt;250000), 0, IF(AND(E305=0, E306&gt;=50), 0, IF(E305*12&lt;=250000, F349*H347*-1, IF(E306&lt;50, F349*H347*-1, 0))))))</f>
        <v>-8.1304240095000004</v>
      </c>
      <c r="I349" s="129">
        <v>0.11700000000000001</v>
      </c>
      <c r="J349" s="127"/>
      <c r="K349" s="126">
        <f>IF(OR(ISNUMBER(SEARCH("[DGEN]", E303))=TRUE, ISNUMBER(SEARCH("STREET LIGHT", E303))=TRUE), 0, IF(AND(E305=0, E306=0),0, IF(AND(E306=0, E305*12&gt;250000), 0, IF(AND(E305=0, E306&gt;=50), 0, IF(E305*12&lt;=250000, I349*K347*-1, IF(E306&lt;50, I349*K347*-1, 0))))))</f>
        <v>-8.11063456031291</v>
      </c>
      <c r="L349" s="69"/>
      <c r="M349" s="128"/>
    </row>
    <row r="350" spans="1:13" ht="13.5" thickBot="1" x14ac:dyDescent="0.3">
      <c r="A350" s="14" t="str">
        <f t="shared" si="34"/>
        <v>SENTINEL LIGHTING SERVICE CLASSIFICATION</v>
      </c>
      <c r="B350" s="14" t="s">
        <v>91</v>
      </c>
      <c r="C350" s="61"/>
      <c r="D350" s="181" t="s">
        <v>90</v>
      </c>
      <c r="E350" s="181"/>
      <c r="F350" s="137"/>
      <c r="G350" s="138"/>
      <c r="H350" s="132">
        <f>SUM(H347,H348)</f>
        <v>78.524607954999993</v>
      </c>
      <c r="I350" s="139"/>
      <c r="J350" s="139"/>
      <c r="K350" s="132">
        <f>SUM(K347,K348)</f>
        <v>78.333479086782802</v>
      </c>
      <c r="L350" s="140">
        <f>K350-H350</f>
        <v>-0.19112886821719144</v>
      </c>
      <c r="M350" s="141">
        <f>IF((H350)=0,"",(L350/H350))</f>
        <v>-2.4339996492146951E-3</v>
      </c>
    </row>
    <row r="351" spans="1:13" ht="13" thickBot="1" x14ac:dyDescent="0.3">
      <c r="A351" s="14" t="str">
        <f t="shared" si="34"/>
        <v>SENTINEL LIGHTING SERVICE CLASSIFICATION</v>
      </c>
      <c r="B351" s="14" t="s">
        <v>25</v>
      </c>
      <c r="C351" s="61"/>
      <c r="D351" s="109"/>
      <c r="E351" s="110"/>
      <c r="F351" s="142"/>
      <c r="G351" s="143"/>
      <c r="H351" s="144"/>
      <c r="I351" s="142"/>
      <c r="J351" s="112"/>
      <c r="K351" s="144"/>
      <c r="L351" s="145"/>
      <c r="M351" s="116"/>
    </row>
    <row r="352" spans="1:13" ht="13" x14ac:dyDescent="0.25">
      <c r="A352" s="14" t="str">
        <f t="shared" si="34"/>
        <v>SENTINEL LIGHTING SERVICE CLASSIFICATION</v>
      </c>
      <c r="B352" s="14" t="s">
        <v>20</v>
      </c>
      <c r="C352" s="61"/>
      <c r="D352" s="117" t="s">
        <v>92</v>
      </c>
      <c r="E352" s="102"/>
      <c r="F352" s="118"/>
      <c r="G352" s="119"/>
      <c r="H352" s="120">
        <f>SUM(H340,H332:H335,H331)</f>
        <v>69.490803499999998</v>
      </c>
      <c r="I352" s="121"/>
      <c r="J352" s="121"/>
      <c r="K352" s="120">
        <f>SUM(K340,K332:K335,K331)</f>
        <v>69.321662908657345</v>
      </c>
      <c r="L352" s="122">
        <f>K352-H352</f>
        <v>-0.16914059134265358</v>
      </c>
      <c r="M352" s="123">
        <f>IF((H352)=0,"",(L352/H352))</f>
        <v>-2.4339996492147853E-3</v>
      </c>
    </row>
    <row r="353" spans="1:18" x14ac:dyDescent="0.25">
      <c r="A353" s="14" t="str">
        <f t="shared" si="34"/>
        <v>SENTINEL LIGHTING SERVICE CLASSIFICATION</v>
      </c>
      <c r="B353" s="14" t="s">
        <v>20</v>
      </c>
      <c r="C353" s="61"/>
      <c r="D353" s="124" t="s">
        <v>86</v>
      </c>
      <c r="E353" s="102"/>
      <c r="F353" s="118">
        <v>0.13</v>
      </c>
      <c r="G353" s="119"/>
      <c r="H353" s="126">
        <f>H352*F353</f>
        <v>9.0338044550000003</v>
      </c>
      <c r="I353" s="118">
        <v>0.13</v>
      </c>
      <c r="J353" s="127"/>
      <c r="K353" s="126">
        <f>K352*I353</f>
        <v>9.0118161781254553</v>
      </c>
      <c r="L353" s="69">
        <f>K353-H353</f>
        <v>-2.1988276874544965E-2</v>
      </c>
      <c r="M353" s="128">
        <f>IF((H353)=0,"",(L353/H353))</f>
        <v>-2.4339996492147853E-3</v>
      </c>
    </row>
    <row r="354" spans="1:18" ht="14.5" x14ac:dyDescent="0.35">
      <c r="A354" s="14" t="str">
        <f t="shared" si="34"/>
        <v>SENTINEL LIGHTING SERVICE CLASSIFICATION</v>
      </c>
      <c r="B354" s="14" t="s">
        <v>20</v>
      </c>
      <c r="C354" s="61"/>
      <c r="D354" s="124" t="s">
        <v>87</v>
      </c>
      <c r="E354"/>
      <c r="F354" s="129">
        <v>0.11700000000000001</v>
      </c>
      <c r="G354" s="119"/>
      <c r="H354" s="126">
        <f>IF(OR(ISNUMBER(SEARCH("[DGEN]", E303))=TRUE, ISNUMBER(SEARCH("STREET LIGHT", E303))=TRUE), 0, IF(AND(E305=0, E306=0),0, IF(AND(E306=0, E305*12&gt;250000), 0, IF(AND(E305=0, E306&gt;=50), 0, IF(E305*12&lt;=250000, F354*H352*-1, IF(E306&lt;50, F354*H352*-1, 0))))))</f>
        <v>-8.1304240095000004</v>
      </c>
      <c r="I354" s="129">
        <v>0.11700000000000001</v>
      </c>
      <c r="J354" s="127"/>
      <c r="K354" s="126">
        <f>IF(OR(ISNUMBER(SEARCH("[DGEN]", E303))=TRUE, ISNUMBER(SEARCH("STREET LIGHT", E303))=TRUE), 0, IF(AND(E305=0, E306=0),0, IF(AND(E306=0, E305*12&gt;250000), 0, IF(AND(E305=0, E306&gt;=50), 0, IF(E305*12&lt;=250000, I354*K352*-1, IF(E306&lt;50, I354*K352*-1, 0))))))</f>
        <v>-8.11063456031291</v>
      </c>
      <c r="L354" s="69"/>
      <c r="M354" s="128"/>
    </row>
    <row r="355" spans="1:18" ht="13.5" thickBot="1" x14ac:dyDescent="0.3">
      <c r="A355" s="14" t="str">
        <f t="shared" si="34"/>
        <v>SENTINEL LIGHTING SERVICE CLASSIFICATION</v>
      </c>
      <c r="B355" s="14" t="s">
        <v>93</v>
      </c>
      <c r="C355" s="61"/>
      <c r="D355" s="181" t="s">
        <v>92</v>
      </c>
      <c r="E355" s="181"/>
      <c r="F355" s="137"/>
      <c r="G355" s="138"/>
      <c r="H355" s="132">
        <f>SUM(H352,H353)</f>
        <v>78.524607954999993</v>
      </c>
      <c r="I355" s="139"/>
      <c r="J355" s="139"/>
      <c r="K355" s="132">
        <f>SUM(K352,K353)</f>
        <v>78.333479086782802</v>
      </c>
      <c r="L355" s="140">
        <f>K355-H355</f>
        <v>-0.19112886821719144</v>
      </c>
      <c r="M355" s="141">
        <f>IF((H355)=0,"",(L355/H355))</f>
        <v>-2.4339996492146951E-3</v>
      </c>
    </row>
    <row r="356" spans="1:18" ht="13" thickBot="1" x14ac:dyDescent="0.3">
      <c r="A356" s="14" t="str">
        <f t="shared" si="34"/>
        <v>SENTINEL LIGHTING SERVICE CLASSIFICATION</v>
      </c>
      <c r="B356" s="14" t="s">
        <v>20</v>
      </c>
      <c r="C356" s="61"/>
      <c r="D356" s="109"/>
      <c r="E356" s="110"/>
      <c r="F356" s="146"/>
      <c r="G356" s="143"/>
      <c r="H356" s="147"/>
      <c r="I356" s="146"/>
      <c r="J356" s="112"/>
      <c r="K356" s="147"/>
      <c r="L356" s="145"/>
      <c r="M356" s="148"/>
    </row>
    <row r="359" spans="1:18" ht="13" x14ac:dyDescent="0.25">
      <c r="C359" s="14"/>
      <c r="D359" s="46" t="s">
        <v>39</v>
      </c>
      <c r="E359" s="176" t="str">
        <f>D35</f>
        <v>STREET LIGHTING SERVICE CLASSIFICATION</v>
      </c>
      <c r="F359" s="176"/>
      <c r="G359" s="176"/>
      <c r="H359" s="176"/>
      <c r="I359" s="176"/>
      <c r="J359" s="176"/>
      <c r="K359" s="14" t="str">
        <f>IF(N35="DEMAND - INTERVAL","RTSR - INTERVAL METERED","")</f>
        <v/>
      </c>
      <c r="R359" s="14" t="s">
        <v>29</v>
      </c>
    </row>
    <row r="360" spans="1:18" ht="13" x14ac:dyDescent="0.25">
      <c r="C360" s="14"/>
      <c r="D360" s="46" t="s">
        <v>40</v>
      </c>
      <c r="E360" s="177" t="str">
        <f>H35</f>
        <v>Non-RPP (Retailer)</v>
      </c>
      <c r="F360" s="177"/>
      <c r="G360" s="177"/>
      <c r="H360" s="47"/>
      <c r="I360" s="47"/>
    </row>
    <row r="361" spans="1:18" ht="15.5" x14ac:dyDescent="0.3">
      <c r="C361" s="14"/>
      <c r="D361" s="46" t="s">
        <v>41</v>
      </c>
      <c r="E361" s="48">
        <f>K35</f>
        <v>200000</v>
      </c>
      <c r="F361" s="49" t="s">
        <v>14</v>
      </c>
      <c r="J361" s="50"/>
      <c r="K361" s="50"/>
      <c r="L361" s="50"/>
      <c r="M361" s="50"/>
    </row>
    <row r="362" spans="1:18" ht="15.5" x14ac:dyDescent="0.35">
      <c r="C362" s="14"/>
      <c r="D362" s="46" t="s">
        <v>42</v>
      </c>
      <c r="E362" s="48">
        <f>L35</f>
        <v>590</v>
      </c>
      <c r="F362" s="51" t="s">
        <v>19</v>
      </c>
      <c r="G362" s="52"/>
      <c r="H362" s="53"/>
      <c r="I362" s="53"/>
      <c r="J362" s="53"/>
    </row>
    <row r="363" spans="1:18" ht="13" x14ac:dyDescent="0.3">
      <c r="C363" s="14"/>
      <c r="D363" s="46" t="s">
        <v>43</v>
      </c>
      <c r="E363" s="54">
        <f>I35</f>
        <v>1.0561</v>
      </c>
    </row>
    <row r="364" spans="1:18" ht="13" x14ac:dyDescent="0.3">
      <c r="C364" s="14"/>
      <c r="D364" s="46" t="s">
        <v>44</v>
      </c>
      <c r="E364" s="54">
        <f>J35</f>
        <v>1.0561</v>
      </c>
    </row>
    <row r="365" spans="1:18" x14ac:dyDescent="0.25">
      <c r="C365" s="14"/>
    </row>
    <row r="366" spans="1:18" ht="13" x14ac:dyDescent="0.3">
      <c r="C366" s="14"/>
      <c r="E366" s="49"/>
      <c r="F366" s="178" t="s">
        <v>45</v>
      </c>
      <c r="G366" s="179"/>
      <c r="H366" s="180"/>
      <c r="I366" s="178" t="s">
        <v>46</v>
      </c>
      <c r="J366" s="179"/>
      <c r="K366" s="180"/>
      <c r="L366" s="178" t="s">
        <v>47</v>
      </c>
      <c r="M366" s="180"/>
    </row>
    <row r="367" spans="1:18" ht="13" x14ac:dyDescent="0.3">
      <c r="C367" s="14"/>
      <c r="E367" s="182"/>
      <c r="F367" s="56" t="s">
        <v>48</v>
      </c>
      <c r="G367" s="56" t="s">
        <v>49</v>
      </c>
      <c r="H367" s="57" t="s">
        <v>50</v>
      </c>
      <c r="I367" s="56" t="s">
        <v>48</v>
      </c>
      <c r="J367" s="58" t="s">
        <v>49</v>
      </c>
      <c r="K367" s="57" t="s">
        <v>50</v>
      </c>
      <c r="L367" s="184" t="s">
        <v>51</v>
      </c>
      <c r="M367" s="186" t="s">
        <v>52</v>
      </c>
    </row>
    <row r="368" spans="1:18" ht="13" x14ac:dyDescent="0.3">
      <c r="C368" s="14"/>
      <c r="E368" s="183"/>
      <c r="F368" s="59" t="s">
        <v>53</v>
      </c>
      <c r="G368" s="59"/>
      <c r="H368" s="60" t="s">
        <v>53</v>
      </c>
      <c r="I368" s="59" t="s">
        <v>53</v>
      </c>
      <c r="J368" s="60"/>
      <c r="K368" s="60" t="s">
        <v>53</v>
      </c>
      <c r="L368" s="185"/>
      <c r="M368" s="187"/>
    </row>
    <row r="369" spans="1:13" ht="13" x14ac:dyDescent="0.25">
      <c r="A369" s="14" t="str">
        <f>$E359</f>
        <v>STREET LIGHTING SERVICE CLASSIFICATION</v>
      </c>
      <c r="C369" s="61"/>
      <c r="D369" s="55" t="s">
        <v>54</v>
      </c>
      <c r="E369" s="62"/>
      <c r="F369" s="63">
        <v>4.5599999999999996</v>
      </c>
      <c r="G369" s="64">
        <v>3760</v>
      </c>
      <c r="H369" s="65">
        <f>G369*F369</f>
        <v>17145.599999999999</v>
      </c>
      <c r="I369" s="66">
        <v>4.5599999999999996</v>
      </c>
      <c r="J369" s="67">
        <v>3760</v>
      </c>
      <c r="K369" s="68">
        <f>J369*I369</f>
        <v>17145.599999999999</v>
      </c>
      <c r="L369" s="69">
        <f>K369-H369</f>
        <v>0</v>
      </c>
      <c r="M369" s="70">
        <f>IF(ISERROR(L369/H369), "", L369/H369)</f>
        <v>0</v>
      </c>
    </row>
    <row r="370" spans="1:13" ht="13" x14ac:dyDescent="0.25">
      <c r="A370" s="14" t="str">
        <f t="shared" ref="A370:A412" si="39">A369</f>
        <v>STREET LIGHTING SERVICE CLASSIFICATION</v>
      </c>
      <c r="C370" s="61"/>
      <c r="D370" s="55" t="s">
        <v>55</v>
      </c>
      <c r="E370" s="62"/>
      <c r="F370" s="71">
        <v>15.1656</v>
      </c>
      <c r="G370" s="64">
        <f>IF($E362&gt;0, $E362, $E361)</f>
        <v>590</v>
      </c>
      <c r="H370" s="65">
        <f>G370*F370</f>
        <v>8947.7039999999997</v>
      </c>
      <c r="I370" s="72">
        <v>15.1656</v>
      </c>
      <c r="J370" s="67">
        <f>IF($E362&gt;0, $E362, $E361)</f>
        <v>590</v>
      </c>
      <c r="K370" s="68">
        <f>J370*I370</f>
        <v>8947.7039999999997</v>
      </c>
      <c r="L370" s="69">
        <f>K370-H370</f>
        <v>0</v>
      </c>
      <c r="M370" s="70">
        <f>IF(ISERROR(L370/H370), "", L370/H370)</f>
        <v>0</v>
      </c>
    </row>
    <row r="371" spans="1:13" ht="13" x14ac:dyDescent="0.25">
      <c r="A371" s="14" t="str">
        <f t="shared" si="39"/>
        <v>STREET LIGHTING SERVICE CLASSIFICATION</v>
      </c>
      <c r="C371" s="61"/>
      <c r="D371" s="55" t="s">
        <v>56</v>
      </c>
      <c r="E371" s="62"/>
      <c r="F371" s="71"/>
      <c r="G371" s="64">
        <f>IF($E362&gt;0, $E362, $E361)</f>
        <v>590</v>
      </c>
      <c r="H371" s="65">
        <v>0</v>
      </c>
      <c r="I371" s="72"/>
      <c r="J371" s="67">
        <f>IF($E362&gt;0, $E362, $E361)</f>
        <v>590</v>
      </c>
      <c r="K371" s="68">
        <v>0</v>
      </c>
      <c r="L371" s="69"/>
      <c r="M371" s="70"/>
    </row>
    <row r="372" spans="1:13" ht="13" x14ac:dyDescent="0.25">
      <c r="A372" s="14" t="str">
        <f t="shared" si="39"/>
        <v>STREET LIGHTING SERVICE CLASSIFICATION</v>
      </c>
      <c r="C372" s="61"/>
      <c r="D372" s="55" t="s">
        <v>57</v>
      </c>
      <c r="E372" s="62"/>
      <c r="F372" s="71"/>
      <c r="G372" s="64">
        <f>IF($E362&gt;0, $E362, $E361)</f>
        <v>590</v>
      </c>
      <c r="H372" s="65">
        <v>0</v>
      </c>
      <c r="I372" s="72"/>
      <c r="J372" s="73">
        <f>IF($E362&gt;0, $E362, $E361)</f>
        <v>590</v>
      </c>
      <c r="K372" s="68">
        <v>0</v>
      </c>
      <c r="L372" s="69">
        <f t="shared" ref="L372:L389" si="40">K372-H372</f>
        <v>0</v>
      </c>
      <c r="M372" s="70" t="str">
        <f>IF(ISERROR(L372/H372), "", L372/H372)</f>
        <v/>
      </c>
    </row>
    <row r="373" spans="1:13" ht="13" x14ac:dyDescent="0.25">
      <c r="A373" s="14" t="str">
        <f t="shared" si="39"/>
        <v>STREET LIGHTING SERVICE CLASSIFICATION</v>
      </c>
      <c r="C373" s="61"/>
      <c r="D373" s="55" t="s">
        <v>58</v>
      </c>
      <c r="E373" s="62"/>
      <c r="F373" s="63">
        <v>0</v>
      </c>
      <c r="G373" s="64">
        <v>3760</v>
      </c>
      <c r="H373" s="65">
        <f>G373*F373</f>
        <v>0</v>
      </c>
      <c r="I373" s="66">
        <v>0</v>
      </c>
      <c r="J373" s="67">
        <v>3760</v>
      </c>
      <c r="K373" s="68">
        <f>J373*I373</f>
        <v>0</v>
      </c>
      <c r="L373" s="69">
        <f t="shared" si="40"/>
        <v>0</v>
      </c>
      <c r="M373" s="70" t="str">
        <f>IF(ISERROR(L373/H373), "", L373/H373)</f>
        <v/>
      </c>
    </row>
    <row r="374" spans="1:13" ht="13" x14ac:dyDescent="0.25">
      <c r="A374" s="14" t="str">
        <f t="shared" si="39"/>
        <v>STREET LIGHTING SERVICE CLASSIFICATION</v>
      </c>
      <c r="C374" s="61"/>
      <c r="D374" s="55" t="s">
        <v>59</v>
      </c>
      <c r="E374" s="62"/>
      <c r="F374" s="71">
        <v>-11.892199999999999</v>
      </c>
      <c r="G374" s="64">
        <f>IF($E362&gt;0, $E362, $E361)</f>
        <v>590</v>
      </c>
      <c r="H374" s="65">
        <f>G374*F374</f>
        <v>-7016.3979999999992</v>
      </c>
      <c r="I374" s="72">
        <v>0</v>
      </c>
      <c r="J374" s="67">
        <f>IF($E362&gt;0, $E362, $E361)</f>
        <v>590</v>
      </c>
      <c r="K374" s="68">
        <f>J374*I374</f>
        <v>0</v>
      </c>
      <c r="L374" s="69">
        <f t="shared" si="40"/>
        <v>7016.3979999999992</v>
      </c>
      <c r="M374" s="70">
        <f>IF(ISERROR(L374/H374), "", IF(H374&lt;0,(K374-(H374))/ABS(H374),L374/H374))</f>
        <v>1</v>
      </c>
    </row>
    <row r="375" spans="1:13" ht="13" x14ac:dyDescent="0.25">
      <c r="A375" s="14" t="str">
        <f t="shared" si="39"/>
        <v>STREET LIGHTING SERVICE CLASSIFICATION</v>
      </c>
      <c r="B375" s="14" t="s">
        <v>60</v>
      </c>
      <c r="C375" s="61">
        <f>B35</f>
        <v>6</v>
      </c>
      <c r="D375" s="74" t="s">
        <v>61</v>
      </c>
      <c r="E375" s="75"/>
      <c r="F375" s="76"/>
      <c r="G375" s="77"/>
      <c r="H375" s="78">
        <f>SUM(H369:H374)</f>
        <v>19076.905999999995</v>
      </c>
      <c r="I375" s="79"/>
      <c r="J375" s="80"/>
      <c r="K375" s="78">
        <f>SUM(K369:K374)</f>
        <v>26093.303999999996</v>
      </c>
      <c r="L375" s="81">
        <f t="shared" si="40"/>
        <v>7016.398000000001</v>
      </c>
      <c r="M375" s="82">
        <f>IF((H375)=0,"",(L375/H375))</f>
        <v>0.36779538568780507</v>
      </c>
    </row>
    <row r="376" spans="1:13" ht="13" x14ac:dyDescent="0.25">
      <c r="A376" s="14" t="str">
        <f t="shared" si="39"/>
        <v>STREET LIGHTING SERVICE CLASSIFICATION</v>
      </c>
      <c r="C376" s="61"/>
      <c r="D376" s="83" t="s">
        <v>62</v>
      </c>
      <c r="E376" s="62"/>
      <c r="F376" s="71">
        <v>0</v>
      </c>
      <c r="G376" s="84">
        <f>IF(F376=0, 0, $E361*E363-E361)</f>
        <v>0</v>
      </c>
      <c r="H376" s="65">
        <f t="shared" ref="H376:H383" si="41">G376*F376</f>
        <v>0</v>
      </c>
      <c r="I376" s="72">
        <v>0</v>
      </c>
      <c r="J376" s="85">
        <f>IF(I376=0, 0, E361*E364-E361)</f>
        <v>0</v>
      </c>
      <c r="K376" s="68">
        <f t="shared" ref="K376:K383" si="42">J376*I376</f>
        <v>0</v>
      </c>
      <c r="L376" s="69">
        <f t="shared" si="40"/>
        <v>0</v>
      </c>
      <c r="M376" s="70" t="str">
        <f t="shared" ref="M376:M383" si="43">IF(ISERROR(L376/H376), "", L376/H376)</f>
        <v/>
      </c>
    </row>
    <row r="377" spans="1:13" ht="25" x14ac:dyDescent="0.25">
      <c r="A377" s="14" t="str">
        <f t="shared" si="39"/>
        <v>STREET LIGHTING SERVICE CLASSIFICATION</v>
      </c>
      <c r="C377" s="61"/>
      <c r="D377" s="83" t="s">
        <v>63</v>
      </c>
      <c r="E377" s="62"/>
      <c r="F377" s="71">
        <v>1.3733</v>
      </c>
      <c r="G377" s="86">
        <f>IF($E362&gt;0, $E362, $E361)</f>
        <v>590</v>
      </c>
      <c r="H377" s="65">
        <f t="shared" si="41"/>
        <v>810.24699999999996</v>
      </c>
      <c r="I377" s="72">
        <v>0.371</v>
      </c>
      <c r="J377" s="87">
        <f>IF($E362&gt;0, $E362, $E361)</f>
        <v>590</v>
      </c>
      <c r="K377" s="68">
        <f t="shared" si="42"/>
        <v>218.89</v>
      </c>
      <c r="L377" s="69">
        <f t="shared" si="40"/>
        <v>-591.35699999999997</v>
      </c>
      <c r="M377" s="70">
        <f t="shared" si="43"/>
        <v>-0.72984781184009317</v>
      </c>
    </row>
    <row r="378" spans="1:13" ht="13" x14ac:dyDescent="0.25">
      <c r="A378" s="14" t="str">
        <f t="shared" si="39"/>
        <v>STREET LIGHTING SERVICE CLASSIFICATION</v>
      </c>
      <c r="C378" s="61"/>
      <c r="D378" s="83" t="s">
        <v>64</v>
      </c>
      <c r="E378" s="62"/>
      <c r="F378" s="71">
        <v>-0.1308</v>
      </c>
      <c r="G378" s="86">
        <f>IF($E362&gt;0, $E362, $E361)</f>
        <v>590</v>
      </c>
      <c r="H378" s="65">
        <f t="shared" si="41"/>
        <v>-77.171999999999997</v>
      </c>
      <c r="I378" s="72">
        <v>-5.1499999999999997E-2</v>
      </c>
      <c r="J378" s="87">
        <f>IF($E362&gt;0, $E362, $E361)</f>
        <v>590</v>
      </c>
      <c r="K378" s="68">
        <f t="shared" si="42"/>
        <v>-30.384999999999998</v>
      </c>
      <c r="L378" s="69">
        <f t="shared" si="40"/>
        <v>46.786999999999999</v>
      </c>
      <c r="M378" s="70">
        <f>IF(ISERROR(L378/H378), "", IF(H378&lt;0,(K378-(H378))/ABS(H378),L378/H378))</f>
        <v>0.60626911314984711</v>
      </c>
    </row>
    <row r="379" spans="1:13" ht="13" x14ac:dyDescent="0.25">
      <c r="A379" s="14" t="str">
        <f t="shared" si="39"/>
        <v>STREET LIGHTING SERVICE CLASSIFICATION</v>
      </c>
      <c r="C379" s="61"/>
      <c r="D379" s="83" t="s">
        <v>65</v>
      </c>
      <c r="E379" s="62"/>
      <c r="F379" s="71">
        <v>4.3E-3</v>
      </c>
      <c r="G379" s="86">
        <f>E361</f>
        <v>200000</v>
      </c>
      <c r="H379" s="65">
        <f t="shared" si="41"/>
        <v>860</v>
      </c>
      <c r="I379" s="72">
        <v>-8.9999999999999993E-3</v>
      </c>
      <c r="J379" s="87">
        <f>E361</f>
        <v>200000</v>
      </c>
      <c r="K379" s="68">
        <f t="shared" si="42"/>
        <v>-1799.9999999999998</v>
      </c>
      <c r="L379" s="69">
        <f t="shared" si="40"/>
        <v>-2660</v>
      </c>
      <c r="M379" s="70">
        <f t="shared" si="43"/>
        <v>-3.0930232558139537</v>
      </c>
    </row>
    <row r="380" spans="1:13" ht="13" x14ac:dyDescent="0.25">
      <c r="A380" s="14" t="str">
        <f t="shared" si="39"/>
        <v>STREET LIGHTING SERVICE CLASSIFICATION</v>
      </c>
      <c r="C380" s="61"/>
      <c r="D380" s="55" t="s">
        <v>66</v>
      </c>
      <c r="E380" s="62"/>
      <c r="F380" s="71">
        <v>0.1663</v>
      </c>
      <c r="G380" s="86">
        <f>IF($E362&gt;0, $E362, $E361)</f>
        <v>590</v>
      </c>
      <c r="H380" s="65">
        <f t="shared" si="41"/>
        <v>98.117000000000004</v>
      </c>
      <c r="I380" s="72">
        <v>0.20726799127225168</v>
      </c>
      <c r="J380" s="87">
        <f>IF($E362&gt;0, $E362, $E361)</f>
        <v>590</v>
      </c>
      <c r="K380" s="68">
        <f t="shared" si="42"/>
        <v>122.28811485062849</v>
      </c>
      <c r="L380" s="69">
        <f t="shared" si="40"/>
        <v>24.171114850628484</v>
      </c>
      <c r="M380" s="70">
        <f t="shared" si="43"/>
        <v>0.24634991745190418</v>
      </c>
    </row>
    <row r="381" spans="1:13" ht="13" x14ac:dyDescent="0.25">
      <c r="A381" s="14" t="str">
        <f t="shared" si="39"/>
        <v>STREET LIGHTING SERVICE CLASSIFICATION</v>
      </c>
      <c r="C381" s="61"/>
      <c r="D381" s="83" t="s">
        <v>67</v>
      </c>
      <c r="E381" s="62"/>
      <c r="F381" s="88">
        <v>0</v>
      </c>
      <c r="G381" s="64">
        <v>3760</v>
      </c>
      <c r="H381" s="65">
        <f t="shared" si="41"/>
        <v>0</v>
      </c>
      <c r="I381" s="89">
        <v>0</v>
      </c>
      <c r="J381" s="73">
        <v>3760</v>
      </c>
      <c r="K381" s="68">
        <f t="shared" si="42"/>
        <v>0</v>
      </c>
      <c r="L381" s="69">
        <f t="shared" si="40"/>
        <v>0</v>
      </c>
      <c r="M381" s="70" t="str">
        <f t="shared" si="43"/>
        <v/>
      </c>
    </row>
    <row r="382" spans="1:13" ht="13" x14ac:dyDescent="0.25">
      <c r="A382" s="14" t="str">
        <f t="shared" si="39"/>
        <v>STREET LIGHTING SERVICE CLASSIFICATION</v>
      </c>
      <c r="C382" s="61"/>
      <c r="D382" s="55" t="s">
        <v>68</v>
      </c>
      <c r="E382" s="62"/>
      <c r="F382" s="63">
        <v>0</v>
      </c>
      <c r="G382" s="64">
        <v>3760</v>
      </c>
      <c r="H382" s="65">
        <f t="shared" si="41"/>
        <v>0</v>
      </c>
      <c r="I382" s="66">
        <v>0</v>
      </c>
      <c r="J382" s="73">
        <v>3760</v>
      </c>
      <c r="K382" s="68">
        <f t="shared" si="42"/>
        <v>0</v>
      </c>
      <c r="L382" s="69">
        <f t="shared" si="40"/>
        <v>0</v>
      </c>
      <c r="M382" s="70" t="str">
        <f t="shared" si="43"/>
        <v/>
      </c>
    </row>
    <row r="383" spans="1:13" ht="13" x14ac:dyDescent="0.25">
      <c r="A383" s="14" t="str">
        <f t="shared" si="39"/>
        <v>STREET LIGHTING SERVICE CLASSIFICATION</v>
      </c>
      <c r="C383" s="61"/>
      <c r="D383" s="55" t="s">
        <v>69</v>
      </c>
      <c r="E383" s="62"/>
      <c r="F383" s="71">
        <v>0</v>
      </c>
      <c r="G383" s="86">
        <f>IF($E362&gt;0, $E362, $E361)</f>
        <v>590</v>
      </c>
      <c r="H383" s="65">
        <f t="shared" si="41"/>
        <v>0</v>
      </c>
      <c r="I383" s="72">
        <v>0</v>
      </c>
      <c r="J383" s="87">
        <f>IF($E362&gt;0, $E362, $E361)</f>
        <v>590</v>
      </c>
      <c r="K383" s="68">
        <f t="shared" si="42"/>
        <v>0</v>
      </c>
      <c r="L383" s="69">
        <f t="shared" si="40"/>
        <v>0</v>
      </c>
      <c r="M383" s="70" t="str">
        <f t="shared" si="43"/>
        <v/>
      </c>
    </row>
    <row r="384" spans="1:13" ht="26" x14ac:dyDescent="0.25">
      <c r="A384" s="14" t="str">
        <f t="shared" si="39"/>
        <v>STREET LIGHTING SERVICE CLASSIFICATION</v>
      </c>
      <c r="B384" s="14" t="s">
        <v>70</v>
      </c>
      <c r="C384" s="61">
        <f>B35</f>
        <v>6</v>
      </c>
      <c r="D384" s="90" t="s">
        <v>71</v>
      </c>
      <c r="E384" s="91"/>
      <c r="F384" s="92"/>
      <c r="G384" s="93"/>
      <c r="H384" s="94">
        <f>SUM(H375:H383)</f>
        <v>20768.097999999994</v>
      </c>
      <c r="I384" s="95"/>
      <c r="J384" s="96"/>
      <c r="K384" s="94">
        <f>SUM(K375:K383)</f>
        <v>24604.097114850625</v>
      </c>
      <c r="L384" s="81">
        <f t="shared" si="40"/>
        <v>3835.9991148506306</v>
      </c>
      <c r="M384" s="82">
        <f>IF((H384)=0,"",(L384/H384))</f>
        <v>0.18470632769792553</v>
      </c>
    </row>
    <row r="385" spans="1:13" ht="13" x14ac:dyDescent="0.25">
      <c r="A385" s="14" t="str">
        <f t="shared" si="39"/>
        <v>STREET LIGHTING SERVICE CLASSIFICATION</v>
      </c>
      <c r="C385" s="61"/>
      <c r="D385" s="97" t="s">
        <v>72</v>
      </c>
      <c r="E385" s="62"/>
      <c r="F385" s="71">
        <v>2.5339999999999998</v>
      </c>
      <c r="G385" s="84">
        <f>IF($E362&gt;0, $E362, $E361*$E363)</f>
        <v>590</v>
      </c>
      <c r="H385" s="65">
        <f>G385*F385</f>
        <v>1495.06</v>
      </c>
      <c r="I385" s="98">
        <v>2.5406</v>
      </c>
      <c r="J385" s="85">
        <f>IF($E362&gt;0, $E362, $E361*$E364)</f>
        <v>590</v>
      </c>
      <c r="K385" s="68">
        <f>J385*I385</f>
        <v>1498.954</v>
      </c>
      <c r="L385" s="69">
        <f t="shared" si="40"/>
        <v>3.8940000000000055</v>
      </c>
      <c r="M385" s="70">
        <f>IF(ISERROR(L385/H385), "", L385/H385)</f>
        <v>2.6045777426992934E-3</v>
      </c>
    </row>
    <row r="386" spans="1:13" ht="25" x14ac:dyDescent="0.25">
      <c r="A386" s="14" t="str">
        <f t="shared" si="39"/>
        <v>STREET LIGHTING SERVICE CLASSIFICATION</v>
      </c>
      <c r="C386" s="61"/>
      <c r="D386" s="99" t="s">
        <v>73</v>
      </c>
      <c r="E386" s="62"/>
      <c r="F386" s="71">
        <v>1.913</v>
      </c>
      <c r="G386" s="84">
        <f>IF($E362&gt;0, $E362, $E361*$E363)</f>
        <v>590</v>
      </c>
      <c r="H386" s="65">
        <f>G386*F386</f>
        <v>1128.67</v>
      </c>
      <c r="I386" s="98">
        <v>1.9172</v>
      </c>
      <c r="J386" s="85">
        <f>IF($E362&gt;0, $E362, $E361*$E364)</f>
        <v>590</v>
      </c>
      <c r="K386" s="68">
        <f>J386*I386</f>
        <v>1131.1479999999999</v>
      </c>
      <c r="L386" s="69">
        <f t="shared" si="40"/>
        <v>2.4779999999998381</v>
      </c>
      <c r="M386" s="70">
        <f>IF(ISERROR(L386/H386), "", L386/H386)</f>
        <v>2.1955044432826584E-3</v>
      </c>
    </row>
    <row r="387" spans="1:13" ht="26" x14ac:dyDescent="0.25">
      <c r="A387" s="14" t="str">
        <f t="shared" si="39"/>
        <v>STREET LIGHTING SERVICE CLASSIFICATION</v>
      </c>
      <c r="B387" s="14" t="s">
        <v>74</v>
      </c>
      <c r="C387" s="61">
        <f>B35</f>
        <v>6</v>
      </c>
      <c r="D387" s="90" t="s">
        <v>75</v>
      </c>
      <c r="E387" s="75"/>
      <c r="F387" s="92"/>
      <c r="G387" s="93"/>
      <c r="H387" s="94">
        <f>SUM(H384:H386)</f>
        <v>23391.827999999994</v>
      </c>
      <c r="I387" s="95"/>
      <c r="J387" s="80"/>
      <c r="K387" s="94">
        <f>SUM(K384:K386)</f>
        <v>27234.199114850628</v>
      </c>
      <c r="L387" s="81">
        <f t="shared" si="40"/>
        <v>3842.3711148506336</v>
      </c>
      <c r="M387" s="82">
        <f>IF((H387)=0,"",(L387/H387))</f>
        <v>0.16426125888283014</v>
      </c>
    </row>
    <row r="388" spans="1:13" ht="25" x14ac:dyDescent="0.25">
      <c r="A388" s="14" t="str">
        <f t="shared" si="39"/>
        <v>STREET LIGHTING SERVICE CLASSIFICATION</v>
      </c>
      <c r="C388" s="61"/>
      <c r="D388" s="100" t="s">
        <v>76</v>
      </c>
      <c r="E388" s="62"/>
      <c r="F388" s="71">
        <v>4.5000000000000005E-3</v>
      </c>
      <c r="G388" s="84">
        <f>E361*E363</f>
        <v>211220</v>
      </c>
      <c r="H388" s="101">
        <f>G388*F388</f>
        <v>950.49000000000012</v>
      </c>
      <c r="I388" s="72">
        <v>4.5000000000000005E-3</v>
      </c>
      <c r="J388" s="85">
        <f>E361*E364</f>
        <v>211220</v>
      </c>
      <c r="K388" s="68">
        <f>J388*I388</f>
        <v>950.49000000000012</v>
      </c>
      <c r="L388" s="69">
        <f t="shared" si="40"/>
        <v>0</v>
      </c>
      <c r="M388" s="70">
        <f>IF(ISERROR(L388/H388), "", L388/H388)</f>
        <v>0</v>
      </c>
    </row>
    <row r="389" spans="1:13" ht="25" x14ac:dyDescent="0.25">
      <c r="A389" s="14" t="str">
        <f t="shared" si="39"/>
        <v>STREET LIGHTING SERVICE CLASSIFICATION</v>
      </c>
      <c r="C389" s="61"/>
      <c r="D389" s="100" t="s">
        <v>77</v>
      </c>
      <c r="E389" s="62"/>
      <c r="F389" s="71">
        <v>6.9999999999999999E-4</v>
      </c>
      <c r="G389" s="84">
        <f>E361*E363</f>
        <v>211220</v>
      </c>
      <c r="H389" s="101">
        <f>G389*F389</f>
        <v>147.85399999999998</v>
      </c>
      <c r="I389" s="72">
        <v>6.9999999999999999E-4</v>
      </c>
      <c r="J389" s="85">
        <f>E361*E364</f>
        <v>211220</v>
      </c>
      <c r="K389" s="68">
        <f>J389*I389</f>
        <v>147.85399999999998</v>
      </c>
      <c r="L389" s="69">
        <f t="shared" si="40"/>
        <v>0</v>
      </c>
      <c r="M389" s="70">
        <f>IF(ISERROR(L389/H389), "", L389/H389)</f>
        <v>0</v>
      </c>
    </row>
    <row r="390" spans="1:13" ht="13" x14ac:dyDescent="0.25">
      <c r="A390" s="14" t="str">
        <f t="shared" si="39"/>
        <v>STREET LIGHTING SERVICE CLASSIFICATION</v>
      </c>
      <c r="C390" s="61"/>
      <c r="D390" s="102" t="s">
        <v>78</v>
      </c>
      <c r="E390" s="62"/>
      <c r="F390" s="149"/>
      <c r="G390" s="150"/>
      <c r="H390" s="151"/>
      <c r="I390" s="152"/>
      <c r="J390" s="153"/>
      <c r="K390" s="154"/>
      <c r="L390" s="155"/>
      <c r="M390" s="156"/>
    </row>
    <row r="391" spans="1:13" ht="25" x14ac:dyDescent="0.25">
      <c r="A391" s="14" t="str">
        <f t="shared" si="39"/>
        <v>STREET LIGHTING SERVICE CLASSIFICATION</v>
      </c>
      <c r="C391" s="61"/>
      <c r="D391" s="100" t="s">
        <v>79</v>
      </c>
      <c r="E391" s="62"/>
      <c r="F391" s="71"/>
      <c r="G391" s="84"/>
      <c r="H391" s="101"/>
      <c r="I391" s="72"/>
      <c r="J391" s="85"/>
      <c r="K391" s="68"/>
      <c r="L391" s="69"/>
      <c r="M391" s="70"/>
    </row>
    <row r="392" spans="1:13" ht="13" x14ac:dyDescent="0.25">
      <c r="A392" s="14" t="str">
        <f t="shared" si="39"/>
        <v>STREET LIGHTING SERVICE CLASSIFICATION</v>
      </c>
      <c r="B392" s="14" t="s">
        <v>15</v>
      </c>
      <c r="C392" s="61"/>
      <c r="D392" s="102" t="s">
        <v>80</v>
      </c>
      <c r="E392" s="62"/>
      <c r="F392" s="103">
        <v>7.3999999999999996E-2</v>
      </c>
      <c r="G392" s="104">
        <v>133068.6</v>
      </c>
      <c r="H392" s="101">
        <f>G392*F392</f>
        <v>9847.0763999999999</v>
      </c>
      <c r="I392" s="105">
        <v>7.3999999999999996E-2</v>
      </c>
      <c r="J392" s="106">
        <v>133068.6</v>
      </c>
      <c r="K392" s="68">
        <f>J392*I392</f>
        <v>9847.0763999999999</v>
      </c>
      <c r="L392" s="69">
        <f>K392-H392</f>
        <v>0</v>
      </c>
      <c r="M392" s="70">
        <f>IF(ISERROR(L392/H392), "", L392/H392)</f>
        <v>0</v>
      </c>
    </row>
    <row r="393" spans="1:13" ht="13" x14ac:dyDescent="0.25">
      <c r="A393" s="14" t="str">
        <f t="shared" si="39"/>
        <v>STREET LIGHTING SERVICE CLASSIFICATION</v>
      </c>
      <c r="B393" s="14" t="s">
        <v>15</v>
      </c>
      <c r="C393" s="61"/>
      <c r="D393" s="102" t="s">
        <v>81</v>
      </c>
      <c r="E393" s="62"/>
      <c r="F393" s="103">
        <v>0.10199999999999999</v>
      </c>
      <c r="G393" s="104">
        <v>38019.599999999999</v>
      </c>
      <c r="H393" s="101">
        <f>G393*F393</f>
        <v>3877.9991999999997</v>
      </c>
      <c r="I393" s="105">
        <v>0.10199999999999999</v>
      </c>
      <c r="J393" s="106">
        <v>38019.599999999999</v>
      </c>
      <c r="K393" s="68">
        <f>J393*I393</f>
        <v>3877.9991999999997</v>
      </c>
      <c r="L393" s="69">
        <f>K393-H393</f>
        <v>0</v>
      </c>
      <c r="M393" s="70">
        <f>IF(ISERROR(L393/H393), "", L393/H393)</f>
        <v>0</v>
      </c>
    </row>
    <row r="394" spans="1:13" ht="13" x14ac:dyDescent="0.25">
      <c r="A394" s="14" t="str">
        <f t="shared" si="39"/>
        <v>STREET LIGHTING SERVICE CLASSIFICATION</v>
      </c>
      <c r="B394" s="14" t="s">
        <v>15</v>
      </c>
      <c r="C394" s="61"/>
      <c r="D394" s="14" t="s">
        <v>82</v>
      </c>
      <c r="E394" s="62"/>
      <c r="F394" s="103">
        <v>0.151</v>
      </c>
      <c r="G394" s="104">
        <v>40131.800000000003</v>
      </c>
      <c r="H394" s="101">
        <f>G394*F394</f>
        <v>6059.9018000000005</v>
      </c>
      <c r="I394" s="105">
        <v>0.151</v>
      </c>
      <c r="J394" s="106">
        <v>40131.800000000003</v>
      </c>
      <c r="K394" s="68">
        <f>J394*I394</f>
        <v>6059.9018000000005</v>
      </c>
      <c r="L394" s="69">
        <f>K394-H394</f>
        <v>0</v>
      </c>
      <c r="M394" s="70">
        <f>IF(ISERROR(L394/H394), "", L394/H394)</f>
        <v>0</v>
      </c>
    </row>
    <row r="395" spans="1:13" ht="13" x14ac:dyDescent="0.25">
      <c r="A395" s="14" t="str">
        <f t="shared" si="39"/>
        <v>STREET LIGHTING SERVICE CLASSIFICATION</v>
      </c>
      <c r="B395" s="14" t="s">
        <v>25</v>
      </c>
      <c r="C395" s="61"/>
      <c r="D395" s="102" t="s">
        <v>83</v>
      </c>
      <c r="E395" s="62"/>
      <c r="F395" s="107">
        <v>0.1076</v>
      </c>
      <c r="G395" s="104">
        <f>IF(AND(E361*12&gt;=150000),E361*E363,E361)</f>
        <v>211220</v>
      </c>
      <c r="H395" s="101">
        <f>G395*F395</f>
        <v>22727.272000000001</v>
      </c>
      <c r="I395" s="108">
        <f>F395</f>
        <v>0.1076</v>
      </c>
      <c r="J395" s="106">
        <f>IF(AND(E361*12&gt;=150000),E361*E364,E361)</f>
        <v>211220</v>
      </c>
      <c r="K395" s="68">
        <f>J395*I395</f>
        <v>22727.272000000001</v>
      </c>
      <c r="L395" s="69">
        <f>K395-H395</f>
        <v>0</v>
      </c>
      <c r="M395" s="70">
        <f>IF(ISERROR(L395/H395), "", L395/H395)</f>
        <v>0</v>
      </c>
    </row>
    <row r="396" spans="1:13" ht="13.5" thickBot="1" x14ac:dyDescent="0.3">
      <c r="A396" s="14" t="str">
        <f t="shared" si="39"/>
        <v>STREET LIGHTING SERVICE CLASSIFICATION</v>
      </c>
      <c r="B396" s="14" t="s">
        <v>20</v>
      </c>
      <c r="C396" s="61"/>
      <c r="D396" s="102" t="s">
        <v>84</v>
      </c>
      <c r="E396" s="62"/>
      <c r="F396" s="107">
        <v>0.1076</v>
      </c>
      <c r="G396" s="104">
        <f>IF(AND(E361*12&gt;=150000),E361*E363,E361)</f>
        <v>211220</v>
      </c>
      <c r="H396" s="101">
        <f>G396*F396</f>
        <v>22727.272000000001</v>
      </c>
      <c r="I396" s="108">
        <f>F396</f>
        <v>0.1076</v>
      </c>
      <c r="J396" s="106">
        <f>IF(AND(E361*12&gt;=150000),E361*E364,E361)</f>
        <v>211220</v>
      </c>
      <c r="K396" s="68">
        <f>J396*I396</f>
        <v>22727.272000000001</v>
      </c>
      <c r="L396" s="69">
        <f>K396-H396</f>
        <v>0</v>
      </c>
      <c r="M396" s="70">
        <f>IF(ISERROR(L396/H396), "", L396/H396)</f>
        <v>0</v>
      </c>
    </row>
    <row r="397" spans="1:13" ht="13" thickBot="1" x14ac:dyDescent="0.3">
      <c r="A397" s="14" t="str">
        <f t="shared" si="39"/>
        <v>STREET LIGHTING SERVICE CLASSIFICATION</v>
      </c>
      <c r="C397" s="61"/>
      <c r="D397" s="109"/>
      <c r="E397" s="110"/>
      <c r="F397" s="111"/>
      <c r="G397" s="112"/>
      <c r="H397" s="113"/>
      <c r="I397" s="111"/>
      <c r="J397" s="114"/>
      <c r="K397" s="113"/>
      <c r="L397" s="115"/>
      <c r="M397" s="116"/>
    </row>
    <row r="398" spans="1:13" ht="13" x14ac:dyDescent="0.25">
      <c r="A398" s="14" t="str">
        <f t="shared" si="39"/>
        <v>STREET LIGHTING SERVICE CLASSIFICATION</v>
      </c>
      <c r="B398" s="14" t="s">
        <v>15</v>
      </c>
      <c r="C398" s="61"/>
      <c r="D398" s="117" t="s">
        <v>85</v>
      </c>
      <c r="E398" s="102"/>
      <c r="F398" s="118"/>
      <c r="G398" s="119"/>
      <c r="H398" s="120">
        <f>SUM(H388:H394,H387)</f>
        <v>44275.149399999995</v>
      </c>
      <c r="I398" s="121"/>
      <c r="J398" s="121"/>
      <c r="K398" s="120">
        <f>SUM(K388:K394,K387)</f>
        <v>48117.520514850628</v>
      </c>
      <c r="L398" s="122">
        <f>K398-H398</f>
        <v>3842.3711148506336</v>
      </c>
      <c r="M398" s="123">
        <f>IF((H398)=0,"",(L398/H398))</f>
        <v>8.6783922062849864E-2</v>
      </c>
    </row>
    <row r="399" spans="1:13" x14ac:dyDescent="0.25">
      <c r="A399" s="14" t="str">
        <f t="shared" si="39"/>
        <v>STREET LIGHTING SERVICE CLASSIFICATION</v>
      </c>
      <c r="B399" s="14" t="s">
        <v>15</v>
      </c>
      <c r="C399" s="61"/>
      <c r="D399" s="124" t="s">
        <v>86</v>
      </c>
      <c r="E399" s="102"/>
      <c r="F399" s="118">
        <v>0.13</v>
      </c>
      <c r="G399" s="125"/>
      <c r="H399" s="126">
        <f>H398*F399</f>
        <v>5755.7694219999994</v>
      </c>
      <c r="I399" s="127">
        <v>0.13</v>
      </c>
      <c r="J399" s="64"/>
      <c r="K399" s="126">
        <f>K398*I399</f>
        <v>6255.2776669305822</v>
      </c>
      <c r="L399" s="69">
        <f>K399-H399</f>
        <v>499.5082449305828</v>
      </c>
      <c r="M399" s="128">
        <f>IF((H399)=0,"",(L399/H399))</f>
        <v>8.6783922062849947E-2</v>
      </c>
    </row>
    <row r="400" spans="1:13" ht="14.5" x14ac:dyDescent="0.35">
      <c r="A400" s="14" t="str">
        <f t="shared" si="39"/>
        <v>STREET LIGHTING SERVICE CLASSIFICATION</v>
      </c>
      <c r="B400" s="14" t="s">
        <v>15</v>
      </c>
      <c r="C400" s="61"/>
      <c r="D400" s="124" t="s">
        <v>87</v>
      </c>
      <c r="E400"/>
      <c r="F400" s="129">
        <v>0.11700000000000001</v>
      </c>
      <c r="G400" s="125"/>
      <c r="H400" s="126">
        <f>IF(OR(ISNUMBER(SEARCH("[DGEN]", E359))=TRUE, ISNUMBER(SEARCH("STREET LIGHT", E359))=TRUE), 0, IF(AND(E361=0, E362=0),0, IF(AND(E362=0, E361*12&gt;250000), 0, IF(AND(E361=0, E362&gt;=50), 0, IF(E361*12&lt;=250000, F400*H398*-1, IF(E362&lt;50, F400*H398*-1, 0))))))</f>
        <v>0</v>
      </c>
      <c r="I400" s="129">
        <v>0.11700000000000001</v>
      </c>
      <c r="J400" s="64"/>
      <c r="K400" s="126">
        <f>IF(OR(ISNUMBER(SEARCH("[DGEN]", E359))=TRUE, ISNUMBER(SEARCH("STREET LIGHT", E359))=TRUE), 0, IF(AND(E361=0, E362=0),0, IF(AND(E362=0, E361*12&gt;250000), 0, IF(AND(E361=0, E362&gt;=50), 0, IF(E361*12&lt;=250000, I400*K398*-1, IF(E362&lt;50, I400*K398*-1, 0))))))</f>
        <v>0</v>
      </c>
      <c r="L400" s="69">
        <f>K400-H400</f>
        <v>0</v>
      </c>
      <c r="M400" s="128"/>
    </row>
    <row r="401" spans="1:18" ht="13.5" thickBot="1" x14ac:dyDescent="0.3">
      <c r="A401" s="14" t="str">
        <f t="shared" si="39"/>
        <v>STREET LIGHTING SERVICE CLASSIFICATION</v>
      </c>
      <c r="B401" s="14" t="s">
        <v>88</v>
      </c>
      <c r="C401" s="61"/>
      <c r="D401" s="181" t="s">
        <v>89</v>
      </c>
      <c r="E401" s="181"/>
      <c r="F401" s="130"/>
      <c r="G401" s="131"/>
      <c r="H401" s="132">
        <f>H398+H399+H400</f>
        <v>50030.918821999992</v>
      </c>
      <c r="I401" s="133"/>
      <c r="J401" s="133"/>
      <c r="K401" s="134">
        <f>K398+K399+K400</f>
        <v>54372.798181781211</v>
      </c>
      <c r="L401" s="135">
        <f>K401-H401</f>
        <v>4341.8793597812182</v>
      </c>
      <c r="M401" s="136">
        <f>IF((H401)=0,"",(L401/H401))</f>
        <v>8.6783922062849919E-2</v>
      </c>
    </row>
    <row r="402" spans="1:18" ht="13" thickBot="1" x14ac:dyDescent="0.3">
      <c r="A402" s="14" t="str">
        <f t="shared" si="39"/>
        <v>STREET LIGHTING SERVICE CLASSIFICATION</v>
      </c>
      <c r="B402" s="14" t="s">
        <v>15</v>
      </c>
      <c r="C402" s="61"/>
      <c r="D402" s="109"/>
      <c r="E402" s="110"/>
      <c r="F402" s="111"/>
      <c r="G402" s="112"/>
      <c r="H402" s="113"/>
      <c r="I402" s="111"/>
      <c r="J402" s="114"/>
      <c r="K402" s="113"/>
      <c r="L402" s="115"/>
      <c r="M402" s="116"/>
    </row>
    <row r="403" spans="1:18" ht="13" x14ac:dyDescent="0.25">
      <c r="A403" s="14" t="str">
        <f t="shared" si="39"/>
        <v>STREET LIGHTING SERVICE CLASSIFICATION</v>
      </c>
      <c r="B403" s="14" t="s">
        <v>25</v>
      </c>
      <c r="C403" s="61"/>
      <c r="D403" s="117" t="s">
        <v>90</v>
      </c>
      <c r="E403" s="102"/>
      <c r="F403" s="118"/>
      <c r="G403" s="119"/>
      <c r="H403" s="120">
        <f>SUM(H395,H388:H391,H387)</f>
        <v>47217.443999999996</v>
      </c>
      <c r="I403" s="121"/>
      <c r="J403" s="121"/>
      <c r="K403" s="120">
        <f>SUM(K395,K388:K391,K387)</f>
        <v>51059.815114850629</v>
      </c>
      <c r="L403" s="122">
        <f>K403-H403</f>
        <v>3842.3711148506336</v>
      </c>
      <c r="M403" s="123">
        <f>IF((H403)=0,"",(L403/H403))</f>
        <v>8.1376093014493417E-2</v>
      </c>
    </row>
    <row r="404" spans="1:18" x14ac:dyDescent="0.25">
      <c r="A404" s="14" t="str">
        <f t="shared" si="39"/>
        <v>STREET LIGHTING SERVICE CLASSIFICATION</v>
      </c>
      <c r="B404" s="14" t="s">
        <v>25</v>
      </c>
      <c r="C404" s="61"/>
      <c r="D404" s="124" t="s">
        <v>86</v>
      </c>
      <c r="E404" s="102"/>
      <c r="F404" s="118">
        <v>0.13</v>
      </c>
      <c r="G404" s="119"/>
      <c r="H404" s="126">
        <f>H403*F404</f>
        <v>6138.2677199999998</v>
      </c>
      <c r="I404" s="118">
        <v>0.13</v>
      </c>
      <c r="J404" s="127"/>
      <c r="K404" s="126">
        <f>K403*I404</f>
        <v>6637.7759649305817</v>
      </c>
      <c r="L404" s="69">
        <f>K404-H404</f>
        <v>499.5082449305819</v>
      </c>
      <c r="M404" s="128">
        <f>IF((H404)=0,"",(L404/H404))</f>
        <v>8.1376093014493334E-2</v>
      </c>
    </row>
    <row r="405" spans="1:18" ht="14.5" x14ac:dyDescent="0.35">
      <c r="A405" s="14" t="str">
        <f t="shared" si="39"/>
        <v>STREET LIGHTING SERVICE CLASSIFICATION</v>
      </c>
      <c r="B405" s="14" t="s">
        <v>25</v>
      </c>
      <c r="C405" s="61"/>
      <c r="D405" s="124" t="s">
        <v>87</v>
      </c>
      <c r="E405"/>
      <c r="F405" s="129">
        <v>0.11700000000000001</v>
      </c>
      <c r="G405" s="119"/>
      <c r="H405" s="126">
        <f>IF(OR(ISNUMBER(SEARCH("[DGEN]", E359))=TRUE, ISNUMBER(SEARCH("STREET LIGHT", E359))=TRUE), 0, IF(AND(E361=0, E362=0),0, IF(AND(E362=0, E361*12&gt;250000), 0, IF(AND(E361=0, E362&gt;=50), 0, IF(E361*12&lt;=250000, F405*H403*-1, IF(E362&lt;50, F405*H403*-1, 0))))))</f>
        <v>0</v>
      </c>
      <c r="I405" s="129">
        <v>0.11700000000000001</v>
      </c>
      <c r="J405" s="127"/>
      <c r="K405" s="126">
        <f>IF(OR(ISNUMBER(SEARCH("[DGEN]", E359))=TRUE, ISNUMBER(SEARCH("STREET LIGHT", E359))=TRUE), 0, IF(AND(E361=0, E362=0),0, IF(AND(E362=0, E361*12&gt;250000), 0, IF(AND(E361=0, E362&gt;=50), 0, IF(E361*12&lt;=250000, I405*K403*-1, IF(E362&lt;50, I405*K403*-1, 0))))))</f>
        <v>0</v>
      </c>
      <c r="L405" s="69"/>
      <c r="M405" s="128"/>
    </row>
    <row r="406" spans="1:18" ht="13.5" thickBot="1" x14ac:dyDescent="0.3">
      <c r="A406" s="14" t="str">
        <f t="shared" si="39"/>
        <v>STREET LIGHTING SERVICE CLASSIFICATION</v>
      </c>
      <c r="B406" s="14" t="s">
        <v>91</v>
      </c>
      <c r="C406" s="61">
        <f>B35</f>
        <v>6</v>
      </c>
      <c r="D406" s="181" t="s">
        <v>90</v>
      </c>
      <c r="E406" s="181"/>
      <c r="F406" s="137"/>
      <c r="G406" s="138"/>
      <c r="H406" s="132">
        <f>SUM(H403,H404)</f>
        <v>53355.711719999992</v>
      </c>
      <c r="I406" s="139"/>
      <c r="J406" s="139"/>
      <c r="K406" s="132">
        <f>SUM(K403,K404)</f>
        <v>57697.59107978121</v>
      </c>
      <c r="L406" s="140">
        <f>K406-H406</f>
        <v>4341.8793597812182</v>
      </c>
      <c r="M406" s="141">
        <f>IF((H406)=0,"",(L406/H406))</f>
        <v>8.1376093014493459E-2</v>
      </c>
    </row>
    <row r="407" spans="1:18" ht="13" thickBot="1" x14ac:dyDescent="0.3">
      <c r="A407" s="14" t="str">
        <f t="shared" si="39"/>
        <v>STREET LIGHTING SERVICE CLASSIFICATION</v>
      </c>
      <c r="B407" s="14" t="s">
        <v>25</v>
      </c>
      <c r="C407" s="61"/>
      <c r="D407" s="109"/>
      <c r="E407" s="110"/>
      <c r="F407" s="142"/>
      <c r="G407" s="143"/>
      <c r="H407" s="144"/>
      <c r="I407" s="142"/>
      <c r="J407" s="112"/>
      <c r="K407" s="144"/>
      <c r="L407" s="145"/>
      <c r="M407" s="116"/>
    </row>
    <row r="408" spans="1:18" ht="13" x14ac:dyDescent="0.25">
      <c r="A408" s="14" t="str">
        <f t="shared" si="39"/>
        <v>STREET LIGHTING SERVICE CLASSIFICATION</v>
      </c>
      <c r="B408" s="14" t="s">
        <v>20</v>
      </c>
      <c r="C408" s="61"/>
      <c r="D408" s="117" t="s">
        <v>92</v>
      </c>
      <c r="E408" s="102"/>
      <c r="F408" s="118"/>
      <c r="G408" s="119"/>
      <c r="H408" s="120">
        <f>SUM(H396,H388:H391,H387)</f>
        <v>47217.443999999996</v>
      </c>
      <c r="I408" s="121"/>
      <c r="J408" s="121"/>
      <c r="K408" s="120">
        <f>SUM(K396,K388:K391,K387)</f>
        <v>51059.815114850629</v>
      </c>
      <c r="L408" s="122">
        <f>K408-H408</f>
        <v>3842.3711148506336</v>
      </c>
      <c r="M408" s="123">
        <f>IF((H408)=0,"",(L408/H408))</f>
        <v>8.1376093014493417E-2</v>
      </c>
    </row>
    <row r="409" spans="1:18" x14ac:dyDescent="0.25">
      <c r="A409" s="14" t="str">
        <f t="shared" si="39"/>
        <v>STREET LIGHTING SERVICE CLASSIFICATION</v>
      </c>
      <c r="B409" s="14" t="s">
        <v>20</v>
      </c>
      <c r="C409" s="61"/>
      <c r="D409" s="124" t="s">
        <v>86</v>
      </c>
      <c r="E409" s="102"/>
      <c r="F409" s="118">
        <v>0.13</v>
      </c>
      <c r="G409" s="119"/>
      <c r="H409" s="126">
        <f>H408*F409</f>
        <v>6138.2677199999998</v>
      </c>
      <c r="I409" s="118">
        <v>0.13</v>
      </c>
      <c r="J409" s="127"/>
      <c r="K409" s="126">
        <f>K408*I409</f>
        <v>6637.7759649305817</v>
      </c>
      <c r="L409" s="69">
        <f>K409-H409</f>
        <v>499.5082449305819</v>
      </c>
      <c r="M409" s="128">
        <f>IF((H409)=0,"",(L409/H409))</f>
        <v>8.1376093014493334E-2</v>
      </c>
    </row>
    <row r="410" spans="1:18" ht="14.5" x14ac:dyDescent="0.35">
      <c r="A410" s="14" t="str">
        <f t="shared" si="39"/>
        <v>STREET LIGHTING SERVICE CLASSIFICATION</v>
      </c>
      <c r="B410" s="14" t="s">
        <v>20</v>
      </c>
      <c r="C410" s="61"/>
      <c r="D410" s="124" t="s">
        <v>87</v>
      </c>
      <c r="E410"/>
      <c r="F410" s="129">
        <v>0.11700000000000001</v>
      </c>
      <c r="G410" s="119"/>
      <c r="H410" s="126">
        <f>IF(OR(ISNUMBER(SEARCH("[DGEN]", E359))=TRUE, ISNUMBER(SEARCH("STREET LIGHT", E359))=TRUE), 0, IF(AND(E361=0, E362=0),0, IF(AND(E362=0, E361*12&gt;250000), 0, IF(AND(E361=0, E362&gt;=50), 0, IF(E361*12&lt;=250000, F410*H408*-1, IF(E362&lt;50, F410*H408*-1, 0))))))</f>
        <v>0</v>
      </c>
      <c r="I410" s="129">
        <v>0.11700000000000001</v>
      </c>
      <c r="J410" s="127"/>
      <c r="K410" s="126">
        <f>IF(OR(ISNUMBER(SEARCH("[DGEN]", E359))=TRUE, ISNUMBER(SEARCH("STREET LIGHT", E359))=TRUE), 0, IF(AND(E361=0, E362=0),0, IF(AND(E362=0, E361*12&gt;250000), 0, IF(AND(E361=0, E362&gt;=50), 0, IF(E361*12&lt;=250000, I410*K408*-1, IF(E362&lt;50, I410*K408*-1, 0))))))</f>
        <v>0</v>
      </c>
      <c r="L410" s="69"/>
      <c r="M410" s="128"/>
    </row>
    <row r="411" spans="1:18" ht="13.5" thickBot="1" x14ac:dyDescent="0.3">
      <c r="A411" s="14" t="str">
        <f t="shared" si="39"/>
        <v>STREET LIGHTING SERVICE CLASSIFICATION</v>
      </c>
      <c r="B411" s="14" t="s">
        <v>93</v>
      </c>
      <c r="C411" s="61"/>
      <c r="D411" s="181" t="s">
        <v>92</v>
      </c>
      <c r="E411" s="181"/>
      <c r="F411" s="137"/>
      <c r="G411" s="138"/>
      <c r="H411" s="132">
        <f>SUM(H408,H409)</f>
        <v>53355.711719999992</v>
      </c>
      <c r="I411" s="139"/>
      <c r="J411" s="139"/>
      <c r="K411" s="132">
        <f>SUM(K408,K409)</f>
        <v>57697.59107978121</v>
      </c>
      <c r="L411" s="140">
        <f>K411-H411</f>
        <v>4341.8793597812182</v>
      </c>
      <c r="M411" s="141">
        <f>IF((H411)=0,"",(L411/H411))</f>
        <v>8.1376093014493459E-2</v>
      </c>
    </row>
    <row r="412" spans="1:18" ht="13" thickBot="1" x14ac:dyDescent="0.3">
      <c r="A412" s="14" t="str">
        <f t="shared" si="39"/>
        <v>STREET LIGHTING SERVICE CLASSIFICATION</v>
      </c>
      <c r="B412" s="14" t="s">
        <v>20</v>
      </c>
      <c r="C412" s="61"/>
      <c r="D412" s="109"/>
      <c r="E412" s="110"/>
      <c r="F412" s="146"/>
      <c r="G412" s="143"/>
      <c r="H412" s="147"/>
      <c r="I412" s="146"/>
      <c r="J412" s="112"/>
      <c r="K412" s="147"/>
      <c r="L412" s="145"/>
      <c r="M412" s="148"/>
    </row>
    <row r="415" spans="1:18" ht="13" x14ac:dyDescent="0.25">
      <c r="C415" s="14"/>
      <c r="D415" s="46" t="s">
        <v>39</v>
      </c>
      <c r="E415" s="176" t="str">
        <f>D36</f>
        <v>STANDBY POWER SERVICE CLASSIFICATION</v>
      </c>
      <c r="F415" s="176"/>
      <c r="G415" s="176"/>
      <c r="H415" s="176"/>
      <c r="I415" s="176"/>
      <c r="J415" s="176"/>
      <c r="K415" s="14" t="str">
        <f>IF(N36="DEMAND - INTERVAL","RTSR - INTERVAL METERED","")</f>
        <v/>
      </c>
      <c r="R415" s="14" t="s">
        <v>29</v>
      </c>
    </row>
    <row r="416" spans="1:18" ht="13" x14ac:dyDescent="0.25">
      <c r="C416" s="14"/>
      <c r="D416" s="46" t="s">
        <v>40</v>
      </c>
      <c r="E416" s="177">
        <f>H36</f>
        <v>0</v>
      </c>
      <c r="F416" s="177"/>
      <c r="G416" s="177"/>
      <c r="H416" s="47"/>
      <c r="I416" s="47"/>
    </row>
    <row r="417" spans="1:13" ht="15.5" x14ac:dyDescent="0.3">
      <c r="C417" s="14"/>
      <c r="D417" s="46" t="s">
        <v>41</v>
      </c>
      <c r="E417" s="48">
        <f>K36</f>
        <v>0</v>
      </c>
      <c r="F417" s="49" t="s">
        <v>14</v>
      </c>
      <c r="J417" s="50"/>
      <c r="K417" s="50"/>
      <c r="L417" s="50"/>
      <c r="M417" s="50"/>
    </row>
    <row r="418" spans="1:13" ht="15.5" x14ac:dyDescent="0.35">
      <c r="C418" s="14"/>
      <c r="D418" s="46" t="s">
        <v>42</v>
      </c>
      <c r="E418" s="48">
        <f>L36</f>
        <v>0</v>
      </c>
      <c r="F418" s="51" t="s">
        <v>19</v>
      </c>
      <c r="G418" s="52"/>
      <c r="H418" s="53"/>
      <c r="I418" s="53"/>
      <c r="J418" s="53"/>
    </row>
    <row r="419" spans="1:13" ht="13" x14ac:dyDescent="0.3">
      <c r="C419" s="14"/>
      <c r="D419" s="46" t="s">
        <v>43</v>
      </c>
      <c r="E419" s="54">
        <f>I36</f>
        <v>1.0561</v>
      </c>
    </row>
    <row r="420" spans="1:13" ht="13" x14ac:dyDescent="0.3">
      <c r="C420" s="14"/>
      <c r="D420" s="46" t="s">
        <v>44</v>
      </c>
      <c r="E420" s="54">
        <f>J36</f>
        <v>1.0561</v>
      </c>
    </row>
    <row r="421" spans="1:13" x14ac:dyDescent="0.25">
      <c r="C421" s="14"/>
    </row>
    <row r="422" spans="1:13" ht="13" x14ac:dyDescent="0.3">
      <c r="C422" s="14"/>
      <c r="E422" s="49"/>
      <c r="F422" s="178" t="s">
        <v>45</v>
      </c>
      <c r="G422" s="179"/>
      <c r="H422" s="180"/>
      <c r="I422" s="178" t="s">
        <v>46</v>
      </c>
      <c r="J422" s="179"/>
      <c r="K422" s="180"/>
      <c r="L422" s="178" t="s">
        <v>47</v>
      </c>
      <c r="M422" s="180"/>
    </row>
    <row r="423" spans="1:13" ht="13" x14ac:dyDescent="0.3">
      <c r="C423" s="14"/>
      <c r="E423" s="182"/>
      <c r="F423" s="56" t="s">
        <v>48</v>
      </c>
      <c r="G423" s="56" t="s">
        <v>49</v>
      </c>
      <c r="H423" s="57" t="s">
        <v>50</v>
      </c>
      <c r="I423" s="56" t="s">
        <v>48</v>
      </c>
      <c r="J423" s="58" t="s">
        <v>49</v>
      </c>
      <c r="K423" s="57" t="s">
        <v>50</v>
      </c>
      <c r="L423" s="184" t="s">
        <v>51</v>
      </c>
      <c r="M423" s="186" t="s">
        <v>52</v>
      </c>
    </row>
    <row r="424" spans="1:13" ht="13" x14ac:dyDescent="0.3">
      <c r="C424" s="14"/>
      <c r="E424" s="183"/>
      <c r="F424" s="59" t="s">
        <v>53</v>
      </c>
      <c r="G424" s="59"/>
      <c r="H424" s="60" t="s">
        <v>53</v>
      </c>
      <c r="I424" s="59" t="s">
        <v>53</v>
      </c>
      <c r="J424" s="60"/>
      <c r="K424" s="60" t="s">
        <v>53</v>
      </c>
      <c r="L424" s="185"/>
      <c r="M424" s="187"/>
    </row>
    <row r="425" spans="1:13" ht="13" x14ac:dyDescent="0.25">
      <c r="A425" s="14" t="str">
        <f>$E415</f>
        <v>STANDBY POWER SERVICE CLASSIFICATION</v>
      </c>
      <c r="C425" s="61"/>
      <c r="D425" s="55" t="s">
        <v>54</v>
      </c>
      <c r="E425" s="62"/>
      <c r="F425" s="63">
        <v>0</v>
      </c>
      <c r="G425" s="64">
        <v>1</v>
      </c>
      <c r="H425" s="65">
        <f>G425*F425</f>
        <v>0</v>
      </c>
      <c r="I425" s="66">
        <v>0</v>
      </c>
      <c r="J425" s="67">
        <f>G425</f>
        <v>1</v>
      </c>
      <c r="K425" s="68">
        <f>J425*I425</f>
        <v>0</v>
      </c>
      <c r="L425" s="69">
        <f>K425-H425</f>
        <v>0</v>
      </c>
      <c r="M425" s="70" t="str">
        <f>IF(ISERROR(L425/H425), "", L425/H425)</f>
        <v/>
      </c>
    </row>
    <row r="426" spans="1:13" ht="13" x14ac:dyDescent="0.25">
      <c r="A426" s="14" t="str">
        <f t="shared" ref="A426:A468" si="44">A425</f>
        <v>STANDBY POWER SERVICE CLASSIFICATION</v>
      </c>
      <c r="C426" s="61"/>
      <c r="D426" s="55" t="s">
        <v>55</v>
      </c>
      <c r="E426" s="62"/>
      <c r="F426" s="71">
        <v>1.0712999999999999</v>
      </c>
      <c r="G426" s="64">
        <f>IF($E418&gt;0, $E418, $E417)</f>
        <v>0</v>
      </c>
      <c r="H426" s="65">
        <f>G426*F426</f>
        <v>0</v>
      </c>
      <c r="I426" s="72">
        <v>1.0712999999999999</v>
      </c>
      <c r="J426" s="67">
        <f>IF($E418&gt;0, $E418, $E417)</f>
        <v>0</v>
      </c>
      <c r="K426" s="68">
        <f>J426*I426</f>
        <v>0</v>
      </c>
      <c r="L426" s="69">
        <f>K426-H426</f>
        <v>0</v>
      </c>
      <c r="M426" s="70" t="str">
        <f>IF(ISERROR(L426/H426), "", L426/H426)</f>
        <v/>
      </c>
    </row>
    <row r="427" spans="1:13" ht="13" x14ac:dyDescent="0.25">
      <c r="A427" s="14" t="str">
        <f t="shared" si="44"/>
        <v>STANDBY POWER SERVICE CLASSIFICATION</v>
      </c>
      <c r="C427" s="61"/>
      <c r="D427" s="55" t="s">
        <v>56</v>
      </c>
      <c r="E427" s="62"/>
      <c r="F427" s="71"/>
      <c r="G427" s="64">
        <f>IF($E418&gt;0, $E418, $E417)</f>
        <v>0</v>
      </c>
      <c r="H427" s="65">
        <v>0</v>
      </c>
      <c r="I427" s="72"/>
      <c r="J427" s="67">
        <f>IF($E418&gt;0, $E418, $E417)</f>
        <v>0</v>
      </c>
      <c r="K427" s="68">
        <v>0</v>
      </c>
      <c r="L427" s="69"/>
      <c r="M427" s="70"/>
    </row>
    <row r="428" spans="1:13" ht="13" x14ac:dyDescent="0.25">
      <c r="A428" s="14" t="str">
        <f t="shared" si="44"/>
        <v>STANDBY POWER SERVICE CLASSIFICATION</v>
      </c>
      <c r="C428" s="61"/>
      <c r="D428" s="55" t="s">
        <v>57</v>
      </c>
      <c r="E428" s="62"/>
      <c r="F428" s="71"/>
      <c r="G428" s="64">
        <f>IF($E418&gt;0, $E418, $E417)</f>
        <v>0</v>
      </c>
      <c r="H428" s="65">
        <v>0</v>
      </c>
      <c r="I428" s="72"/>
      <c r="J428" s="73">
        <f>IF($E418&gt;0, $E418, $E417)</f>
        <v>0</v>
      </c>
      <c r="K428" s="68">
        <v>0</v>
      </c>
      <c r="L428" s="69">
        <f t="shared" ref="L428:L446" si="45">K428-H428</f>
        <v>0</v>
      </c>
      <c r="M428" s="70" t="str">
        <f>IF(ISERROR(L428/H428), "", L428/H428)</f>
        <v/>
      </c>
    </row>
    <row r="429" spans="1:13" ht="13" x14ac:dyDescent="0.25">
      <c r="A429" s="14" t="str">
        <f t="shared" si="44"/>
        <v>STANDBY POWER SERVICE CLASSIFICATION</v>
      </c>
      <c r="C429" s="61"/>
      <c r="D429" s="55" t="s">
        <v>58</v>
      </c>
      <c r="E429" s="62"/>
      <c r="F429" s="63">
        <v>0</v>
      </c>
      <c r="G429" s="64">
        <v>1</v>
      </c>
      <c r="H429" s="65">
        <f>G429*F429</f>
        <v>0</v>
      </c>
      <c r="I429" s="66">
        <v>0</v>
      </c>
      <c r="J429" s="67">
        <f>G429</f>
        <v>1</v>
      </c>
      <c r="K429" s="68">
        <f>J429*I429</f>
        <v>0</v>
      </c>
      <c r="L429" s="69">
        <f t="shared" si="45"/>
        <v>0</v>
      </c>
      <c r="M429" s="70" t="str">
        <f>IF(ISERROR(L429/H429), "", L429/H429)</f>
        <v/>
      </c>
    </row>
    <row r="430" spans="1:13" ht="13" x14ac:dyDescent="0.25">
      <c r="A430" s="14" t="str">
        <f t="shared" si="44"/>
        <v>STANDBY POWER SERVICE CLASSIFICATION</v>
      </c>
      <c r="C430" s="61"/>
      <c r="D430" s="55" t="s">
        <v>59</v>
      </c>
      <c r="E430" s="62"/>
      <c r="F430" s="71">
        <v>0</v>
      </c>
      <c r="G430" s="64">
        <f>IF($E418&gt;0, $E418, $E417)</f>
        <v>0</v>
      </c>
      <c r="H430" s="65">
        <f>G430*F430</f>
        <v>0</v>
      </c>
      <c r="I430" s="72">
        <v>0</v>
      </c>
      <c r="J430" s="67">
        <f>IF($E418&gt;0, $E418, $E417)</f>
        <v>0</v>
      </c>
      <c r="K430" s="68">
        <f>J430*I430</f>
        <v>0</v>
      </c>
      <c r="L430" s="69">
        <f t="shared" si="45"/>
        <v>0</v>
      </c>
      <c r="M430" s="70" t="str">
        <f>IF(ISERROR(L430/H430), "", L430/H430)</f>
        <v/>
      </c>
    </row>
    <row r="431" spans="1:13" ht="13" x14ac:dyDescent="0.25">
      <c r="A431" s="14" t="str">
        <f t="shared" si="44"/>
        <v>STANDBY POWER SERVICE CLASSIFICATION</v>
      </c>
      <c r="B431" s="14" t="s">
        <v>60</v>
      </c>
      <c r="C431" s="61">
        <f>B36</f>
        <v>7</v>
      </c>
      <c r="D431" s="74" t="s">
        <v>61</v>
      </c>
      <c r="E431" s="75"/>
      <c r="F431" s="76"/>
      <c r="G431" s="77"/>
      <c r="H431" s="78">
        <f>SUM(H425:H430)</f>
        <v>0</v>
      </c>
      <c r="I431" s="79"/>
      <c r="J431" s="80"/>
      <c r="K431" s="78">
        <f>SUM(K425:K430)</f>
        <v>0</v>
      </c>
      <c r="L431" s="81">
        <f t="shared" si="45"/>
        <v>0</v>
      </c>
      <c r="M431" s="82" t="str">
        <f>IF((H431)=0,"",(L431/H431))</f>
        <v/>
      </c>
    </row>
    <row r="432" spans="1:13" ht="13" x14ac:dyDescent="0.25">
      <c r="A432" s="14" t="str">
        <f t="shared" si="44"/>
        <v>STANDBY POWER SERVICE CLASSIFICATION</v>
      </c>
      <c r="C432" s="61"/>
      <c r="D432" s="83" t="s">
        <v>62</v>
      </c>
      <c r="E432" s="62"/>
      <c r="F432" s="71">
        <v>0.1076</v>
      </c>
      <c r="G432" s="84">
        <f>IF(F432=0, 0, $E417*E419-E417)</f>
        <v>0</v>
      </c>
      <c r="H432" s="65">
        <f t="shared" ref="H432:H439" si="46">G432*F432</f>
        <v>0</v>
      </c>
      <c r="I432" s="72">
        <v>0.1076</v>
      </c>
      <c r="J432" s="85">
        <f>IF(I432=0, 0, E417*E420-E417)</f>
        <v>0</v>
      </c>
      <c r="K432" s="68">
        <f t="shared" ref="K432:K439" si="47">J432*I432</f>
        <v>0</v>
      </c>
      <c r="L432" s="69">
        <f t="shared" si="45"/>
        <v>0</v>
      </c>
      <c r="M432" s="70" t="str">
        <f t="shared" ref="M432:M439" si="48">IF(ISERROR(L432/H432), "", L432/H432)</f>
        <v/>
      </c>
    </row>
    <row r="433" spans="1:13" ht="25" x14ac:dyDescent="0.25">
      <c r="A433" s="14" t="str">
        <f t="shared" si="44"/>
        <v>STANDBY POWER SERVICE CLASSIFICATION</v>
      </c>
      <c r="C433" s="61"/>
      <c r="D433" s="83" t="s">
        <v>63</v>
      </c>
      <c r="E433" s="62"/>
      <c r="F433" s="71">
        <v>0</v>
      </c>
      <c r="G433" s="86">
        <f>IF($E418&gt;0, $E418, $E417)</f>
        <v>0</v>
      </c>
      <c r="H433" s="65">
        <f t="shared" si="46"/>
        <v>0</v>
      </c>
      <c r="I433" s="72">
        <v>0</v>
      </c>
      <c r="J433" s="87">
        <f>IF($E418&gt;0, $E418, $E417)</f>
        <v>0</v>
      </c>
      <c r="K433" s="68">
        <f t="shared" si="47"/>
        <v>0</v>
      </c>
      <c r="L433" s="69">
        <f t="shared" si="45"/>
        <v>0</v>
      </c>
      <c r="M433" s="70" t="str">
        <f t="shared" si="48"/>
        <v/>
      </c>
    </row>
    <row r="434" spans="1:13" ht="13" x14ac:dyDescent="0.25">
      <c r="A434" s="14" t="str">
        <f t="shared" si="44"/>
        <v>STANDBY POWER SERVICE CLASSIFICATION</v>
      </c>
      <c r="C434" s="61"/>
      <c r="D434" s="83" t="s">
        <v>64</v>
      </c>
      <c r="E434" s="62"/>
      <c r="F434" s="71">
        <v>0</v>
      </c>
      <c r="G434" s="86">
        <f>IF($E418&gt;0, $E418, $E417)</f>
        <v>0</v>
      </c>
      <c r="H434" s="65">
        <f t="shared" si="46"/>
        <v>0</v>
      </c>
      <c r="I434" s="72">
        <v>0</v>
      </c>
      <c r="J434" s="87">
        <f>IF($E418&gt;0, $E418, $E417)</f>
        <v>0</v>
      </c>
      <c r="K434" s="68">
        <f t="shared" si="47"/>
        <v>0</v>
      </c>
      <c r="L434" s="69">
        <f t="shared" si="45"/>
        <v>0</v>
      </c>
      <c r="M434" s="70" t="str">
        <f t="shared" si="48"/>
        <v/>
      </c>
    </row>
    <row r="435" spans="1:13" ht="13" x14ac:dyDescent="0.25">
      <c r="A435" s="14" t="str">
        <f t="shared" si="44"/>
        <v>STANDBY POWER SERVICE CLASSIFICATION</v>
      </c>
      <c r="C435" s="61"/>
      <c r="D435" s="83" t="s">
        <v>65</v>
      </c>
      <c r="E435" s="62"/>
      <c r="F435" s="71">
        <v>0</v>
      </c>
      <c r="G435" s="86">
        <f>E417</f>
        <v>0</v>
      </c>
      <c r="H435" s="65">
        <f t="shared" si="46"/>
        <v>0</v>
      </c>
      <c r="I435" s="72">
        <v>0</v>
      </c>
      <c r="J435" s="87">
        <f>E417</f>
        <v>0</v>
      </c>
      <c r="K435" s="68">
        <f t="shared" si="47"/>
        <v>0</v>
      </c>
      <c r="L435" s="69">
        <f t="shared" si="45"/>
        <v>0</v>
      </c>
      <c r="M435" s="70" t="str">
        <f t="shared" si="48"/>
        <v/>
      </c>
    </row>
    <row r="436" spans="1:13" ht="13" x14ac:dyDescent="0.25">
      <c r="A436" s="14" t="str">
        <f t="shared" si="44"/>
        <v>STANDBY POWER SERVICE CLASSIFICATION</v>
      </c>
      <c r="C436" s="61"/>
      <c r="D436" s="55" t="s">
        <v>66</v>
      </c>
      <c r="E436" s="62"/>
      <c r="F436" s="71">
        <v>0</v>
      </c>
      <c r="G436" s="86">
        <f>IF($E418&gt;0, $E418, $E417)</f>
        <v>0</v>
      </c>
      <c r="H436" s="65">
        <f t="shared" si="46"/>
        <v>0</v>
      </c>
      <c r="I436" s="72"/>
      <c r="J436" s="87">
        <f>IF($E418&gt;0, $E418, $E417)</f>
        <v>0</v>
      </c>
      <c r="K436" s="68">
        <f t="shared" si="47"/>
        <v>0</v>
      </c>
      <c r="L436" s="69">
        <f t="shared" si="45"/>
        <v>0</v>
      </c>
      <c r="M436" s="70" t="str">
        <f t="shared" si="48"/>
        <v/>
      </c>
    </row>
    <row r="437" spans="1:13" ht="13" x14ac:dyDescent="0.25">
      <c r="A437" s="14" t="str">
        <f t="shared" si="44"/>
        <v>STANDBY POWER SERVICE CLASSIFICATION</v>
      </c>
      <c r="C437" s="61"/>
      <c r="D437" s="83" t="s">
        <v>67</v>
      </c>
      <c r="E437" s="62"/>
      <c r="F437" s="88">
        <v>0</v>
      </c>
      <c r="G437" s="64">
        <v>1</v>
      </c>
      <c r="H437" s="65">
        <f t="shared" si="46"/>
        <v>0</v>
      </c>
      <c r="I437" s="89">
        <v>0</v>
      </c>
      <c r="J437" s="73">
        <v>1</v>
      </c>
      <c r="K437" s="68">
        <f t="shared" si="47"/>
        <v>0</v>
      </c>
      <c r="L437" s="69">
        <f t="shared" si="45"/>
        <v>0</v>
      </c>
      <c r="M437" s="70" t="str">
        <f t="shared" si="48"/>
        <v/>
      </c>
    </row>
    <row r="438" spans="1:13" ht="13" x14ac:dyDescent="0.25">
      <c r="A438" s="14" t="str">
        <f t="shared" si="44"/>
        <v>STANDBY POWER SERVICE CLASSIFICATION</v>
      </c>
      <c r="C438" s="61"/>
      <c r="D438" s="55" t="s">
        <v>68</v>
      </c>
      <c r="E438" s="62"/>
      <c r="F438" s="63">
        <v>0</v>
      </c>
      <c r="G438" s="64">
        <v>1</v>
      </c>
      <c r="H438" s="65">
        <f t="shared" si="46"/>
        <v>0</v>
      </c>
      <c r="I438" s="66">
        <v>0</v>
      </c>
      <c r="J438" s="73">
        <v>1</v>
      </c>
      <c r="K438" s="68">
        <f t="shared" si="47"/>
        <v>0</v>
      </c>
      <c r="L438" s="69">
        <f t="shared" si="45"/>
        <v>0</v>
      </c>
      <c r="M438" s="70" t="str">
        <f t="shared" si="48"/>
        <v/>
      </c>
    </row>
    <row r="439" spans="1:13" ht="13" x14ac:dyDescent="0.25">
      <c r="A439" s="14" t="str">
        <f t="shared" si="44"/>
        <v>STANDBY POWER SERVICE CLASSIFICATION</v>
      </c>
      <c r="C439" s="61"/>
      <c r="D439" s="55" t="s">
        <v>69</v>
      </c>
      <c r="E439" s="62"/>
      <c r="F439" s="71">
        <v>0</v>
      </c>
      <c r="G439" s="86">
        <f>IF($E418&gt;0, $E418, $E417)</f>
        <v>0</v>
      </c>
      <c r="H439" s="65">
        <f t="shared" si="46"/>
        <v>0</v>
      </c>
      <c r="I439" s="72">
        <v>0</v>
      </c>
      <c r="J439" s="87">
        <f>IF($E418&gt;0, $E418, $E417)</f>
        <v>0</v>
      </c>
      <c r="K439" s="68">
        <f t="shared" si="47"/>
        <v>0</v>
      </c>
      <c r="L439" s="69">
        <f t="shared" si="45"/>
        <v>0</v>
      </c>
      <c r="M439" s="70" t="str">
        <f t="shared" si="48"/>
        <v/>
      </c>
    </row>
    <row r="440" spans="1:13" ht="26" x14ac:dyDescent="0.25">
      <c r="A440" s="14" t="str">
        <f t="shared" si="44"/>
        <v>STANDBY POWER SERVICE CLASSIFICATION</v>
      </c>
      <c r="B440" s="14" t="s">
        <v>70</v>
      </c>
      <c r="C440" s="61">
        <f>B36</f>
        <v>7</v>
      </c>
      <c r="D440" s="90" t="s">
        <v>71</v>
      </c>
      <c r="E440" s="91"/>
      <c r="F440" s="92"/>
      <c r="G440" s="93"/>
      <c r="H440" s="94">
        <f>SUM(H431:H439)</f>
        <v>0</v>
      </c>
      <c r="I440" s="95"/>
      <c r="J440" s="96"/>
      <c r="K440" s="94">
        <f>SUM(K431:K439)</f>
        <v>0</v>
      </c>
      <c r="L440" s="81">
        <f t="shared" si="45"/>
        <v>0</v>
      </c>
      <c r="M440" s="82" t="str">
        <f>IF((H440)=0,"",(L440/H440))</f>
        <v/>
      </c>
    </row>
    <row r="441" spans="1:13" ht="13" x14ac:dyDescent="0.25">
      <c r="A441" s="14" t="str">
        <f t="shared" si="44"/>
        <v>STANDBY POWER SERVICE CLASSIFICATION</v>
      </c>
      <c r="C441" s="61"/>
      <c r="D441" s="97" t="s">
        <v>72</v>
      </c>
      <c r="E441" s="62"/>
      <c r="F441" s="71">
        <v>0</v>
      </c>
      <c r="G441" s="84">
        <f>IF($E418&gt;0, $E418, $E417*$E419)</f>
        <v>0</v>
      </c>
      <c r="H441" s="65">
        <f>G441*F441</f>
        <v>0</v>
      </c>
      <c r="I441" s="98">
        <v>0</v>
      </c>
      <c r="J441" s="85">
        <f>IF($E418&gt;0, $E418, $E417*$E420)</f>
        <v>0</v>
      </c>
      <c r="K441" s="68">
        <f>J441*I441</f>
        <v>0</v>
      </c>
      <c r="L441" s="69">
        <f t="shared" si="45"/>
        <v>0</v>
      </c>
      <c r="M441" s="70" t="str">
        <f>IF(ISERROR(L441/H441), "", L441/H441)</f>
        <v/>
      </c>
    </row>
    <row r="442" spans="1:13" ht="25" x14ac:dyDescent="0.25">
      <c r="A442" s="14" t="str">
        <f t="shared" si="44"/>
        <v>STANDBY POWER SERVICE CLASSIFICATION</v>
      </c>
      <c r="C442" s="61"/>
      <c r="D442" s="99" t="s">
        <v>73</v>
      </c>
      <c r="E442" s="62"/>
      <c r="F442" s="71">
        <v>0</v>
      </c>
      <c r="G442" s="84">
        <f>IF($E418&gt;0, $E418, $E417*$E419)</f>
        <v>0</v>
      </c>
      <c r="H442" s="65">
        <f>G442*F442</f>
        <v>0</v>
      </c>
      <c r="I442" s="98">
        <v>0</v>
      </c>
      <c r="J442" s="85">
        <f>IF($E418&gt;0, $E418, $E417*$E420)</f>
        <v>0</v>
      </c>
      <c r="K442" s="68">
        <f>J442*I442</f>
        <v>0</v>
      </c>
      <c r="L442" s="69">
        <f t="shared" si="45"/>
        <v>0</v>
      </c>
      <c r="M442" s="70" t="str">
        <f>IF(ISERROR(L442/H442), "", L442/H442)</f>
        <v/>
      </c>
    </row>
    <row r="443" spans="1:13" ht="26" x14ac:dyDescent="0.25">
      <c r="A443" s="14" t="str">
        <f t="shared" si="44"/>
        <v>STANDBY POWER SERVICE CLASSIFICATION</v>
      </c>
      <c r="B443" s="14" t="s">
        <v>74</v>
      </c>
      <c r="C443" s="61">
        <f>B36</f>
        <v>7</v>
      </c>
      <c r="D443" s="90" t="s">
        <v>75</v>
      </c>
      <c r="E443" s="75"/>
      <c r="F443" s="92"/>
      <c r="G443" s="93"/>
      <c r="H443" s="94">
        <f>SUM(H440:H442)</f>
        <v>0</v>
      </c>
      <c r="I443" s="95"/>
      <c r="J443" s="80"/>
      <c r="K443" s="94">
        <f>SUM(K440:K442)</f>
        <v>0</v>
      </c>
      <c r="L443" s="81">
        <f t="shared" si="45"/>
        <v>0</v>
      </c>
      <c r="M443" s="82" t="str">
        <f>IF((H443)=0,"",(L443/H443))</f>
        <v/>
      </c>
    </row>
    <row r="444" spans="1:13" ht="25" x14ac:dyDescent="0.25">
      <c r="A444" s="14" t="str">
        <f t="shared" si="44"/>
        <v>STANDBY POWER SERVICE CLASSIFICATION</v>
      </c>
      <c r="C444" s="61"/>
      <c r="D444" s="100" t="s">
        <v>76</v>
      </c>
      <c r="E444" s="62"/>
      <c r="F444" s="71">
        <v>4.5000000000000005E-3</v>
      </c>
      <c r="G444" s="84">
        <f>E417*E419</f>
        <v>0</v>
      </c>
      <c r="H444" s="101">
        <f>G444*F444</f>
        <v>0</v>
      </c>
      <c r="I444" s="72">
        <v>4.5000000000000005E-3</v>
      </c>
      <c r="J444" s="85">
        <f>E417*E420</f>
        <v>0</v>
      </c>
      <c r="K444" s="68">
        <f>J444*I444</f>
        <v>0</v>
      </c>
      <c r="L444" s="69">
        <f t="shared" si="45"/>
        <v>0</v>
      </c>
      <c r="M444" s="70" t="str">
        <f>IF(ISERROR(L444/H444), "", L444/H444)</f>
        <v/>
      </c>
    </row>
    <row r="445" spans="1:13" ht="25" x14ac:dyDescent="0.25">
      <c r="A445" s="14" t="str">
        <f t="shared" si="44"/>
        <v>STANDBY POWER SERVICE CLASSIFICATION</v>
      </c>
      <c r="C445" s="61"/>
      <c r="D445" s="100" t="s">
        <v>77</v>
      </c>
      <c r="E445" s="62"/>
      <c r="F445" s="71">
        <v>6.9999999999999999E-4</v>
      </c>
      <c r="G445" s="84">
        <f>E417*E419</f>
        <v>0</v>
      </c>
      <c r="H445" s="101">
        <f>G445*F445</f>
        <v>0</v>
      </c>
      <c r="I445" s="72">
        <v>6.9999999999999999E-4</v>
      </c>
      <c r="J445" s="85">
        <f>E417*E420</f>
        <v>0</v>
      </c>
      <c r="K445" s="68">
        <f>J445*I445</f>
        <v>0</v>
      </c>
      <c r="L445" s="69">
        <f t="shared" si="45"/>
        <v>0</v>
      </c>
      <c r="M445" s="70" t="str">
        <f>IF(ISERROR(L445/H445), "", L445/H445)</f>
        <v/>
      </c>
    </row>
    <row r="446" spans="1:13" ht="13" x14ac:dyDescent="0.25">
      <c r="A446" s="14" t="str">
        <f t="shared" si="44"/>
        <v>STANDBY POWER SERVICE CLASSIFICATION</v>
      </c>
      <c r="C446" s="61"/>
      <c r="D446" s="102" t="s">
        <v>78</v>
      </c>
      <c r="E446" s="62"/>
      <c r="F446" s="88">
        <v>0.25</v>
      </c>
      <c r="G446" s="64">
        <v>1</v>
      </c>
      <c r="H446" s="101">
        <f>G446*F446</f>
        <v>0.25</v>
      </c>
      <c r="I446" s="89">
        <v>0.25</v>
      </c>
      <c r="J446" s="67">
        <v>1</v>
      </c>
      <c r="K446" s="68">
        <f>J446*I446</f>
        <v>0.25</v>
      </c>
      <c r="L446" s="69">
        <f t="shared" si="45"/>
        <v>0</v>
      </c>
      <c r="M446" s="70">
        <f>IF(ISERROR(L446/H446), "", L446/H446)</f>
        <v>0</v>
      </c>
    </row>
    <row r="447" spans="1:13" ht="25" x14ac:dyDescent="0.25">
      <c r="A447" s="14" t="str">
        <f t="shared" si="44"/>
        <v>STANDBY POWER SERVICE CLASSIFICATION</v>
      </c>
      <c r="C447" s="61"/>
      <c r="D447" s="100" t="s">
        <v>79</v>
      </c>
      <c r="E447" s="62"/>
      <c r="F447" s="71"/>
      <c r="G447" s="84"/>
      <c r="H447" s="101"/>
      <c r="I447" s="72"/>
      <c r="J447" s="85"/>
      <c r="K447" s="68"/>
      <c r="L447" s="69"/>
      <c r="M447" s="70"/>
    </row>
    <row r="448" spans="1:13" ht="13" x14ac:dyDescent="0.25">
      <c r="A448" s="14" t="str">
        <f t="shared" si="44"/>
        <v>STANDBY POWER SERVICE CLASSIFICATION</v>
      </c>
      <c r="B448" s="14" t="s">
        <v>15</v>
      </c>
      <c r="C448" s="61"/>
      <c r="D448" s="102" t="s">
        <v>80</v>
      </c>
      <c r="E448" s="62"/>
      <c r="F448" s="103">
        <v>7.3999999999999996E-2</v>
      </c>
      <c r="G448" s="104">
        <v>0</v>
      </c>
      <c r="H448" s="101">
        <f>G448*F448</f>
        <v>0</v>
      </c>
      <c r="I448" s="105">
        <v>7.3999999999999996E-2</v>
      </c>
      <c r="J448" s="106">
        <v>0</v>
      </c>
      <c r="K448" s="68">
        <f>J448*I448</f>
        <v>0</v>
      </c>
      <c r="L448" s="69">
        <f>K448-H448</f>
        <v>0</v>
      </c>
      <c r="M448" s="70" t="str">
        <f>IF(ISERROR(L448/H448), "", L448/H448)</f>
        <v/>
      </c>
    </row>
    <row r="449" spans="1:13" ht="13" x14ac:dyDescent="0.25">
      <c r="A449" s="14" t="str">
        <f t="shared" si="44"/>
        <v>STANDBY POWER SERVICE CLASSIFICATION</v>
      </c>
      <c r="B449" s="14" t="s">
        <v>15</v>
      </c>
      <c r="C449" s="61"/>
      <c r="D449" s="102" t="s">
        <v>81</v>
      </c>
      <c r="E449" s="62"/>
      <c r="F449" s="103">
        <v>0.10199999999999999</v>
      </c>
      <c r="G449" s="104">
        <v>0</v>
      </c>
      <c r="H449" s="101">
        <f>G449*F449</f>
        <v>0</v>
      </c>
      <c r="I449" s="105">
        <v>0.10199999999999999</v>
      </c>
      <c r="J449" s="106">
        <v>0</v>
      </c>
      <c r="K449" s="68">
        <f>J449*I449</f>
        <v>0</v>
      </c>
      <c r="L449" s="69">
        <f>K449-H449</f>
        <v>0</v>
      </c>
      <c r="M449" s="70" t="str">
        <f>IF(ISERROR(L449/H449), "", L449/H449)</f>
        <v/>
      </c>
    </row>
    <row r="450" spans="1:13" ht="13" x14ac:dyDescent="0.25">
      <c r="A450" s="14" t="str">
        <f t="shared" si="44"/>
        <v>STANDBY POWER SERVICE CLASSIFICATION</v>
      </c>
      <c r="B450" s="14" t="s">
        <v>15</v>
      </c>
      <c r="C450" s="61"/>
      <c r="D450" s="14" t="s">
        <v>82</v>
      </c>
      <c r="E450" s="62"/>
      <c r="F450" s="103">
        <v>0.151</v>
      </c>
      <c r="G450" s="104">
        <v>0</v>
      </c>
      <c r="H450" s="101">
        <f>G450*F450</f>
        <v>0</v>
      </c>
      <c r="I450" s="105">
        <v>0.151</v>
      </c>
      <c r="J450" s="106">
        <v>0</v>
      </c>
      <c r="K450" s="68">
        <f>J450*I450</f>
        <v>0</v>
      </c>
      <c r="L450" s="69">
        <f>K450-H450</f>
        <v>0</v>
      </c>
      <c r="M450" s="70" t="str">
        <f>IF(ISERROR(L450/H450), "", L450/H450)</f>
        <v/>
      </c>
    </row>
    <row r="451" spans="1:13" ht="13" x14ac:dyDescent="0.25">
      <c r="A451" s="14" t="str">
        <f t="shared" si="44"/>
        <v>STANDBY POWER SERVICE CLASSIFICATION</v>
      </c>
      <c r="B451" s="14" t="s">
        <v>25</v>
      </c>
      <c r="C451" s="61"/>
      <c r="D451" s="102" t="s">
        <v>83</v>
      </c>
      <c r="E451" s="62"/>
      <c r="F451" s="107">
        <v>0.1076</v>
      </c>
      <c r="G451" s="104">
        <f>IF(AND(E417*12&gt;=150000),E417*E419,E417)</f>
        <v>0</v>
      </c>
      <c r="H451" s="101">
        <f>G451*F451</f>
        <v>0</v>
      </c>
      <c r="I451" s="108">
        <f>F451</f>
        <v>0.1076</v>
      </c>
      <c r="J451" s="106">
        <f>IF(AND(E417*12&gt;=150000),E417*E420,E417)</f>
        <v>0</v>
      </c>
      <c r="K451" s="68">
        <f>J451*I451</f>
        <v>0</v>
      </c>
      <c r="L451" s="69">
        <f>K451-H451</f>
        <v>0</v>
      </c>
      <c r="M451" s="70" t="str">
        <f>IF(ISERROR(L451/H451), "", L451/H451)</f>
        <v/>
      </c>
    </row>
    <row r="452" spans="1:13" ht="13.5" thickBot="1" x14ac:dyDescent="0.3">
      <c r="A452" s="14" t="str">
        <f t="shared" si="44"/>
        <v>STANDBY POWER SERVICE CLASSIFICATION</v>
      </c>
      <c r="B452" s="14" t="s">
        <v>20</v>
      </c>
      <c r="C452" s="61"/>
      <c r="D452" s="102" t="s">
        <v>84</v>
      </c>
      <c r="E452" s="62"/>
      <c r="F452" s="107">
        <v>0.1076</v>
      </c>
      <c r="G452" s="104">
        <f>IF(AND(E417*12&gt;=150000),E417*E419,E417)</f>
        <v>0</v>
      </c>
      <c r="H452" s="101">
        <f>G452*F452</f>
        <v>0</v>
      </c>
      <c r="I452" s="108">
        <f>F452</f>
        <v>0.1076</v>
      </c>
      <c r="J452" s="106">
        <f>IF(AND(E417*12&gt;=150000),E417*E420,E417)</f>
        <v>0</v>
      </c>
      <c r="K452" s="68">
        <f>J452*I452</f>
        <v>0</v>
      </c>
      <c r="L452" s="69">
        <f>K452-H452</f>
        <v>0</v>
      </c>
      <c r="M452" s="70" t="str">
        <f>IF(ISERROR(L452/H452), "", L452/H452)</f>
        <v/>
      </c>
    </row>
    <row r="453" spans="1:13" ht="13" thickBot="1" x14ac:dyDescent="0.3">
      <c r="A453" s="14" t="str">
        <f t="shared" si="44"/>
        <v>STANDBY POWER SERVICE CLASSIFICATION</v>
      </c>
      <c r="C453" s="61"/>
      <c r="D453" s="109"/>
      <c r="E453" s="110"/>
      <c r="F453" s="111"/>
      <c r="G453" s="112"/>
      <c r="H453" s="113"/>
      <c r="I453" s="111"/>
      <c r="J453" s="114"/>
      <c r="K453" s="113"/>
      <c r="L453" s="115"/>
      <c r="M453" s="116"/>
    </row>
    <row r="454" spans="1:13" ht="13" x14ac:dyDescent="0.25">
      <c r="A454" s="14" t="str">
        <f t="shared" si="44"/>
        <v>STANDBY POWER SERVICE CLASSIFICATION</v>
      </c>
      <c r="B454" s="14" t="s">
        <v>15</v>
      </c>
      <c r="C454" s="61"/>
      <c r="D454" s="117" t="s">
        <v>85</v>
      </c>
      <c r="E454" s="102"/>
      <c r="F454" s="118"/>
      <c r="G454" s="119"/>
      <c r="H454" s="120">
        <f>SUM(H444:H450,H443)</f>
        <v>0.25</v>
      </c>
      <c r="I454" s="121"/>
      <c r="J454" s="121"/>
      <c r="K454" s="120">
        <f>SUM(K444:K450,K443)</f>
        <v>0.25</v>
      </c>
      <c r="L454" s="122">
        <f>K454-H454</f>
        <v>0</v>
      </c>
      <c r="M454" s="123">
        <f>IF((H454)=0,"",(L454/H454))</f>
        <v>0</v>
      </c>
    </row>
    <row r="455" spans="1:13" x14ac:dyDescent="0.25">
      <c r="A455" s="14" t="str">
        <f t="shared" si="44"/>
        <v>STANDBY POWER SERVICE CLASSIFICATION</v>
      </c>
      <c r="B455" s="14" t="s">
        <v>15</v>
      </c>
      <c r="C455" s="61"/>
      <c r="D455" s="124" t="s">
        <v>86</v>
      </c>
      <c r="E455" s="102"/>
      <c r="F455" s="118">
        <v>0.13</v>
      </c>
      <c r="G455" s="125"/>
      <c r="H455" s="126">
        <f>H454*F455</f>
        <v>3.2500000000000001E-2</v>
      </c>
      <c r="I455" s="127">
        <v>0.13</v>
      </c>
      <c r="J455" s="64"/>
      <c r="K455" s="126">
        <f>K454*I455</f>
        <v>3.2500000000000001E-2</v>
      </c>
      <c r="L455" s="69">
        <f>K455-H455</f>
        <v>0</v>
      </c>
      <c r="M455" s="128">
        <f>IF((H455)=0,"",(L455/H455))</f>
        <v>0</v>
      </c>
    </row>
    <row r="456" spans="1:13" ht="14.5" x14ac:dyDescent="0.35">
      <c r="A456" s="14" t="str">
        <f t="shared" si="44"/>
        <v>STANDBY POWER SERVICE CLASSIFICATION</v>
      </c>
      <c r="B456" s="14" t="s">
        <v>15</v>
      </c>
      <c r="C456" s="61"/>
      <c r="D456" s="124" t="s">
        <v>87</v>
      </c>
      <c r="E456"/>
      <c r="F456" s="129">
        <v>0.11700000000000001</v>
      </c>
      <c r="G456" s="125"/>
      <c r="H456" s="126">
        <f>IF(OR(ISNUMBER(SEARCH("[DGEN]", E415))=TRUE, ISNUMBER(SEARCH("STREET LIGHT", E415))=TRUE), 0, IF(AND(E417=0, E418=0),0, IF(AND(E418=0, E417*12&gt;250000), 0, IF(AND(E417=0, E418&gt;=50), 0, IF(E417*12&lt;=250000, F456*H454*-1, IF(E418&lt;50, F456*H454*-1, 0))))))</f>
        <v>0</v>
      </c>
      <c r="I456" s="129">
        <v>0.11700000000000001</v>
      </c>
      <c r="J456" s="64"/>
      <c r="K456" s="126">
        <f>IF(OR(ISNUMBER(SEARCH("[DGEN]", E415))=TRUE, ISNUMBER(SEARCH("STREET LIGHT", E415))=TRUE), 0, IF(AND(E417=0, E418=0),0, IF(AND(E418=0, E417*12&gt;250000), 0, IF(AND(E417=0, E418&gt;=50), 0, IF(E417*12&lt;=250000, I456*K454*-1, IF(E418&lt;50, I456*K454*-1, 0))))))</f>
        <v>0</v>
      </c>
      <c r="L456" s="69">
        <f>K456-H456</f>
        <v>0</v>
      </c>
      <c r="M456" s="128"/>
    </row>
    <row r="457" spans="1:13" ht="13.5" thickBot="1" x14ac:dyDescent="0.3">
      <c r="A457" s="14" t="str">
        <f t="shared" si="44"/>
        <v>STANDBY POWER SERVICE CLASSIFICATION</v>
      </c>
      <c r="B457" s="14" t="s">
        <v>88</v>
      </c>
      <c r="C457" s="61"/>
      <c r="D457" s="181" t="s">
        <v>89</v>
      </c>
      <c r="E457" s="181"/>
      <c r="F457" s="130"/>
      <c r="G457" s="131"/>
      <c r="H457" s="132">
        <f>H454+H455+H456</f>
        <v>0.28249999999999997</v>
      </c>
      <c r="I457" s="133"/>
      <c r="J457" s="133"/>
      <c r="K457" s="134">
        <f>K454+K455+K456</f>
        <v>0.28249999999999997</v>
      </c>
      <c r="L457" s="135">
        <f>K457-H457</f>
        <v>0</v>
      </c>
      <c r="M457" s="136">
        <f>IF((H457)=0,"",(L457/H457))</f>
        <v>0</v>
      </c>
    </row>
    <row r="458" spans="1:13" ht="13" thickBot="1" x14ac:dyDescent="0.3">
      <c r="A458" s="14" t="str">
        <f t="shared" si="44"/>
        <v>STANDBY POWER SERVICE CLASSIFICATION</v>
      </c>
      <c r="B458" s="14" t="s">
        <v>15</v>
      </c>
      <c r="C458" s="61"/>
      <c r="D458" s="109"/>
      <c r="E458" s="110"/>
      <c r="F458" s="111"/>
      <c r="G458" s="112"/>
      <c r="H458" s="113"/>
      <c r="I458" s="111"/>
      <c r="J458" s="114"/>
      <c r="K458" s="113"/>
      <c r="L458" s="115"/>
      <c r="M458" s="116"/>
    </row>
    <row r="459" spans="1:13" ht="13" x14ac:dyDescent="0.25">
      <c r="A459" s="14" t="str">
        <f t="shared" si="44"/>
        <v>STANDBY POWER SERVICE CLASSIFICATION</v>
      </c>
      <c r="B459" s="14" t="s">
        <v>25</v>
      </c>
      <c r="C459" s="61"/>
      <c r="D459" s="117" t="s">
        <v>90</v>
      </c>
      <c r="E459" s="102"/>
      <c r="F459" s="118"/>
      <c r="G459" s="119"/>
      <c r="H459" s="120">
        <f>SUM(H451,H444:H447,H443)</f>
        <v>0.25</v>
      </c>
      <c r="I459" s="121"/>
      <c r="J459" s="121"/>
      <c r="K459" s="120">
        <f>SUM(K451,K444:K447,K443)</f>
        <v>0.25</v>
      </c>
      <c r="L459" s="122">
        <f>K459-H459</f>
        <v>0</v>
      </c>
      <c r="M459" s="123">
        <f>IF((H459)=0,"",(L459/H459))</f>
        <v>0</v>
      </c>
    </row>
    <row r="460" spans="1:13" x14ac:dyDescent="0.25">
      <c r="A460" s="14" t="str">
        <f t="shared" si="44"/>
        <v>STANDBY POWER SERVICE CLASSIFICATION</v>
      </c>
      <c r="B460" s="14" t="s">
        <v>25</v>
      </c>
      <c r="C460" s="61"/>
      <c r="D460" s="124" t="s">
        <v>86</v>
      </c>
      <c r="E460" s="102"/>
      <c r="F460" s="118">
        <v>0.13</v>
      </c>
      <c r="G460" s="119"/>
      <c r="H460" s="126">
        <f>H459*F460</f>
        <v>3.2500000000000001E-2</v>
      </c>
      <c r="I460" s="118">
        <v>0.13</v>
      </c>
      <c r="J460" s="127"/>
      <c r="K460" s="126">
        <f>K459*I460</f>
        <v>3.2500000000000001E-2</v>
      </c>
      <c r="L460" s="69">
        <f>K460-H460</f>
        <v>0</v>
      </c>
      <c r="M460" s="128">
        <f>IF((H460)=0,"",(L460/H460))</f>
        <v>0</v>
      </c>
    </row>
    <row r="461" spans="1:13" ht="14.5" x14ac:dyDescent="0.35">
      <c r="A461" s="14" t="str">
        <f t="shared" si="44"/>
        <v>STANDBY POWER SERVICE CLASSIFICATION</v>
      </c>
      <c r="B461" s="14" t="s">
        <v>25</v>
      </c>
      <c r="C461" s="61"/>
      <c r="D461" s="124" t="s">
        <v>87</v>
      </c>
      <c r="E461"/>
      <c r="F461" s="129">
        <v>0.11700000000000001</v>
      </c>
      <c r="G461" s="119"/>
      <c r="H461" s="126">
        <f>IF(OR(ISNUMBER(SEARCH("[DGEN]", E415))=TRUE, ISNUMBER(SEARCH("STREET LIGHT", E415))=TRUE), 0, IF(AND(E417=0, E418=0),0, IF(AND(E418=0, E417*12&gt;250000), 0, IF(AND(E417=0, E418&gt;=50), 0, IF(E417*12&lt;=250000, F461*H459*-1, IF(E418&lt;50, F461*H459*-1, 0))))))</f>
        <v>0</v>
      </c>
      <c r="I461" s="129">
        <v>0.11700000000000001</v>
      </c>
      <c r="J461" s="127"/>
      <c r="K461" s="126">
        <f>IF(OR(ISNUMBER(SEARCH("[DGEN]", E415))=TRUE, ISNUMBER(SEARCH("STREET LIGHT", E415))=TRUE), 0, IF(AND(E417=0, E418=0),0, IF(AND(E418=0, E417*12&gt;250000), 0, IF(AND(E417=0, E418&gt;=50), 0, IF(E417*12&lt;=250000, I461*K459*-1, IF(E418&lt;50, I461*K459*-1, 0))))))</f>
        <v>0</v>
      </c>
      <c r="L461" s="69"/>
      <c r="M461" s="128"/>
    </row>
    <row r="462" spans="1:13" ht="13.5" thickBot="1" x14ac:dyDescent="0.3">
      <c r="A462" s="14" t="str">
        <f t="shared" si="44"/>
        <v>STANDBY POWER SERVICE CLASSIFICATION</v>
      </c>
      <c r="B462" s="14" t="s">
        <v>91</v>
      </c>
      <c r="C462" s="61"/>
      <c r="D462" s="181" t="s">
        <v>90</v>
      </c>
      <c r="E462" s="181"/>
      <c r="F462" s="137"/>
      <c r="G462" s="138"/>
      <c r="H462" s="132">
        <f>SUM(H459,H460)</f>
        <v>0.28249999999999997</v>
      </c>
      <c r="I462" s="139"/>
      <c r="J462" s="139"/>
      <c r="K462" s="132">
        <f>SUM(K459,K460)</f>
        <v>0.28249999999999997</v>
      </c>
      <c r="L462" s="140">
        <f>K462-H462</f>
        <v>0</v>
      </c>
      <c r="M462" s="141">
        <f>IF((H462)=0,"",(L462/H462))</f>
        <v>0</v>
      </c>
    </row>
    <row r="463" spans="1:13" ht="13" thickBot="1" x14ac:dyDescent="0.3">
      <c r="A463" s="14" t="str">
        <f t="shared" si="44"/>
        <v>STANDBY POWER SERVICE CLASSIFICATION</v>
      </c>
      <c r="B463" s="14" t="s">
        <v>25</v>
      </c>
      <c r="C463" s="61"/>
      <c r="D463" s="109"/>
      <c r="E463" s="110"/>
      <c r="F463" s="142"/>
      <c r="G463" s="143"/>
      <c r="H463" s="144"/>
      <c r="I463" s="142"/>
      <c r="J463" s="112"/>
      <c r="K463" s="144"/>
      <c r="L463" s="145"/>
      <c r="M463" s="116"/>
    </row>
    <row r="464" spans="1:13" ht="13" x14ac:dyDescent="0.25">
      <c r="A464" s="14" t="str">
        <f t="shared" si="44"/>
        <v>STANDBY POWER SERVICE CLASSIFICATION</v>
      </c>
      <c r="B464" s="14" t="s">
        <v>20</v>
      </c>
      <c r="C464" s="61"/>
      <c r="D464" s="117" t="s">
        <v>92</v>
      </c>
      <c r="E464" s="102"/>
      <c r="F464" s="118"/>
      <c r="G464" s="119"/>
      <c r="H464" s="120">
        <f>SUM(H452,H444:H447,H443)</f>
        <v>0.25</v>
      </c>
      <c r="I464" s="121"/>
      <c r="J464" s="121"/>
      <c r="K464" s="120">
        <f>SUM(K452,K444:K447,K443)</f>
        <v>0.25</v>
      </c>
      <c r="L464" s="122">
        <f>K464-H464</f>
        <v>0</v>
      </c>
      <c r="M464" s="123">
        <f>IF((H464)=0,"",(L464/H464))</f>
        <v>0</v>
      </c>
    </row>
    <row r="465" spans="1:18" x14ac:dyDescent="0.25">
      <c r="A465" s="14" t="str">
        <f t="shared" si="44"/>
        <v>STANDBY POWER SERVICE CLASSIFICATION</v>
      </c>
      <c r="B465" s="14" t="s">
        <v>20</v>
      </c>
      <c r="C465" s="61"/>
      <c r="D465" s="124" t="s">
        <v>86</v>
      </c>
      <c r="E465" s="102"/>
      <c r="F465" s="118">
        <v>0.13</v>
      </c>
      <c r="G465" s="119"/>
      <c r="H465" s="126">
        <f>H464*F465</f>
        <v>3.2500000000000001E-2</v>
      </c>
      <c r="I465" s="118">
        <v>0.13</v>
      </c>
      <c r="J465" s="127"/>
      <c r="K465" s="126">
        <f>K464*I465</f>
        <v>3.2500000000000001E-2</v>
      </c>
      <c r="L465" s="69">
        <f>K465-H465</f>
        <v>0</v>
      </c>
      <c r="M465" s="128">
        <f>IF((H465)=0,"",(L465/H465))</f>
        <v>0</v>
      </c>
    </row>
    <row r="466" spans="1:18" ht="14.5" x14ac:dyDescent="0.35">
      <c r="A466" s="14" t="str">
        <f t="shared" si="44"/>
        <v>STANDBY POWER SERVICE CLASSIFICATION</v>
      </c>
      <c r="B466" s="14" t="s">
        <v>20</v>
      </c>
      <c r="C466" s="61"/>
      <c r="D466" s="124" t="s">
        <v>87</v>
      </c>
      <c r="E466"/>
      <c r="F466" s="129">
        <v>0.11700000000000001</v>
      </c>
      <c r="G466" s="119"/>
      <c r="H466" s="126">
        <f>IF(OR(ISNUMBER(SEARCH("[DGEN]", E415))=TRUE, ISNUMBER(SEARCH("STREET LIGHT", E415))=TRUE), 0, IF(AND(E417=0, E418=0),0, IF(AND(E418=0, E417*12&gt;250000), 0, IF(AND(E417=0, E418&gt;=50), 0, IF(E417*12&lt;=250000, F466*H464*-1, IF(E418&lt;50, F466*H464*-1, 0))))))</f>
        <v>0</v>
      </c>
      <c r="I466" s="129">
        <v>0.11700000000000001</v>
      </c>
      <c r="J466" s="127"/>
      <c r="K466" s="126">
        <f>IF(OR(ISNUMBER(SEARCH("[DGEN]", E415))=TRUE, ISNUMBER(SEARCH("STREET LIGHT", E415))=TRUE), 0, IF(AND(E417=0, E418=0),0, IF(AND(E418=0, E417*12&gt;250000), 0, IF(AND(E417=0, E418&gt;=50), 0, IF(E417*12&lt;=250000, I466*K464*-1, IF(E418&lt;50, I466*K464*-1, 0))))))</f>
        <v>0</v>
      </c>
      <c r="L466" s="69"/>
      <c r="M466" s="128"/>
    </row>
    <row r="467" spans="1:18" ht="13.5" thickBot="1" x14ac:dyDescent="0.3">
      <c r="A467" s="14" t="str">
        <f t="shared" si="44"/>
        <v>STANDBY POWER SERVICE CLASSIFICATION</v>
      </c>
      <c r="B467" s="14" t="s">
        <v>93</v>
      </c>
      <c r="C467" s="61"/>
      <c r="D467" s="181" t="s">
        <v>92</v>
      </c>
      <c r="E467" s="181"/>
      <c r="F467" s="137"/>
      <c r="G467" s="138"/>
      <c r="H467" s="132">
        <f>SUM(H464,H465)</f>
        <v>0.28249999999999997</v>
      </c>
      <c r="I467" s="139"/>
      <c r="J467" s="139"/>
      <c r="K467" s="132">
        <f>SUM(K464,K465)</f>
        <v>0.28249999999999997</v>
      </c>
      <c r="L467" s="140">
        <f>K467-H467</f>
        <v>0</v>
      </c>
      <c r="M467" s="141">
        <f>IF((H467)=0,"",(L467/H467))</f>
        <v>0</v>
      </c>
    </row>
    <row r="468" spans="1:18" ht="13" thickBot="1" x14ac:dyDescent="0.3">
      <c r="A468" s="14" t="str">
        <f t="shared" si="44"/>
        <v>STANDBY POWER SERVICE CLASSIFICATION</v>
      </c>
      <c r="B468" s="14" t="s">
        <v>20</v>
      </c>
      <c r="C468" s="61"/>
      <c r="D468" s="109"/>
      <c r="E468" s="110"/>
      <c r="F468" s="146"/>
      <c r="G468" s="143"/>
      <c r="H468" s="147"/>
      <c r="I468" s="146"/>
      <c r="J468" s="112"/>
      <c r="K468" s="147"/>
      <c r="L468" s="145"/>
      <c r="M468" s="148"/>
    </row>
    <row r="471" spans="1:18" ht="13" x14ac:dyDescent="0.25">
      <c r="C471" s="14"/>
      <c r="D471" s="46" t="s">
        <v>39</v>
      </c>
      <c r="E471" s="176" t="str">
        <f>D37</f>
        <v>RESIDENTIAL SERVICE CLASSIFICATION</v>
      </c>
      <c r="F471" s="176"/>
      <c r="G471" s="176"/>
      <c r="H471" s="176"/>
      <c r="I471" s="176"/>
      <c r="J471" s="176"/>
      <c r="K471" s="14" t="str">
        <f>IF(N37="DEMAND - INTERVAL","RTSR - INTERVAL METERED","")</f>
        <v/>
      </c>
      <c r="R471" s="14" t="s">
        <v>29</v>
      </c>
    </row>
    <row r="472" spans="1:18" ht="13" x14ac:dyDescent="0.25">
      <c r="C472" s="14"/>
      <c r="D472" s="46" t="s">
        <v>40</v>
      </c>
      <c r="E472" s="177" t="str">
        <f>H37</f>
        <v>Non-RPP (Retailer)</v>
      </c>
      <c r="F472" s="177"/>
      <c r="G472" s="177"/>
      <c r="H472" s="47"/>
      <c r="I472" s="47"/>
    </row>
    <row r="473" spans="1:18" ht="15.5" x14ac:dyDescent="0.3">
      <c r="C473" s="14"/>
      <c r="D473" s="46" t="s">
        <v>41</v>
      </c>
      <c r="E473" s="48">
        <f>K37</f>
        <v>750</v>
      </c>
      <c r="F473" s="49" t="s">
        <v>14</v>
      </c>
      <c r="J473" s="50"/>
      <c r="K473" s="50"/>
      <c r="L473" s="50"/>
      <c r="M473" s="50"/>
    </row>
    <row r="474" spans="1:18" ht="15.5" x14ac:dyDescent="0.35">
      <c r="C474" s="14"/>
      <c r="D474" s="46" t="s">
        <v>42</v>
      </c>
      <c r="E474" s="48">
        <f>L37</f>
        <v>0</v>
      </c>
      <c r="F474" s="51" t="s">
        <v>19</v>
      </c>
      <c r="G474" s="52"/>
      <c r="H474" s="53"/>
      <c r="I474" s="53"/>
      <c r="J474" s="53"/>
    </row>
    <row r="475" spans="1:18" ht="13" x14ac:dyDescent="0.3">
      <c r="C475" s="14"/>
      <c r="D475" s="46" t="s">
        <v>43</v>
      </c>
      <c r="E475" s="54">
        <f>I37</f>
        <v>1.0561</v>
      </c>
    </row>
    <row r="476" spans="1:18" ht="13" x14ac:dyDescent="0.3">
      <c r="C476" s="14"/>
      <c r="D476" s="46" t="s">
        <v>44</v>
      </c>
      <c r="E476" s="54">
        <f>J37</f>
        <v>1.0561</v>
      </c>
    </row>
    <row r="477" spans="1:18" x14ac:dyDescent="0.25">
      <c r="C477" s="14"/>
    </row>
    <row r="478" spans="1:18" ht="13" x14ac:dyDescent="0.3">
      <c r="C478" s="14"/>
      <c r="E478" s="49"/>
      <c r="F478" s="178" t="s">
        <v>45</v>
      </c>
      <c r="G478" s="179"/>
      <c r="H478" s="180"/>
      <c r="I478" s="178" t="s">
        <v>46</v>
      </c>
      <c r="J478" s="179"/>
      <c r="K478" s="180"/>
      <c r="L478" s="178" t="s">
        <v>47</v>
      </c>
      <c r="M478" s="180"/>
    </row>
    <row r="479" spans="1:18" ht="13" x14ac:dyDescent="0.3">
      <c r="C479" s="14"/>
      <c r="E479" s="182"/>
      <c r="F479" s="56" t="s">
        <v>48</v>
      </c>
      <c r="G479" s="56" t="s">
        <v>49</v>
      </c>
      <c r="H479" s="57" t="s">
        <v>50</v>
      </c>
      <c r="I479" s="56" t="s">
        <v>48</v>
      </c>
      <c r="J479" s="58" t="s">
        <v>49</v>
      </c>
      <c r="K479" s="57" t="s">
        <v>50</v>
      </c>
      <c r="L479" s="184" t="s">
        <v>51</v>
      </c>
      <c r="M479" s="186" t="s">
        <v>52</v>
      </c>
    </row>
    <row r="480" spans="1:18" ht="13" x14ac:dyDescent="0.3">
      <c r="C480" s="14"/>
      <c r="E480" s="183"/>
      <c r="F480" s="59" t="s">
        <v>53</v>
      </c>
      <c r="G480" s="59"/>
      <c r="H480" s="60" t="s">
        <v>53</v>
      </c>
      <c r="I480" s="59" t="s">
        <v>53</v>
      </c>
      <c r="J480" s="60"/>
      <c r="K480" s="60" t="s">
        <v>53</v>
      </c>
      <c r="L480" s="185"/>
      <c r="M480" s="187"/>
    </row>
    <row r="481" spans="1:13" ht="13" x14ac:dyDescent="0.25">
      <c r="A481" s="14" t="str">
        <f>$E471</f>
        <v>RESIDENTIAL SERVICE CLASSIFICATION</v>
      </c>
      <c r="C481" s="61"/>
      <c r="D481" s="55" t="s">
        <v>54</v>
      </c>
      <c r="E481" s="62"/>
      <c r="F481" s="63">
        <v>27.93</v>
      </c>
      <c r="G481" s="64">
        <v>1</v>
      </c>
      <c r="H481" s="65">
        <f>G481*F481</f>
        <v>27.93</v>
      </c>
      <c r="I481" s="66">
        <v>27.93</v>
      </c>
      <c r="J481" s="67">
        <f>G481</f>
        <v>1</v>
      </c>
      <c r="K481" s="68">
        <f>J481*I481</f>
        <v>27.93</v>
      </c>
      <c r="L481" s="69">
        <f>K481-H481</f>
        <v>0</v>
      </c>
      <c r="M481" s="70">
        <f>IF(ISERROR(L481/H481), "", L481/H481)</f>
        <v>0</v>
      </c>
    </row>
    <row r="482" spans="1:13" ht="13" x14ac:dyDescent="0.25">
      <c r="A482" s="14" t="str">
        <f t="shared" ref="A482:A524" si="49">A481</f>
        <v>RESIDENTIAL SERVICE CLASSIFICATION</v>
      </c>
      <c r="C482" s="61"/>
      <c r="D482" s="55" t="s">
        <v>55</v>
      </c>
      <c r="E482" s="62"/>
      <c r="F482" s="71">
        <v>0</v>
      </c>
      <c r="G482" s="64">
        <f>IF($E474&gt;0, $E474, $E473)</f>
        <v>750</v>
      </c>
      <c r="H482" s="65">
        <f>G482*F482</f>
        <v>0</v>
      </c>
      <c r="I482" s="72">
        <v>0</v>
      </c>
      <c r="J482" s="67">
        <f>IF($E474&gt;0, $E474, $E473)</f>
        <v>750</v>
      </c>
      <c r="K482" s="68">
        <f>J482*I482</f>
        <v>0</v>
      </c>
      <c r="L482" s="69">
        <f>K482-H482</f>
        <v>0</v>
      </c>
      <c r="M482" s="70" t="str">
        <f>IF(ISERROR(L482/H482), "", L482/H482)</f>
        <v/>
      </c>
    </row>
    <row r="483" spans="1:13" ht="13" x14ac:dyDescent="0.25">
      <c r="A483" s="14" t="str">
        <f t="shared" si="49"/>
        <v>RESIDENTIAL SERVICE CLASSIFICATION</v>
      </c>
      <c r="C483" s="61"/>
      <c r="D483" s="55" t="s">
        <v>56</v>
      </c>
      <c r="E483" s="62"/>
      <c r="F483" s="71"/>
      <c r="G483" s="64">
        <f>IF($E474&gt;0, $E474, $E473)</f>
        <v>750</v>
      </c>
      <c r="H483" s="65">
        <v>0</v>
      </c>
      <c r="I483" s="72"/>
      <c r="J483" s="67">
        <f>IF($E474&gt;0, $E474, $E473)</f>
        <v>750</v>
      </c>
      <c r="K483" s="68">
        <v>0</v>
      </c>
      <c r="L483" s="69"/>
      <c r="M483" s="70"/>
    </row>
    <row r="484" spans="1:13" ht="13" x14ac:dyDescent="0.25">
      <c r="A484" s="14" t="str">
        <f t="shared" si="49"/>
        <v>RESIDENTIAL SERVICE CLASSIFICATION</v>
      </c>
      <c r="C484" s="61"/>
      <c r="D484" s="55" t="s">
        <v>57</v>
      </c>
      <c r="E484" s="62"/>
      <c r="F484" s="71"/>
      <c r="G484" s="64">
        <f>IF($E474&gt;0, $E474, $E473)</f>
        <v>750</v>
      </c>
      <c r="H484" s="65">
        <v>0</v>
      </c>
      <c r="I484" s="72"/>
      <c r="J484" s="73">
        <f>IF($E474&gt;0, $E474, $E473)</f>
        <v>750</v>
      </c>
      <c r="K484" s="68">
        <v>0</v>
      </c>
      <c r="L484" s="69">
        <f t="shared" ref="L484:L501" si="50">K484-H484</f>
        <v>0</v>
      </c>
      <c r="M484" s="70" t="str">
        <f>IF(ISERROR(L484/H484), "", L484/H484)</f>
        <v/>
      </c>
    </row>
    <row r="485" spans="1:13" ht="13" x14ac:dyDescent="0.25">
      <c r="A485" s="14" t="str">
        <f t="shared" si="49"/>
        <v>RESIDENTIAL SERVICE CLASSIFICATION</v>
      </c>
      <c r="C485" s="61"/>
      <c r="D485" s="55" t="s">
        <v>58</v>
      </c>
      <c r="E485" s="62"/>
      <c r="F485" s="63">
        <v>-7.06</v>
      </c>
      <c r="G485" s="64">
        <v>1</v>
      </c>
      <c r="H485" s="65">
        <f>G485*F485</f>
        <v>-7.06</v>
      </c>
      <c r="I485" s="66">
        <v>2.2800000000000002</v>
      </c>
      <c r="J485" s="67">
        <f>G485</f>
        <v>1</v>
      </c>
      <c r="K485" s="68">
        <f>J485*I485</f>
        <v>2.2800000000000002</v>
      </c>
      <c r="L485" s="69">
        <f t="shared" si="50"/>
        <v>9.34</v>
      </c>
      <c r="M485" s="70">
        <f>IF(ISERROR(L485/H485), "", IF(H485&lt;0,(K485-(H485))/ABS(H485),L485/H485))</f>
        <v>1.3229461756373939</v>
      </c>
    </row>
    <row r="486" spans="1:13" ht="13" x14ac:dyDescent="0.25">
      <c r="A486" s="14" t="str">
        <f t="shared" si="49"/>
        <v>RESIDENTIAL SERVICE CLASSIFICATION</v>
      </c>
      <c r="C486" s="61"/>
      <c r="D486" s="55" t="s">
        <v>59</v>
      </c>
      <c r="E486" s="62"/>
      <c r="F486" s="71">
        <v>1.1999999999999999E-3</v>
      </c>
      <c r="G486" s="64">
        <f>IF($E474&gt;0, $E474, $E473)</f>
        <v>750</v>
      </c>
      <c r="H486" s="65">
        <f>G486*F486</f>
        <v>0.89999999999999991</v>
      </c>
      <c r="I486" s="72">
        <v>0</v>
      </c>
      <c r="J486" s="67">
        <f>IF($E474&gt;0, $E474, $E473)</f>
        <v>750</v>
      </c>
      <c r="K486" s="68">
        <f>J486*I486</f>
        <v>0</v>
      </c>
      <c r="L486" s="69">
        <f t="shared" si="50"/>
        <v>-0.89999999999999991</v>
      </c>
      <c r="M486" s="70">
        <f>IF(ISERROR(L486/H486), "", L486/H486)</f>
        <v>-1</v>
      </c>
    </row>
    <row r="487" spans="1:13" ht="13" x14ac:dyDescent="0.25">
      <c r="A487" s="14" t="str">
        <f t="shared" si="49"/>
        <v>RESIDENTIAL SERVICE CLASSIFICATION</v>
      </c>
      <c r="B487" s="14" t="s">
        <v>60</v>
      </c>
      <c r="C487" s="61">
        <f>B37</f>
        <v>8</v>
      </c>
      <c r="D487" s="74" t="s">
        <v>61</v>
      </c>
      <c r="E487" s="75"/>
      <c r="F487" s="76"/>
      <c r="G487" s="77"/>
      <c r="H487" s="78">
        <f>SUM(H481:H486)</f>
        <v>21.77</v>
      </c>
      <c r="I487" s="79"/>
      <c r="J487" s="80"/>
      <c r="K487" s="78">
        <f>SUM(K481:K486)</f>
        <v>30.21</v>
      </c>
      <c r="L487" s="81">
        <f t="shared" si="50"/>
        <v>8.4400000000000013</v>
      </c>
      <c r="M487" s="82">
        <f>IF((H487)=0,"",(L487/H487))</f>
        <v>0.38768948093706945</v>
      </c>
    </row>
    <row r="488" spans="1:13" ht="13" x14ac:dyDescent="0.25">
      <c r="A488" s="14" t="str">
        <f t="shared" si="49"/>
        <v>RESIDENTIAL SERVICE CLASSIFICATION</v>
      </c>
      <c r="C488" s="61"/>
      <c r="D488" s="83" t="s">
        <v>62</v>
      </c>
      <c r="E488" s="62"/>
      <c r="F488" s="71">
        <v>0.1076</v>
      </c>
      <c r="G488" s="84">
        <f>IF(F488=0, 0, $E473*E475-E473)</f>
        <v>42.075000000000045</v>
      </c>
      <c r="H488" s="65">
        <f t="shared" ref="H488:H495" si="51">G488*F488</f>
        <v>4.527270000000005</v>
      </c>
      <c r="I488" s="72">
        <v>0.1076</v>
      </c>
      <c r="J488" s="85">
        <f>IF(I488=0, 0, E473*E476-E473)</f>
        <v>42.075000000000045</v>
      </c>
      <c r="K488" s="68">
        <f t="shared" ref="K488:K495" si="52">J488*I488</f>
        <v>4.527270000000005</v>
      </c>
      <c r="L488" s="69">
        <f t="shared" si="50"/>
        <v>0</v>
      </c>
      <c r="M488" s="70">
        <f t="shared" ref="M488:M495" si="53">IF(ISERROR(L488/H488), "", L488/H488)</f>
        <v>0</v>
      </c>
    </row>
    <row r="489" spans="1:13" ht="25" x14ac:dyDescent="0.25">
      <c r="A489" s="14" t="str">
        <f t="shared" si="49"/>
        <v>RESIDENTIAL SERVICE CLASSIFICATION</v>
      </c>
      <c r="C489" s="61"/>
      <c r="D489" s="83" t="s">
        <v>63</v>
      </c>
      <c r="E489" s="62"/>
      <c r="F489" s="71">
        <v>5.5999999999999999E-3</v>
      </c>
      <c r="G489" s="86">
        <f>IF($E474&gt;0, $E474, $E473)</f>
        <v>750</v>
      </c>
      <c r="H489" s="65">
        <f t="shared" si="51"/>
        <v>4.2</v>
      </c>
      <c r="I489" s="72">
        <v>2.7000000000000001E-3</v>
      </c>
      <c r="J489" s="87">
        <f>IF($E474&gt;0, $E474, $E473)</f>
        <v>750</v>
      </c>
      <c r="K489" s="68">
        <f t="shared" si="52"/>
        <v>2.0249999999999999</v>
      </c>
      <c r="L489" s="69">
        <f t="shared" si="50"/>
        <v>-2.1750000000000003</v>
      </c>
      <c r="M489" s="70">
        <f t="shared" si="53"/>
        <v>-0.5178571428571429</v>
      </c>
    </row>
    <row r="490" spans="1:13" ht="13" x14ac:dyDescent="0.25">
      <c r="A490" s="14" t="str">
        <f t="shared" si="49"/>
        <v>RESIDENTIAL SERVICE CLASSIFICATION</v>
      </c>
      <c r="C490" s="61"/>
      <c r="D490" s="83" t="s">
        <v>64</v>
      </c>
      <c r="E490" s="62"/>
      <c r="F490" s="71">
        <v>-2.0000000000000001E-4</v>
      </c>
      <c r="G490" s="86">
        <f>IF($E474&gt;0, $E474, $E473)</f>
        <v>750</v>
      </c>
      <c r="H490" s="65">
        <f t="shared" si="51"/>
        <v>-0.15</v>
      </c>
      <c r="I490" s="72">
        <v>-4.0000000000000002E-4</v>
      </c>
      <c r="J490" s="87">
        <f>IF($E474&gt;0, $E474, $E473)</f>
        <v>750</v>
      </c>
      <c r="K490" s="68">
        <f t="shared" si="52"/>
        <v>-0.3</v>
      </c>
      <c r="L490" s="69">
        <f t="shared" si="50"/>
        <v>-0.15</v>
      </c>
      <c r="M490" s="70">
        <f>IF(ISERROR(L490/H490), "", IF(H490&lt;0,(K490-(H490))/ABS(H490),L490/H490))</f>
        <v>-1</v>
      </c>
    </row>
    <row r="491" spans="1:13" ht="13" x14ac:dyDescent="0.25">
      <c r="A491" s="14" t="str">
        <f t="shared" si="49"/>
        <v>RESIDENTIAL SERVICE CLASSIFICATION</v>
      </c>
      <c r="C491" s="61"/>
      <c r="D491" s="83" t="s">
        <v>65</v>
      </c>
      <c r="E491" s="62"/>
      <c r="F491" s="71">
        <v>2.2000000000000001E-3</v>
      </c>
      <c r="G491" s="86">
        <f>E473</f>
        <v>750</v>
      </c>
      <c r="H491" s="65">
        <f t="shared" si="51"/>
        <v>1.6500000000000001</v>
      </c>
      <c r="I491" s="72">
        <v>-8.9999999999999993E-3</v>
      </c>
      <c r="J491" s="87">
        <f>E473</f>
        <v>750</v>
      </c>
      <c r="K491" s="68">
        <f t="shared" si="52"/>
        <v>-6.7499999999999991</v>
      </c>
      <c r="L491" s="69">
        <f t="shared" si="50"/>
        <v>-8.3999999999999986</v>
      </c>
      <c r="M491" s="70">
        <f t="shared" si="53"/>
        <v>-5.0909090909090899</v>
      </c>
    </row>
    <row r="492" spans="1:13" ht="13" x14ac:dyDescent="0.25">
      <c r="A492" s="14" t="str">
        <f t="shared" si="49"/>
        <v>RESIDENTIAL SERVICE CLASSIFICATION</v>
      </c>
      <c r="C492" s="61"/>
      <c r="D492" s="55" t="s">
        <v>66</v>
      </c>
      <c r="E492" s="62"/>
      <c r="F492" s="71">
        <v>5.9999999999999995E-4</v>
      </c>
      <c r="G492" s="86">
        <f>IF($E474&gt;0, $E474, $E473)</f>
        <v>750</v>
      </c>
      <c r="H492" s="65">
        <f t="shared" si="51"/>
        <v>0.44999999999999996</v>
      </c>
      <c r="I492" s="72">
        <v>1.6651269671003146E-3</v>
      </c>
      <c r="J492" s="87">
        <f>IF($E474&gt;0, $E474, $E473)</f>
        <v>750</v>
      </c>
      <c r="K492" s="68">
        <f t="shared" si="52"/>
        <v>1.248845225325236</v>
      </c>
      <c r="L492" s="69">
        <f t="shared" si="50"/>
        <v>0.79884522532523605</v>
      </c>
      <c r="M492" s="70">
        <f t="shared" si="53"/>
        <v>1.7752116118338581</v>
      </c>
    </row>
    <row r="493" spans="1:13" ht="13" x14ac:dyDescent="0.25">
      <c r="A493" s="14" t="str">
        <f t="shared" si="49"/>
        <v>RESIDENTIAL SERVICE CLASSIFICATION</v>
      </c>
      <c r="C493" s="61"/>
      <c r="D493" s="83" t="s">
        <v>67</v>
      </c>
      <c r="E493" s="62"/>
      <c r="F493" s="88">
        <v>0.42</v>
      </c>
      <c r="G493" s="64">
        <v>1</v>
      </c>
      <c r="H493" s="65">
        <f t="shared" si="51"/>
        <v>0.42</v>
      </c>
      <c r="I493" s="89">
        <v>0.42</v>
      </c>
      <c r="J493" s="73">
        <v>1</v>
      </c>
      <c r="K493" s="68">
        <f t="shared" si="52"/>
        <v>0.42</v>
      </c>
      <c r="L493" s="69">
        <f t="shared" si="50"/>
        <v>0</v>
      </c>
      <c r="M493" s="70">
        <f t="shared" si="53"/>
        <v>0</v>
      </c>
    </row>
    <row r="494" spans="1:13" ht="13" x14ac:dyDescent="0.25">
      <c r="A494" s="14" t="str">
        <f t="shared" si="49"/>
        <v>RESIDENTIAL SERVICE CLASSIFICATION</v>
      </c>
      <c r="C494" s="61"/>
      <c r="D494" s="55" t="s">
        <v>68</v>
      </c>
      <c r="E494" s="62"/>
      <c r="F494" s="63">
        <v>0</v>
      </c>
      <c r="G494" s="64">
        <v>1</v>
      </c>
      <c r="H494" s="65">
        <f t="shared" si="51"/>
        <v>0</v>
      </c>
      <c r="I494" s="66">
        <v>0</v>
      </c>
      <c r="J494" s="73">
        <v>1</v>
      </c>
      <c r="K494" s="68">
        <f t="shared" si="52"/>
        <v>0</v>
      </c>
      <c r="L494" s="69">
        <f t="shared" si="50"/>
        <v>0</v>
      </c>
      <c r="M494" s="70" t="str">
        <f t="shared" si="53"/>
        <v/>
      </c>
    </row>
    <row r="495" spans="1:13" ht="13" x14ac:dyDescent="0.25">
      <c r="A495" s="14" t="str">
        <f t="shared" si="49"/>
        <v>RESIDENTIAL SERVICE CLASSIFICATION</v>
      </c>
      <c r="C495" s="61"/>
      <c r="D495" s="55" t="s">
        <v>69</v>
      </c>
      <c r="E495" s="62"/>
      <c r="F495" s="71">
        <v>0</v>
      </c>
      <c r="G495" s="86">
        <f>IF($E474&gt;0, $E474, $E473)</f>
        <v>750</v>
      </c>
      <c r="H495" s="65">
        <f t="shared" si="51"/>
        <v>0</v>
      </c>
      <c r="I495" s="72">
        <v>0</v>
      </c>
      <c r="J495" s="87">
        <f>IF($E474&gt;0, $E474, $E473)</f>
        <v>750</v>
      </c>
      <c r="K495" s="68">
        <f t="shared" si="52"/>
        <v>0</v>
      </c>
      <c r="L495" s="69">
        <f t="shared" si="50"/>
        <v>0</v>
      </c>
      <c r="M495" s="70" t="str">
        <f t="shared" si="53"/>
        <v/>
      </c>
    </row>
    <row r="496" spans="1:13" ht="26" x14ac:dyDescent="0.25">
      <c r="A496" s="14" t="str">
        <f t="shared" si="49"/>
        <v>RESIDENTIAL SERVICE CLASSIFICATION</v>
      </c>
      <c r="B496" s="14" t="s">
        <v>70</v>
      </c>
      <c r="C496" s="61">
        <f>B37</f>
        <v>8</v>
      </c>
      <c r="D496" s="90" t="s">
        <v>71</v>
      </c>
      <c r="E496" s="91"/>
      <c r="F496" s="92"/>
      <c r="G496" s="93"/>
      <c r="H496" s="94">
        <f>SUM(H487:H495)</f>
        <v>32.867270000000005</v>
      </c>
      <c r="I496" s="95"/>
      <c r="J496" s="96"/>
      <c r="K496" s="94">
        <f>SUM(K487:K495)</f>
        <v>31.381115225325249</v>
      </c>
      <c r="L496" s="81">
        <f t="shared" si="50"/>
        <v>-1.4861547746747554</v>
      </c>
      <c r="M496" s="82">
        <f>IF((H496)=0,"",(L496/H496))</f>
        <v>-4.5216860867201787E-2</v>
      </c>
    </row>
    <row r="497" spans="1:13" ht="13" x14ac:dyDescent="0.25">
      <c r="A497" s="14" t="str">
        <f t="shared" si="49"/>
        <v>RESIDENTIAL SERVICE CLASSIFICATION</v>
      </c>
      <c r="C497" s="61"/>
      <c r="D497" s="97" t="s">
        <v>72</v>
      </c>
      <c r="E497" s="62"/>
      <c r="F497" s="71">
        <v>9.2999999999999992E-3</v>
      </c>
      <c r="G497" s="84">
        <f>IF($E474&gt;0, $E474, $E473*$E475)</f>
        <v>792.07500000000005</v>
      </c>
      <c r="H497" s="65">
        <f>G497*F497</f>
        <v>7.3662974999999999</v>
      </c>
      <c r="I497" s="98">
        <v>9.2999999999999992E-3</v>
      </c>
      <c r="J497" s="85">
        <f>IF($E474&gt;0, $E474, $E473*$E476)</f>
        <v>792.07500000000005</v>
      </c>
      <c r="K497" s="68">
        <f>J497*I497</f>
        <v>7.3662974999999999</v>
      </c>
      <c r="L497" s="69">
        <f t="shared" si="50"/>
        <v>0</v>
      </c>
      <c r="M497" s="70">
        <f>IF(ISERROR(L497/H497), "", L497/H497)</f>
        <v>0</v>
      </c>
    </row>
    <row r="498" spans="1:13" ht="25" x14ac:dyDescent="0.25">
      <c r="A498" s="14" t="str">
        <f t="shared" si="49"/>
        <v>RESIDENTIAL SERVICE CLASSIFICATION</v>
      </c>
      <c r="C498" s="61"/>
      <c r="D498" s="99" t="s">
        <v>73</v>
      </c>
      <c r="E498" s="62"/>
      <c r="F498" s="71">
        <v>6.7999999999999996E-3</v>
      </c>
      <c r="G498" s="84">
        <f>IF($E474&gt;0, $E474, $E473*$E475)</f>
        <v>792.07500000000005</v>
      </c>
      <c r="H498" s="65">
        <f>G498*F498</f>
        <v>5.3861100000000004</v>
      </c>
      <c r="I498" s="98">
        <v>6.7999999999999996E-3</v>
      </c>
      <c r="J498" s="85">
        <f>IF($E474&gt;0, $E474, $E473*$E476)</f>
        <v>792.07500000000005</v>
      </c>
      <c r="K498" s="68">
        <f>J498*I498</f>
        <v>5.3861100000000004</v>
      </c>
      <c r="L498" s="69">
        <f t="shared" si="50"/>
        <v>0</v>
      </c>
      <c r="M498" s="70">
        <f>IF(ISERROR(L498/H498), "", L498/H498)</f>
        <v>0</v>
      </c>
    </row>
    <row r="499" spans="1:13" ht="26" x14ac:dyDescent="0.25">
      <c r="A499" s="14" t="str">
        <f t="shared" si="49"/>
        <v>RESIDENTIAL SERVICE CLASSIFICATION</v>
      </c>
      <c r="B499" s="14" t="s">
        <v>74</v>
      </c>
      <c r="C499" s="61">
        <f>B37</f>
        <v>8</v>
      </c>
      <c r="D499" s="90" t="s">
        <v>75</v>
      </c>
      <c r="E499" s="75"/>
      <c r="F499" s="92"/>
      <c r="G499" s="93"/>
      <c r="H499" s="94">
        <f>SUM(H496:H498)</f>
        <v>45.619677500000009</v>
      </c>
      <c r="I499" s="95"/>
      <c r="J499" s="80"/>
      <c r="K499" s="94">
        <f>SUM(K496:K498)</f>
        <v>44.13352272532525</v>
      </c>
      <c r="L499" s="81">
        <f t="shared" si="50"/>
        <v>-1.486154774674759</v>
      </c>
      <c r="M499" s="82">
        <f>IF((H499)=0,"",(L499/H499))</f>
        <v>-3.2577055694327492E-2</v>
      </c>
    </row>
    <row r="500" spans="1:13" ht="25" x14ac:dyDescent="0.25">
      <c r="A500" s="14" t="str">
        <f t="shared" si="49"/>
        <v>RESIDENTIAL SERVICE CLASSIFICATION</v>
      </c>
      <c r="C500" s="61"/>
      <c r="D500" s="100" t="s">
        <v>76</v>
      </c>
      <c r="E500" s="62"/>
      <c r="F500" s="71">
        <v>4.5000000000000005E-3</v>
      </c>
      <c r="G500" s="84">
        <f>E473*E475</f>
        <v>792.07500000000005</v>
      </c>
      <c r="H500" s="101">
        <f>G500*F500</f>
        <v>3.5643375000000006</v>
      </c>
      <c r="I500" s="72">
        <v>4.5000000000000005E-3</v>
      </c>
      <c r="J500" s="85">
        <f>E473*E476</f>
        <v>792.07500000000005</v>
      </c>
      <c r="K500" s="68">
        <f>J500*I500</f>
        <v>3.5643375000000006</v>
      </c>
      <c r="L500" s="69">
        <f t="shared" si="50"/>
        <v>0</v>
      </c>
      <c r="M500" s="70">
        <f>IF(ISERROR(L500/H500), "", L500/H500)</f>
        <v>0</v>
      </c>
    </row>
    <row r="501" spans="1:13" ht="25" x14ac:dyDescent="0.25">
      <c r="A501" s="14" t="str">
        <f t="shared" si="49"/>
        <v>RESIDENTIAL SERVICE CLASSIFICATION</v>
      </c>
      <c r="C501" s="61"/>
      <c r="D501" s="100" t="s">
        <v>77</v>
      </c>
      <c r="E501" s="62"/>
      <c r="F501" s="71">
        <v>6.9999999999999999E-4</v>
      </c>
      <c r="G501" s="84">
        <f>E473*E475</f>
        <v>792.07500000000005</v>
      </c>
      <c r="H501" s="101">
        <f>G501*F501</f>
        <v>0.55445250000000001</v>
      </c>
      <c r="I501" s="72">
        <v>6.9999999999999999E-4</v>
      </c>
      <c r="J501" s="85">
        <f>E473*E476</f>
        <v>792.07500000000005</v>
      </c>
      <c r="K501" s="68">
        <f>J501*I501</f>
        <v>0.55445250000000001</v>
      </c>
      <c r="L501" s="69">
        <f t="shared" si="50"/>
        <v>0</v>
      </c>
      <c r="M501" s="70">
        <f>IF(ISERROR(L501/H501), "", L501/H501)</f>
        <v>0</v>
      </c>
    </row>
    <row r="502" spans="1:13" ht="13" x14ac:dyDescent="0.25">
      <c r="A502" s="14" t="str">
        <f t="shared" si="49"/>
        <v>RESIDENTIAL SERVICE CLASSIFICATION</v>
      </c>
      <c r="C502" s="61"/>
      <c r="D502" s="102" t="s">
        <v>78</v>
      </c>
      <c r="E502" s="62"/>
      <c r="F502" s="149"/>
      <c r="G502" s="150"/>
      <c r="H502" s="151"/>
      <c r="I502" s="152"/>
      <c r="J502" s="153"/>
      <c r="K502" s="154"/>
      <c r="L502" s="155"/>
      <c r="M502" s="156"/>
    </row>
    <row r="503" spans="1:13" ht="25" x14ac:dyDescent="0.25">
      <c r="A503" s="14" t="str">
        <f t="shared" si="49"/>
        <v>RESIDENTIAL SERVICE CLASSIFICATION</v>
      </c>
      <c r="C503" s="61"/>
      <c r="D503" s="100" t="s">
        <v>79</v>
      </c>
      <c r="E503" s="62"/>
      <c r="F503" s="71"/>
      <c r="G503" s="84"/>
      <c r="H503" s="101"/>
      <c r="I503" s="72"/>
      <c r="J503" s="85"/>
      <c r="K503" s="68"/>
      <c r="L503" s="69"/>
      <c r="M503" s="70"/>
    </row>
    <row r="504" spans="1:13" ht="13" x14ac:dyDescent="0.25">
      <c r="A504" s="14" t="str">
        <f t="shared" si="49"/>
        <v>RESIDENTIAL SERVICE CLASSIFICATION</v>
      </c>
      <c r="B504" s="14" t="s">
        <v>15</v>
      </c>
      <c r="C504" s="61"/>
      <c r="D504" s="102" t="s">
        <v>80</v>
      </c>
      <c r="E504" s="62"/>
      <c r="F504" s="103">
        <v>7.3999999999999996E-2</v>
      </c>
      <c r="G504" s="104">
        <v>472.5</v>
      </c>
      <c r="H504" s="101">
        <f>G504*F504</f>
        <v>34.964999999999996</v>
      </c>
      <c r="I504" s="105">
        <v>7.3999999999999996E-2</v>
      </c>
      <c r="J504" s="106">
        <v>472.5</v>
      </c>
      <c r="K504" s="68">
        <f>J504*I504</f>
        <v>34.964999999999996</v>
      </c>
      <c r="L504" s="69">
        <f>K504-H504</f>
        <v>0</v>
      </c>
      <c r="M504" s="70">
        <f>IF(ISERROR(L504/H504), "", L504/H504)</f>
        <v>0</v>
      </c>
    </row>
    <row r="505" spans="1:13" ht="13" x14ac:dyDescent="0.25">
      <c r="A505" s="14" t="str">
        <f t="shared" si="49"/>
        <v>RESIDENTIAL SERVICE CLASSIFICATION</v>
      </c>
      <c r="B505" s="14" t="s">
        <v>15</v>
      </c>
      <c r="C505" s="61"/>
      <c r="D505" s="102" t="s">
        <v>81</v>
      </c>
      <c r="E505" s="62"/>
      <c r="F505" s="103">
        <v>0.10199999999999999</v>
      </c>
      <c r="G505" s="104">
        <v>135</v>
      </c>
      <c r="H505" s="101">
        <f>G505*F505</f>
        <v>13.77</v>
      </c>
      <c r="I505" s="105">
        <v>0.10199999999999999</v>
      </c>
      <c r="J505" s="106">
        <v>135</v>
      </c>
      <c r="K505" s="68">
        <f>J505*I505</f>
        <v>13.77</v>
      </c>
      <c r="L505" s="69">
        <f>K505-H505</f>
        <v>0</v>
      </c>
      <c r="M505" s="70">
        <f>IF(ISERROR(L505/H505), "", L505/H505)</f>
        <v>0</v>
      </c>
    </row>
    <row r="506" spans="1:13" ht="13" x14ac:dyDescent="0.25">
      <c r="A506" s="14" t="str">
        <f t="shared" si="49"/>
        <v>RESIDENTIAL SERVICE CLASSIFICATION</v>
      </c>
      <c r="B506" s="14" t="s">
        <v>15</v>
      </c>
      <c r="C506" s="61"/>
      <c r="D506" s="14" t="s">
        <v>82</v>
      </c>
      <c r="E506" s="62"/>
      <c r="F506" s="103">
        <v>0.151</v>
      </c>
      <c r="G506" s="104">
        <v>142.5</v>
      </c>
      <c r="H506" s="101">
        <f>G506*F506</f>
        <v>21.517499999999998</v>
      </c>
      <c r="I506" s="105">
        <v>0.151</v>
      </c>
      <c r="J506" s="106">
        <v>142.5</v>
      </c>
      <c r="K506" s="68">
        <f>J506*I506</f>
        <v>21.517499999999998</v>
      </c>
      <c r="L506" s="69">
        <f>K506-H506</f>
        <v>0</v>
      </c>
      <c r="M506" s="70">
        <f>IF(ISERROR(L506/H506), "", L506/H506)</f>
        <v>0</v>
      </c>
    </row>
    <row r="507" spans="1:13" ht="13" x14ac:dyDescent="0.25">
      <c r="A507" s="14" t="str">
        <f t="shared" si="49"/>
        <v>RESIDENTIAL SERVICE CLASSIFICATION</v>
      </c>
      <c r="B507" s="14" t="s">
        <v>25</v>
      </c>
      <c r="C507" s="61"/>
      <c r="D507" s="102" t="s">
        <v>83</v>
      </c>
      <c r="E507" s="62"/>
      <c r="F507" s="107">
        <v>0.1076</v>
      </c>
      <c r="G507" s="104">
        <f>IF(AND(E473*12&gt;=150000),E473*E475,E473)</f>
        <v>750</v>
      </c>
      <c r="H507" s="101">
        <f>G507*F507</f>
        <v>80.7</v>
      </c>
      <c r="I507" s="108">
        <f>F507</f>
        <v>0.1076</v>
      </c>
      <c r="J507" s="106">
        <f>IF(AND(E473*12&gt;=150000),E473*E476,E473)</f>
        <v>750</v>
      </c>
      <c r="K507" s="68">
        <f>J507*I507</f>
        <v>80.7</v>
      </c>
      <c r="L507" s="69">
        <f>K507-H507</f>
        <v>0</v>
      </c>
      <c r="M507" s="70">
        <f>IF(ISERROR(L507/H507), "", L507/H507)</f>
        <v>0</v>
      </c>
    </row>
    <row r="508" spans="1:13" ht="13.5" thickBot="1" x14ac:dyDescent="0.3">
      <c r="A508" s="14" t="str">
        <f t="shared" si="49"/>
        <v>RESIDENTIAL SERVICE CLASSIFICATION</v>
      </c>
      <c r="B508" s="14" t="s">
        <v>20</v>
      </c>
      <c r="C508" s="61"/>
      <c r="D508" s="102" t="s">
        <v>84</v>
      </c>
      <c r="E508" s="62"/>
      <c r="F508" s="107">
        <v>0.1076</v>
      </c>
      <c r="G508" s="104">
        <f>IF(AND(E473*12&gt;=150000),E473*E475,E473)</f>
        <v>750</v>
      </c>
      <c r="H508" s="101">
        <f>G508*F508</f>
        <v>80.7</v>
      </c>
      <c r="I508" s="108">
        <f>F508</f>
        <v>0.1076</v>
      </c>
      <c r="J508" s="106">
        <f>IF(AND(E473*12&gt;=150000),E473*E476,E473)</f>
        <v>750</v>
      </c>
      <c r="K508" s="68">
        <f>J508*I508</f>
        <v>80.7</v>
      </c>
      <c r="L508" s="69">
        <f>K508-H508</f>
        <v>0</v>
      </c>
      <c r="M508" s="70">
        <f>IF(ISERROR(L508/H508), "", L508/H508)</f>
        <v>0</v>
      </c>
    </row>
    <row r="509" spans="1:13" ht="13" thickBot="1" x14ac:dyDescent="0.3">
      <c r="A509" s="14" t="str">
        <f t="shared" si="49"/>
        <v>RESIDENTIAL SERVICE CLASSIFICATION</v>
      </c>
      <c r="C509" s="61"/>
      <c r="D509" s="109"/>
      <c r="E509" s="110"/>
      <c r="F509" s="111"/>
      <c r="G509" s="112"/>
      <c r="H509" s="113"/>
      <c r="I509" s="111"/>
      <c r="J509" s="114"/>
      <c r="K509" s="113"/>
      <c r="L509" s="115"/>
      <c r="M509" s="116"/>
    </row>
    <row r="510" spans="1:13" ht="13" x14ac:dyDescent="0.25">
      <c r="A510" s="14" t="str">
        <f t="shared" si="49"/>
        <v>RESIDENTIAL SERVICE CLASSIFICATION</v>
      </c>
      <c r="B510" s="14" t="s">
        <v>15</v>
      </c>
      <c r="C510" s="61"/>
      <c r="D510" s="117" t="s">
        <v>85</v>
      </c>
      <c r="E510" s="102"/>
      <c r="F510" s="118"/>
      <c r="G510" s="119"/>
      <c r="H510" s="120">
        <f>SUM(H500:H506,H499)</f>
        <v>119.9909675</v>
      </c>
      <c r="I510" s="121"/>
      <c r="J510" s="121"/>
      <c r="K510" s="120">
        <f>SUM(K500:K506,K499)</f>
        <v>118.50481272532524</v>
      </c>
      <c r="L510" s="122">
        <f>K510-H510</f>
        <v>-1.486154774674759</v>
      </c>
      <c r="M510" s="123">
        <f>IF((H510)=0,"",(L510/H510))</f>
        <v>-1.2385555393365413E-2</v>
      </c>
    </row>
    <row r="511" spans="1:13" x14ac:dyDescent="0.25">
      <c r="A511" s="14" t="str">
        <f t="shared" si="49"/>
        <v>RESIDENTIAL SERVICE CLASSIFICATION</v>
      </c>
      <c r="B511" s="14" t="s">
        <v>15</v>
      </c>
      <c r="C511" s="61"/>
      <c r="D511" s="124" t="s">
        <v>86</v>
      </c>
      <c r="E511" s="102"/>
      <c r="F511" s="118">
        <v>0.13</v>
      </c>
      <c r="G511" s="125"/>
      <c r="H511" s="126">
        <f>H510*F511</f>
        <v>15.598825775</v>
      </c>
      <c r="I511" s="127">
        <v>0.13</v>
      </c>
      <c r="J511" s="64"/>
      <c r="K511" s="126">
        <f>K510*I511</f>
        <v>15.405625654292281</v>
      </c>
      <c r="L511" s="69">
        <f>K511-H511</f>
        <v>-0.19320012070771853</v>
      </c>
      <c r="M511" s="128">
        <f>IF((H511)=0,"",(L511/H511))</f>
        <v>-1.2385555393365404E-2</v>
      </c>
    </row>
    <row r="512" spans="1:13" ht="14.5" x14ac:dyDescent="0.35">
      <c r="A512" s="14" t="str">
        <f t="shared" si="49"/>
        <v>RESIDENTIAL SERVICE CLASSIFICATION</v>
      </c>
      <c r="B512" s="14" t="s">
        <v>15</v>
      </c>
      <c r="C512" s="61"/>
      <c r="D512" s="124" t="s">
        <v>87</v>
      </c>
      <c r="E512"/>
      <c r="F512" s="129">
        <v>0.11700000000000001</v>
      </c>
      <c r="G512" s="125"/>
      <c r="H512" s="126">
        <f>IF(OR(ISNUMBER(SEARCH("[DGEN]", E471))=TRUE, ISNUMBER(SEARCH("STREET LIGHT", E471))=TRUE), 0, IF(AND(E473=0, E474=0),0, IF(AND(E474=0, E473*12&gt;250000), 0, IF(AND(E473=0, E474&gt;=50), 0, IF(E473*12&lt;=250000, F512*H510*-1, IF(E474&lt;50, F512*H510*-1, 0))))))</f>
        <v>-14.0389431975</v>
      </c>
      <c r="I512" s="129">
        <v>0.11700000000000001</v>
      </c>
      <c r="J512" s="64"/>
      <c r="K512" s="126">
        <f>IF(OR(ISNUMBER(SEARCH("[DGEN]", E471))=TRUE, ISNUMBER(SEARCH("STREET LIGHT", E471))=TRUE), 0, IF(AND(E473=0, E474=0),0, IF(AND(E474=0, E473*12&gt;250000), 0, IF(AND(E473=0, E474&gt;=50), 0, IF(E473*12&lt;=250000, I512*K510*-1, IF(E474&lt;50, I512*K510*-1, 0))))))</f>
        <v>-13.865063088863053</v>
      </c>
      <c r="L512" s="69">
        <f>K512-H512</f>
        <v>0.17388010863694703</v>
      </c>
      <c r="M512" s="128"/>
    </row>
    <row r="513" spans="1:18" ht="13.5" thickBot="1" x14ac:dyDescent="0.3">
      <c r="A513" s="14" t="str">
        <f t="shared" si="49"/>
        <v>RESIDENTIAL SERVICE CLASSIFICATION</v>
      </c>
      <c r="B513" s="14" t="s">
        <v>88</v>
      </c>
      <c r="C513" s="61"/>
      <c r="D513" s="181" t="s">
        <v>89</v>
      </c>
      <c r="E513" s="181"/>
      <c r="F513" s="130"/>
      <c r="G513" s="131"/>
      <c r="H513" s="132">
        <f>H510+H511+H512</f>
        <v>121.5508500775</v>
      </c>
      <c r="I513" s="133"/>
      <c r="J513" s="133"/>
      <c r="K513" s="134">
        <f>K510+K511+K512</f>
        <v>120.04537529075446</v>
      </c>
      <c r="L513" s="135">
        <f>K513-H513</f>
        <v>-1.5054747867455376</v>
      </c>
      <c r="M513" s="136">
        <f>IF((H513)=0,"",(L513/H513))</f>
        <v>-1.2385555393365468E-2</v>
      </c>
    </row>
    <row r="514" spans="1:18" ht="13" thickBot="1" x14ac:dyDescent="0.3">
      <c r="A514" s="14" t="str">
        <f t="shared" si="49"/>
        <v>RESIDENTIAL SERVICE CLASSIFICATION</v>
      </c>
      <c r="B514" s="14" t="s">
        <v>15</v>
      </c>
      <c r="C514" s="61"/>
      <c r="D514" s="109"/>
      <c r="E514" s="110"/>
      <c r="F514" s="111"/>
      <c r="G514" s="112"/>
      <c r="H514" s="113"/>
      <c r="I514" s="111"/>
      <c r="J514" s="114"/>
      <c r="K514" s="113"/>
      <c r="L514" s="115"/>
      <c r="M514" s="116"/>
    </row>
    <row r="515" spans="1:18" ht="13" x14ac:dyDescent="0.25">
      <c r="A515" s="14" t="str">
        <f t="shared" si="49"/>
        <v>RESIDENTIAL SERVICE CLASSIFICATION</v>
      </c>
      <c r="B515" s="14" t="s">
        <v>25</v>
      </c>
      <c r="C515" s="61"/>
      <c r="D515" s="117" t="s">
        <v>90</v>
      </c>
      <c r="E515" s="102"/>
      <c r="F515" s="118"/>
      <c r="G515" s="119"/>
      <c r="H515" s="120">
        <f>SUM(H507,H500:H503,H499)</f>
        <v>130.4384675</v>
      </c>
      <c r="I515" s="121"/>
      <c r="J515" s="121"/>
      <c r="K515" s="120">
        <f>SUM(K507,K500:K503,K499)</f>
        <v>128.95231272532527</v>
      </c>
      <c r="L515" s="122">
        <f>K515-H515</f>
        <v>-1.4861547746747306</v>
      </c>
      <c r="M515" s="123">
        <f>IF((H515)=0,"",(L515/H515))</f>
        <v>-1.1393531395749728E-2</v>
      </c>
    </row>
    <row r="516" spans="1:18" x14ac:dyDescent="0.25">
      <c r="A516" s="14" t="str">
        <f t="shared" si="49"/>
        <v>RESIDENTIAL SERVICE CLASSIFICATION</v>
      </c>
      <c r="B516" s="14" t="s">
        <v>25</v>
      </c>
      <c r="C516" s="61"/>
      <c r="D516" s="124" t="s">
        <v>86</v>
      </c>
      <c r="E516" s="102"/>
      <c r="F516" s="118">
        <v>0.13</v>
      </c>
      <c r="G516" s="119"/>
      <c r="H516" s="126">
        <f>H515*F516</f>
        <v>16.957000775000001</v>
      </c>
      <c r="I516" s="118">
        <v>0.13</v>
      </c>
      <c r="J516" s="127"/>
      <c r="K516" s="126">
        <f>K515*I516</f>
        <v>16.763800654292286</v>
      </c>
      <c r="L516" s="69">
        <f>K516-H516</f>
        <v>-0.19320012070771497</v>
      </c>
      <c r="M516" s="128">
        <f>IF((H516)=0,"",(L516/H516))</f>
        <v>-1.1393531395749728E-2</v>
      </c>
    </row>
    <row r="517" spans="1:18" ht="14.5" x14ac:dyDescent="0.35">
      <c r="A517" s="14" t="str">
        <f t="shared" si="49"/>
        <v>RESIDENTIAL SERVICE CLASSIFICATION</v>
      </c>
      <c r="B517" s="14" t="s">
        <v>25</v>
      </c>
      <c r="C517" s="61"/>
      <c r="D517" s="124" t="s">
        <v>87</v>
      </c>
      <c r="E517"/>
      <c r="F517" s="129">
        <v>0.11700000000000001</v>
      </c>
      <c r="G517" s="119"/>
      <c r="H517" s="126">
        <f>IF(OR(ISNUMBER(SEARCH("[DGEN]", E471))=TRUE, ISNUMBER(SEARCH("STREET LIGHT", E471))=TRUE), 0, IF(AND(E473=0, E474=0),0, IF(AND(E474=0, E473*12&gt;250000), 0, IF(AND(E473=0, E474&gt;=50), 0, IF(E473*12&lt;=250000, F517*H515*-1, IF(E474&lt;50, F517*H515*-1, 0))))))</f>
        <v>-15.261300697500001</v>
      </c>
      <c r="I517" s="129">
        <v>0.11700000000000001</v>
      </c>
      <c r="J517" s="127"/>
      <c r="K517" s="126">
        <f>IF(OR(ISNUMBER(SEARCH("[DGEN]", E471))=TRUE, ISNUMBER(SEARCH("STREET LIGHT", E471))=TRUE), 0, IF(AND(E473=0, E474=0),0, IF(AND(E474=0, E473*12&gt;250000), 0, IF(AND(E473=0, E474&gt;=50), 0, IF(E473*12&lt;=250000, I517*K515*-1, IF(E474&lt;50, I517*K515*-1, 0))))))</f>
        <v>-15.087420588863058</v>
      </c>
      <c r="L517" s="69"/>
      <c r="M517" s="128"/>
    </row>
    <row r="518" spans="1:18" ht="13.5" thickBot="1" x14ac:dyDescent="0.3">
      <c r="A518" s="14" t="str">
        <f t="shared" si="49"/>
        <v>RESIDENTIAL SERVICE CLASSIFICATION</v>
      </c>
      <c r="B518" s="14" t="s">
        <v>91</v>
      </c>
      <c r="C518" s="61">
        <f>B37</f>
        <v>8</v>
      </c>
      <c r="D518" s="181" t="s">
        <v>90</v>
      </c>
      <c r="E518" s="181"/>
      <c r="F518" s="137"/>
      <c r="G518" s="138"/>
      <c r="H518" s="132">
        <f>SUM(H515,H516)</f>
        <v>147.39546827500001</v>
      </c>
      <c r="I518" s="139"/>
      <c r="J518" s="139"/>
      <c r="K518" s="132">
        <f>SUM(K515,K516)</f>
        <v>145.71611337961755</v>
      </c>
      <c r="L518" s="140">
        <f>K518-H518</f>
        <v>-1.6793548953824597</v>
      </c>
      <c r="M518" s="141">
        <f>IF((H518)=0,"",(L518/H518))</f>
        <v>-1.1393531395749824E-2</v>
      </c>
    </row>
    <row r="519" spans="1:18" ht="13" thickBot="1" x14ac:dyDescent="0.3">
      <c r="A519" s="14" t="str">
        <f t="shared" si="49"/>
        <v>RESIDENTIAL SERVICE CLASSIFICATION</v>
      </c>
      <c r="B519" s="14" t="s">
        <v>25</v>
      </c>
      <c r="C519" s="61"/>
      <c r="D519" s="109"/>
      <c r="E519" s="110"/>
      <c r="F519" s="142"/>
      <c r="G519" s="143"/>
      <c r="H519" s="144"/>
      <c r="I519" s="142"/>
      <c r="J519" s="112"/>
      <c r="K519" s="144"/>
      <c r="L519" s="145"/>
      <c r="M519" s="116"/>
    </row>
    <row r="520" spans="1:18" ht="13" x14ac:dyDescent="0.25">
      <c r="A520" s="14" t="str">
        <f t="shared" si="49"/>
        <v>RESIDENTIAL SERVICE CLASSIFICATION</v>
      </c>
      <c r="B520" s="14" t="s">
        <v>20</v>
      </c>
      <c r="C520" s="61"/>
      <c r="D520" s="117" t="s">
        <v>92</v>
      </c>
      <c r="E520" s="102"/>
      <c r="F520" s="118"/>
      <c r="G520" s="119"/>
      <c r="H520" s="120">
        <f>SUM(H508,H500:H503,H499)</f>
        <v>130.4384675</v>
      </c>
      <c r="I520" s="121"/>
      <c r="J520" s="121"/>
      <c r="K520" s="120">
        <f>SUM(K508,K500:K503,K499)</f>
        <v>128.95231272532527</v>
      </c>
      <c r="L520" s="122">
        <f>K520-H520</f>
        <v>-1.4861547746747306</v>
      </c>
      <c r="M520" s="123">
        <f>IF((H520)=0,"",(L520/H520))</f>
        <v>-1.1393531395749728E-2</v>
      </c>
    </row>
    <row r="521" spans="1:18" x14ac:dyDescent="0.25">
      <c r="A521" s="14" t="str">
        <f t="shared" si="49"/>
        <v>RESIDENTIAL SERVICE CLASSIFICATION</v>
      </c>
      <c r="B521" s="14" t="s">
        <v>20</v>
      </c>
      <c r="C521" s="61"/>
      <c r="D521" s="124" t="s">
        <v>86</v>
      </c>
      <c r="E521" s="102"/>
      <c r="F521" s="118">
        <v>0.13</v>
      </c>
      <c r="G521" s="119"/>
      <c r="H521" s="126">
        <f>H520*F521</f>
        <v>16.957000775000001</v>
      </c>
      <c r="I521" s="118">
        <v>0.13</v>
      </c>
      <c r="J521" s="127"/>
      <c r="K521" s="126">
        <f>K520*I521</f>
        <v>16.763800654292286</v>
      </c>
      <c r="L521" s="69">
        <f>K521-H521</f>
        <v>-0.19320012070771497</v>
      </c>
      <c r="M521" s="128">
        <f>IF((H521)=0,"",(L521/H521))</f>
        <v>-1.1393531395749728E-2</v>
      </c>
    </row>
    <row r="522" spans="1:18" ht="14.5" x14ac:dyDescent="0.35">
      <c r="A522" s="14" t="str">
        <f t="shared" si="49"/>
        <v>RESIDENTIAL SERVICE CLASSIFICATION</v>
      </c>
      <c r="B522" s="14" t="s">
        <v>20</v>
      </c>
      <c r="C522" s="61"/>
      <c r="D522" s="124" t="s">
        <v>87</v>
      </c>
      <c r="E522"/>
      <c r="F522" s="129">
        <v>0.11700000000000001</v>
      </c>
      <c r="G522" s="119"/>
      <c r="H522" s="126">
        <f>IF(OR(ISNUMBER(SEARCH("[DGEN]", E471))=TRUE, ISNUMBER(SEARCH("STREET LIGHT", E471))=TRUE), 0, IF(AND(E473=0, E474=0),0, IF(AND(E474=0, E473*12&gt;250000), 0, IF(AND(E473=0, E474&gt;=50), 0, IF(E473*12&lt;=250000, F522*H520*-1, IF(E474&lt;50, F522*H520*-1, 0))))))</f>
        <v>-15.261300697500001</v>
      </c>
      <c r="I522" s="129">
        <v>0.11700000000000001</v>
      </c>
      <c r="J522" s="127"/>
      <c r="K522" s="126">
        <f>IF(OR(ISNUMBER(SEARCH("[DGEN]", E471))=TRUE, ISNUMBER(SEARCH("STREET LIGHT", E471))=TRUE), 0, IF(AND(E473=0, E474=0),0, IF(AND(E474=0, E473*12&gt;250000), 0, IF(AND(E473=0, E474&gt;=50), 0, IF(E473*12&lt;=250000, I522*K520*-1, IF(E474&lt;50, I522*K520*-1, 0))))))</f>
        <v>-15.087420588863058</v>
      </c>
      <c r="L522" s="69"/>
      <c r="M522" s="128"/>
    </row>
    <row r="523" spans="1:18" ht="13.5" thickBot="1" x14ac:dyDescent="0.3">
      <c r="A523" s="14" t="str">
        <f t="shared" si="49"/>
        <v>RESIDENTIAL SERVICE CLASSIFICATION</v>
      </c>
      <c r="B523" s="14" t="s">
        <v>93</v>
      </c>
      <c r="C523" s="61"/>
      <c r="D523" s="181" t="s">
        <v>92</v>
      </c>
      <c r="E523" s="181"/>
      <c r="F523" s="137"/>
      <c r="G523" s="138"/>
      <c r="H523" s="132">
        <f>SUM(H520,H521)</f>
        <v>147.39546827500001</v>
      </c>
      <c r="I523" s="139"/>
      <c r="J523" s="139"/>
      <c r="K523" s="132">
        <f>SUM(K520,K521)</f>
        <v>145.71611337961755</v>
      </c>
      <c r="L523" s="140">
        <f>K523-H523</f>
        <v>-1.6793548953824597</v>
      </c>
      <c r="M523" s="141">
        <f>IF((H523)=0,"",(L523/H523))</f>
        <v>-1.1393531395749824E-2</v>
      </c>
    </row>
    <row r="524" spans="1:18" ht="13" thickBot="1" x14ac:dyDescent="0.3">
      <c r="A524" s="14" t="str">
        <f t="shared" si="49"/>
        <v>RESIDENTIAL SERVICE CLASSIFICATION</v>
      </c>
      <c r="B524" s="14" t="s">
        <v>20</v>
      </c>
      <c r="C524" s="61"/>
      <c r="D524" s="109"/>
      <c r="E524" s="110"/>
      <c r="F524" s="146"/>
      <c r="G524" s="143"/>
      <c r="H524" s="147"/>
      <c r="I524" s="146"/>
      <c r="J524" s="112"/>
      <c r="K524" s="147"/>
      <c r="L524" s="145"/>
      <c r="M524" s="148"/>
    </row>
    <row r="527" spans="1:18" ht="13" x14ac:dyDescent="0.25">
      <c r="C527" s="14"/>
      <c r="D527" s="46" t="s">
        <v>39</v>
      </c>
      <c r="E527" s="176" t="str">
        <f>D38</f>
        <v>GENERAL SERVICE LESS THAN 50 KW SERVICE CLASSIFICATION</v>
      </c>
      <c r="F527" s="176"/>
      <c r="G527" s="176"/>
      <c r="H527" s="176"/>
      <c r="I527" s="176"/>
      <c r="J527" s="176"/>
      <c r="K527" s="14" t="str">
        <f>IF(N38="DEMAND - INTERVAL","RTSR - INTERVAL METERED","")</f>
        <v/>
      </c>
      <c r="R527" s="14" t="s">
        <v>29</v>
      </c>
    </row>
    <row r="528" spans="1:18" ht="13" x14ac:dyDescent="0.25">
      <c r="C528" s="14"/>
      <c r="D528" s="46" t="s">
        <v>40</v>
      </c>
      <c r="E528" s="177" t="str">
        <f>H38</f>
        <v>Non-RPP (Retailer)</v>
      </c>
      <c r="F528" s="177"/>
      <c r="G528" s="177"/>
      <c r="H528" s="47"/>
      <c r="I528" s="47"/>
    </row>
    <row r="529" spans="1:13" ht="15.5" x14ac:dyDescent="0.3">
      <c r="C529" s="14"/>
      <c r="D529" s="46" t="s">
        <v>41</v>
      </c>
      <c r="E529" s="48">
        <f>K38</f>
        <v>2000</v>
      </c>
      <c r="F529" s="49" t="s">
        <v>14</v>
      </c>
      <c r="J529" s="50"/>
      <c r="K529" s="50"/>
      <c r="L529" s="50"/>
      <c r="M529" s="50"/>
    </row>
    <row r="530" spans="1:13" ht="15.5" x14ac:dyDescent="0.35">
      <c r="C530" s="14"/>
      <c r="D530" s="46" t="s">
        <v>42</v>
      </c>
      <c r="E530" s="48">
        <f>L38</f>
        <v>0</v>
      </c>
      <c r="F530" s="51" t="s">
        <v>19</v>
      </c>
      <c r="G530" s="52"/>
      <c r="H530" s="53"/>
      <c r="I530" s="53"/>
      <c r="J530" s="53"/>
    </row>
    <row r="531" spans="1:13" ht="13" x14ac:dyDescent="0.3">
      <c r="C531" s="14"/>
      <c r="D531" s="46" t="s">
        <v>43</v>
      </c>
      <c r="E531" s="54">
        <f>I38</f>
        <v>1.0561</v>
      </c>
    </row>
    <row r="532" spans="1:13" ht="13" x14ac:dyDescent="0.3">
      <c r="C532" s="14"/>
      <c r="D532" s="46" t="s">
        <v>44</v>
      </c>
      <c r="E532" s="54">
        <f>J38</f>
        <v>1.0561</v>
      </c>
    </row>
    <row r="533" spans="1:13" x14ac:dyDescent="0.25">
      <c r="C533" s="14"/>
    </row>
    <row r="534" spans="1:13" ht="13" x14ac:dyDescent="0.3">
      <c r="C534" s="14"/>
      <c r="E534" s="49"/>
      <c r="F534" s="178" t="s">
        <v>45</v>
      </c>
      <c r="G534" s="179"/>
      <c r="H534" s="180"/>
      <c r="I534" s="178" t="s">
        <v>46</v>
      </c>
      <c r="J534" s="179"/>
      <c r="K534" s="180"/>
      <c r="L534" s="178" t="s">
        <v>47</v>
      </c>
      <c r="M534" s="180"/>
    </row>
    <row r="535" spans="1:13" ht="13" x14ac:dyDescent="0.3">
      <c r="C535" s="14"/>
      <c r="E535" s="182"/>
      <c r="F535" s="56" t="s">
        <v>48</v>
      </c>
      <c r="G535" s="56" t="s">
        <v>49</v>
      </c>
      <c r="H535" s="57" t="s">
        <v>50</v>
      </c>
      <c r="I535" s="56" t="s">
        <v>48</v>
      </c>
      <c r="J535" s="58" t="s">
        <v>49</v>
      </c>
      <c r="K535" s="57" t="s">
        <v>50</v>
      </c>
      <c r="L535" s="184" t="s">
        <v>51</v>
      </c>
      <c r="M535" s="186" t="s">
        <v>52</v>
      </c>
    </row>
    <row r="536" spans="1:13" ht="13" x14ac:dyDescent="0.3">
      <c r="C536" s="14"/>
      <c r="E536" s="183"/>
      <c r="F536" s="59" t="s">
        <v>53</v>
      </c>
      <c r="G536" s="59"/>
      <c r="H536" s="60" t="s">
        <v>53</v>
      </c>
      <c r="I536" s="59" t="s">
        <v>53</v>
      </c>
      <c r="J536" s="60"/>
      <c r="K536" s="60" t="s">
        <v>53</v>
      </c>
      <c r="L536" s="185"/>
      <c r="M536" s="187"/>
    </row>
    <row r="537" spans="1:13" ht="13" x14ac:dyDescent="0.25">
      <c r="A537" s="14" t="str">
        <f>$E527</f>
        <v>GENERAL SERVICE LESS THAN 50 KW SERVICE CLASSIFICATION</v>
      </c>
      <c r="C537" s="61"/>
      <c r="D537" s="55" t="s">
        <v>54</v>
      </c>
      <c r="E537" s="62"/>
      <c r="F537" s="63">
        <v>37.42</v>
      </c>
      <c r="G537" s="64">
        <v>1</v>
      </c>
      <c r="H537" s="65">
        <f>G537*F537</f>
        <v>37.42</v>
      </c>
      <c r="I537" s="66">
        <v>37.42</v>
      </c>
      <c r="J537" s="67">
        <f>G537</f>
        <v>1</v>
      </c>
      <c r="K537" s="68">
        <f>J537*I537</f>
        <v>37.42</v>
      </c>
      <c r="L537" s="69">
        <f>K537-H537</f>
        <v>0</v>
      </c>
      <c r="M537" s="70">
        <f>IF(ISERROR(L537/H537), "", L537/H537)</f>
        <v>0</v>
      </c>
    </row>
    <row r="538" spans="1:13" ht="13" x14ac:dyDescent="0.25">
      <c r="A538" s="14" t="str">
        <f t="shared" ref="A538:A580" si="54">A537</f>
        <v>GENERAL SERVICE LESS THAN 50 KW SERVICE CLASSIFICATION</v>
      </c>
      <c r="C538" s="61"/>
      <c r="D538" s="55" t="s">
        <v>55</v>
      </c>
      <c r="E538" s="62"/>
      <c r="F538" s="71">
        <v>1.6500000000000001E-2</v>
      </c>
      <c r="G538" s="64">
        <f>IF($E530&gt;0, $E530, $E529)</f>
        <v>2000</v>
      </c>
      <c r="H538" s="65">
        <f>G538*F538</f>
        <v>33</v>
      </c>
      <c r="I538" s="72">
        <v>1.6500000000000001E-2</v>
      </c>
      <c r="J538" s="67">
        <f>IF($E530&gt;0, $E530, $E529)</f>
        <v>2000</v>
      </c>
      <c r="K538" s="68">
        <f>J538*I538</f>
        <v>33</v>
      </c>
      <c r="L538" s="69">
        <f>K538-H538</f>
        <v>0</v>
      </c>
      <c r="M538" s="70">
        <f>IF(ISERROR(L538/H538), "", L538/H538)</f>
        <v>0</v>
      </c>
    </row>
    <row r="539" spans="1:13" ht="13" x14ac:dyDescent="0.25">
      <c r="A539" s="14" t="str">
        <f t="shared" si="54"/>
        <v>GENERAL SERVICE LESS THAN 50 KW SERVICE CLASSIFICATION</v>
      </c>
      <c r="C539" s="61"/>
      <c r="D539" s="55" t="s">
        <v>56</v>
      </c>
      <c r="E539" s="62"/>
      <c r="F539" s="71"/>
      <c r="G539" s="64">
        <f>IF($E530&gt;0, $E530, $E529)</f>
        <v>2000</v>
      </c>
      <c r="H539" s="65">
        <v>0</v>
      </c>
      <c r="I539" s="72"/>
      <c r="J539" s="67">
        <f>IF($E530&gt;0, $E530, $E529)</f>
        <v>2000</v>
      </c>
      <c r="K539" s="68">
        <v>0</v>
      </c>
      <c r="L539" s="69"/>
      <c r="M539" s="70"/>
    </row>
    <row r="540" spans="1:13" ht="13" x14ac:dyDescent="0.25">
      <c r="A540" s="14" t="str">
        <f t="shared" si="54"/>
        <v>GENERAL SERVICE LESS THAN 50 KW SERVICE CLASSIFICATION</v>
      </c>
      <c r="C540" s="61"/>
      <c r="D540" s="55" t="s">
        <v>57</v>
      </c>
      <c r="E540" s="62"/>
      <c r="F540" s="71"/>
      <c r="G540" s="64">
        <f>IF($E530&gt;0, $E530, $E529)</f>
        <v>2000</v>
      </c>
      <c r="H540" s="65">
        <v>0</v>
      </c>
      <c r="I540" s="72"/>
      <c r="J540" s="73">
        <f>IF($E530&gt;0, $E530, $E529)</f>
        <v>2000</v>
      </c>
      <c r="K540" s="68">
        <v>0</v>
      </c>
      <c r="L540" s="69">
        <f t="shared" ref="L540:L557" si="55">K540-H540</f>
        <v>0</v>
      </c>
      <c r="M540" s="70" t="str">
        <f>IF(ISERROR(L540/H540), "", L540/H540)</f>
        <v/>
      </c>
    </row>
    <row r="541" spans="1:13" ht="13" x14ac:dyDescent="0.25">
      <c r="A541" s="14" t="str">
        <f t="shared" si="54"/>
        <v>GENERAL SERVICE LESS THAN 50 KW SERVICE CLASSIFICATION</v>
      </c>
      <c r="C541" s="61"/>
      <c r="D541" s="55" t="s">
        <v>58</v>
      </c>
      <c r="E541" s="62"/>
      <c r="F541" s="63">
        <v>7.11</v>
      </c>
      <c r="G541" s="64">
        <v>1</v>
      </c>
      <c r="H541" s="65">
        <f>G541*F541</f>
        <v>7.11</v>
      </c>
      <c r="I541" s="66">
        <v>7.11</v>
      </c>
      <c r="J541" s="67">
        <f>G541</f>
        <v>1</v>
      </c>
      <c r="K541" s="68">
        <f>J541*I541</f>
        <v>7.11</v>
      </c>
      <c r="L541" s="69">
        <f t="shared" si="55"/>
        <v>0</v>
      </c>
      <c r="M541" s="70">
        <f>IF(ISERROR(L541/H541), "", L541/H541)</f>
        <v>0</v>
      </c>
    </row>
    <row r="542" spans="1:13" ht="13" x14ac:dyDescent="0.25">
      <c r="A542" s="14" t="str">
        <f t="shared" si="54"/>
        <v>GENERAL SERVICE LESS THAN 50 KW SERVICE CLASSIFICATION</v>
      </c>
      <c r="C542" s="61"/>
      <c r="D542" s="55" t="s">
        <v>59</v>
      </c>
      <c r="E542" s="62"/>
      <c r="F542" s="71">
        <v>-5.1999999999999998E-3</v>
      </c>
      <c r="G542" s="64">
        <f>IF($E530&gt;0, $E530, $E529)</f>
        <v>2000</v>
      </c>
      <c r="H542" s="65">
        <f>G542*F542</f>
        <v>-10.4</v>
      </c>
      <c r="I542" s="72">
        <v>3.9999999999999996E-4</v>
      </c>
      <c r="J542" s="67">
        <f>IF($E530&gt;0, $E530, $E529)</f>
        <v>2000</v>
      </c>
      <c r="K542" s="68">
        <f>J542*I542</f>
        <v>0.79999999999999993</v>
      </c>
      <c r="L542" s="69">
        <f t="shared" si="55"/>
        <v>11.200000000000001</v>
      </c>
      <c r="M542" s="70">
        <f>IF(ISERROR(L542/H542), "", IF(H542&lt;0,(K542-(H542))/ABS(H542),L542/H542))</f>
        <v>1.0769230769230771</v>
      </c>
    </row>
    <row r="543" spans="1:13" ht="13" x14ac:dyDescent="0.25">
      <c r="A543" s="14" t="str">
        <f t="shared" si="54"/>
        <v>GENERAL SERVICE LESS THAN 50 KW SERVICE CLASSIFICATION</v>
      </c>
      <c r="B543" s="14" t="s">
        <v>60</v>
      </c>
      <c r="C543" s="61">
        <f>B38</f>
        <v>9</v>
      </c>
      <c r="D543" s="74" t="s">
        <v>61</v>
      </c>
      <c r="E543" s="75"/>
      <c r="F543" s="76"/>
      <c r="G543" s="77"/>
      <c r="H543" s="78">
        <f>SUM(H537:H542)</f>
        <v>67.13</v>
      </c>
      <c r="I543" s="79"/>
      <c r="J543" s="80"/>
      <c r="K543" s="78">
        <f>SUM(K537:K542)</f>
        <v>78.33</v>
      </c>
      <c r="L543" s="81">
        <f t="shared" si="55"/>
        <v>11.200000000000003</v>
      </c>
      <c r="M543" s="82">
        <f>IF((H543)=0,"",(L543/H543))</f>
        <v>0.16684045881126178</v>
      </c>
    </row>
    <row r="544" spans="1:13" ht="13" x14ac:dyDescent="0.25">
      <c r="A544" s="14" t="str">
        <f t="shared" si="54"/>
        <v>GENERAL SERVICE LESS THAN 50 KW SERVICE CLASSIFICATION</v>
      </c>
      <c r="C544" s="61"/>
      <c r="D544" s="83" t="s">
        <v>62</v>
      </c>
      <c r="E544" s="62"/>
      <c r="F544" s="71">
        <v>0.1076</v>
      </c>
      <c r="G544" s="84">
        <f>IF(F544=0, 0, $E529*E531-E529)</f>
        <v>112.20000000000027</v>
      </c>
      <c r="H544" s="65">
        <f t="shared" ref="H544:H551" si="56">G544*F544</f>
        <v>12.072720000000029</v>
      </c>
      <c r="I544" s="72">
        <v>0.1076</v>
      </c>
      <c r="J544" s="85">
        <f>IF(I544=0, 0, E529*E532-E529)</f>
        <v>112.20000000000027</v>
      </c>
      <c r="K544" s="68">
        <f t="shared" ref="K544:K551" si="57">J544*I544</f>
        <v>12.072720000000029</v>
      </c>
      <c r="L544" s="69">
        <f t="shared" si="55"/>
        <v>0</v>
      </c>
      <c r="M544" s="70">
        <f t="shared" ref="M544:M551" si="58">IF(ISERROR(L544/H544), "", L544/H544)</f>
        <v>0</v>
      </c>
    </row>
    <row r="545" spans="1:13" ht="25" x14ac:dyDescent="0.25">
      <c r="A545" s="14" t="str">
        <f t="shared" si="54"/>
        <v>GENERAL SERVICE LESS THAN 50 KW SERVICE CLASSIFICATION</v>
      </c>
      <c r="C545" s="61"/>
      <c r="D545" s="83" t="s">
        <v>63</v>
      </c>
      <c r="E545" s="62"/>
      <c r="F545" s="71">
        <v>5.7999999999999996E-3</v>
      </c>
      <c r="G545" s="86">
        <f>IF($E530&gt;0, $E530, $E529)</f>
        <v>2000</v>
      </c>
      <c r="H545" s="65">
        <f t="shared" si="56"/>
        <v>11.6</v>
      </c>
      <c r="I545" s="72">
        <v>3.0000000000000001E-3</v>
      </c>
      <c r="J545" s="87">
        <f>IF($E530&gt;0, $E530, $E529)</f>
        <v>2000</v>
      </c>
      <c r="K545" s="68">
        <f t="shared" si="57"/>
        <v>6</v>
      </c>
      <c r="L545" s="69">
        <f t="shared" si="55"/>
        <v>-5.6</v>
      </c>
      <c r="M545" s="70">
        <f t="shared" si="58"/>
        <v>-0.48275862068965514</v>
      </c>
    </row>
    <row r="546" spans="1:13" ht="13" x14ac:dyDescent="0.25">
      <c r="A546" s="14" t="str">
        <f t="shared" si="54"/>
        <v>GENERAL SERVICE LESS THAN 50 KW SERVICE CLASSIFICATION</v>
      </c>
      <c r="C546" s="61"/>
      <c r="D546" s="83" t="s">
        <v>64</v>
      </c>
      <c r="E546" s="62"/>
      <c r="F546" s="71">
        <v>-2.0000000000000001E-4</v>
      </c>
      <c r="G546" s="86">
        <f>IF($E530&gt;0, $E530, $E529)</f>
        <v>2000</v>
      </c>
      <c r="H546" s="65">
        <f t="shared" si="56"/>
        <v>-0.4</v>
      </c>
      <c r="I546" s="72">
        <v>-4.0000000000000002E-4</v>
      </c>
      <c r="J546" s="87">
        <f>IF($E530&gt;0, $E530, $E529)</f>
        <v>2000</v>
      </c>
      <c r="K546" s="68">
        <f t="shared" si="57"/>
        <v>-0.8</v>
      </c>
      <c r="L546" s="69">
        <f t="shared" si="55"/>
        <v>-0.4</v>
      </c>
      <c r="M546" s="70">
        <f>IF(ISERROR(L546/H546), "", IF(H546&lt;0,(K546-(H546))/ABS(H546),L546/H546))</f>
        <v>-1</v>
      </c>
    </row>
    <row r="547" spans="1:13" ht="13" x14ac:dyDescent="0.25">
      <c r="A547" s="14" t="str">
        <f t="shared" si="54"/>
        <v>GENERAL SERVICE LESS THAN 50 KW SERVICE CLASSIFICATION</v>
      </c>
      <c r="C547" s="61"/>
      <c r="D547" s="83" t="s">
        <v>65</v>
      </c>
      <c r="E547" s="62"/>
      <c r="F547" s="71">
        <v>1.4E-3</v>
      </c>
      <c r="G547" s="86">
        <f>E529</f>
        <v>2000</v>
      </c>
      <c r="H547" s="65">
        <f t="shared" si="56"/>
        <v>2.8</v>
      </c>
      <c r="I547" s="72">
        <v>-8.9999999999999993E-3</v>
      </c>
      <c r="J547" s="87">
        <f>E529</f>
        <v>2000</v>
      </c>
      <c r="K547" s="68">
        <f t="shared" si="57"/>
        <v>-18</v>
      </c>
      <c r="L547" s="69">
        <f t="shared" si="55"/>
        <v>-20.8</v>
      </c>
      <c r="M547" s="70">
        <f t="shared" si="58"/>
        <v>-7.4285714285714297</v>
      </c>
    </row>
    <row r="548" spans="1:13" ht="13" x14ac:dyDescent="0.25">
      <c r="A548" s="14" t="str">
        <f t="shared" si="54"/>
        <v>GENERAL SERVICE LESS THAN 50 KW SERVICE CLASSIFICATION</v>
      </c>
      <c r="C548" s="61"/>
      <c r="D548" s="55" t="s">
        <v>66</v>
      </c>
      <c r="E548" s="62"/>
      <c r="F548" s="71">
        <v>5.9999999999999995E-4</v>
      </c>
      <c r="G548" s="86">
        <f>IF($E530&gt;0, $E530, $E529)</f>
        <v>2000</v>
      </c>
      <c r="H548" s="65">
        <f t="shared" si="56"/>
        <v>1.2</v>
      </c>
      <c r="I548" s="72">
        <v>1.244456457015279E-3</v>
      </c>
      <c r="J548" s="87">
        <f>IF($E530&gt;0, $E530, $E529)</f>
        <v>2000</v>
      </c>
      <c r="K548" s="68">
        <f t="shared" si="57"/>
        <v>2.4889129140305579</v>
      </c>
      <c r="L548" s="69">
        <f t="shared" si="55"/>
        <v>1.288912914030558</v>
      </c>
      <c r="M548" s="70">
        <f>IF(ISERROR(L548/H548), "", IF(H548&lt;0,(K548-(H548))/ABS(H548),L548/H548))</f>
        <v>1.0740940950254649</v>
      </c>
    </row>
    <row r="549" spans="1:13" ht="13" x14ac:dyDescent="0.25">
      <c r="A549" s="14" t="str">
        <f t="shared" si="54"/>
        <v>GENERAL SERVICE LESS THAN 50 KW SERVICE CLASSIFICATION</v>
      </c>
      <c r="C549" s="61"/>
      <c r="D549" s="83" t="s">
        <v>67</v>
      </c>
      <c r="E549" s="62"/>
      <c r="F549" s="88">
        <v>0.42</v>
      </c>
      <c r="G549" s="64">
        <v>1</v>
      </c>
      <c r="H549" s="65">
        <f t="shared" si="56"/>
        <v>0.42</v>
      </c>
      <c r="I549" s="89">
        <v>0.42</v>
      </c>
      <c r="J549" s="73">
        <v>1</v>
      </c>
      <c r="K549" s="68">
        <f t="shared" si="57"/>
        <v>0.42</v>
      </c>
      <c r="L549" s="69">
        <f t="shared" si="55"/>
        <v>0</v>
      </c>
      <c r="M549" s="70">
        <f t="shared" si="58"/>
        <v>0</v>
      </c>
    </row>
    <row r="550" spans="1:13" ht="13" x14ac:dyDescent="0.25">
      <c r="A550" s="14" t="str">
        <f t="shared" si="54"/>
        <v>GENERAL SERVICE LESS THAN 50 KW SERVICE CLASSIFICATION</v>
      </c>
      <c r="C550" s="61"/>
      <c r="D550" s="55" t="s">
        <v>68</v>
      </c>
      <c r="E550" s="62"/>
      <c r="F550" s="63">
        <v>0</v>
      </c>
      <c r="G550" s="64">
        <v>1</v>
      </c>
      <c r="H550" s="65">
        <f t="shared" si="56"/>
        <v>0</v>
      </c>
      <c r="I550" s="66">
        <v>0</v>
      </c>
      <c r="J550" s="73">
        <v>1</v>
      </c>
      <c r="K550" s="68">
        <f t="shared" si="57"/>
        <v>0</v>
      </c>
      <c r="L550" s="69">
        <f t="shared" si="55"/>
        <v>0</v>
      </c>
      <c r="M550" s="70" t="str">
        <f t="shared" si="58"/>
        <v/>
      </c>
    </row>
    <row r="551" spans="1:13" ht="13" x14ac:dyDescent="0.25">
      <c r="A551" s="14" t="str">
        <f t="shared" si="54"/>
        <v>GENERAL SERVICE LESS THAN 50 KW SERVICE CLASSIFICATION</v>
      </c>
      <c r="C551" s="61"/>
      <c r="D551" s="55" t="s">
        <v>69</v>
      </c>
      <c r="E551" s="62"/>
      <c r="F551" s="71">
        <v>0</v>
      </c>
      <c r="G551" s="86">
        <f>IF($E530&gt;0, $E530, $E529)</f>
        <v>2000</v>
      </c>
      <c r="H551" s="65">
        <f t="shared" si="56"/>
        <v>0</v>
      </c>
      <c r="I551" s="72">
        <v>0</v>
      </c>
      <c r="J551" s="87">
        <f>IF($E530&gt;0, $E530, $E529)</f>
        <v>2000</v>
      </c>
      <c r="K551" s="68">
        <f t="shared" si="57"/>
        <v>0</v>
      </c>
      <c r="L551" s="69">
        <f t="shared" si="55"/>
        <v>0</v>
      </c>
      <c r="M551" s="70" t="str">
        <f t="shared" si="58"/>
        <v/>
      </c>
    </row>
    <row r="552" spans="1:13" ht="26" x14ac:dyDescent="0.25">
      <c r="A552" s="14" t="str">
        <f t="shared" si="54"/>
        <v>GENERAL SERVICE LESS THAN 50 KW SERVICE CLASSIFICATION</v>
      </c>
      <c r="B552" s="14" t="s">
        <v>70</v>
      </c>
      <c r="C552" s="61">
        <f>B38</f>
        <v>9</v>
      </c>
      <c r="D552" s="90" t="s">
        <v>71</v>
      </c>
      <c r="E552" s="91"/>
      <c r="F552" s="92"/>
      <c r="G552" s="93"/>
      <c r="H552" s="94">
        <f>SUM(H543:H551)</f>
        <v>94.822720000000018</v>
      </c>
      <c r="I552" s="95"/>
      <c r="J552" s="96"/>
      <c r="K552" s="94">
        <f>SUM(K543:K551)</f>
        <v>80.511632914030599</v>
      </c>
      <c r="L552" s="81">
        <f t="shared" si="55"/>
        <v>-14.311087085969419</v>
      </c>
      <c r="M552" s="82">
        <f>IF((H552)=0,"",(L552/H552))</f>
        <v>-0.15092466326603388</v>
      </c>
    </row>
    <row r="553" spans="1:13" ht="13" x14ac:dyDescent="0.25">
      <c r="A553" s="14" t="str">
        <f t="shared" si="54"/>
        <v>GENERAL SERVICE LESS THAN 50 KW SERVICE CLASSIFICATION</v>
      </c>
      <c r="C553" s="61"/>
      <c r="D553" s="97" t="s">
        <v>72</v>
      </c>
      <c r="E553" s="62"/>
      <c r="F553" s="71">
        <v>7.7000000000000002E-3</v>
      </c>
      <c r="G553" s="84">
        <f>IF($E530&gt;0, $E530, $E529*$E531)</f>
        <v>2112.2000000000003</v>
      </c>
      <c r="H553" s="65">
        <f>G553*F553</f>
        <v>16.263940000000002</v>
      </c>
      <c r="I553" s="98">
        <v>7.7000000000000002E-3</v>
      </c>
      <c r="J553" s="85">
        <f>IF($E530&gt;0, $E530, $E529*$E532)</f>
        <v>2112.2000000000003</v>
      </c>
      <c r="K553" s="68">
        <f>J553*I553</f>
        <v>16.263940000000002</v>
      </c>
      <c r="L553" s="69">
        <f t="shared" si="55"/>
        <v>0</v>
      </c>
      <c r="M553" s="70">
        <f>IF(ISERROR(L553/H553), "", L553/H553)</f>
        <v>0</v>
      </c>
    </row>
    <row r="554" spans="1:13" ht="25" x14ac:dyDescent="0.25">
      <c r="A554" s="14" t="str">
        <f t="shared" si="54"/>
        <v>GENERAL SERVICE LESS THAN 50 KW SERVICE CLASSIFICATION</v>
      </c>
      <c r="C554" s="61"/>
      <c r="D554" s="99" t="s">
        <v>73</v>
      </c>
      <c r="E554" s="62"/>
      <c r="F554" s="71">
        <v>6.4999999999999997E-3</v>
      </c>
      <c r="G554" s="84">
        <f>IF($E530&gt;0, $E530, $E529*$E531)</f>
        <v>2112.2000000000003</v>
      </c>
      <c r="H554" s="65">
        <f>G554*F554</f>
        <v>13.7293</v>
      </c>
      <c r="I554" s="98">
        <v>6.4999999999999997E-3</v>
      </c>
      <c r="J554" s="85">
        <f>IF($E530&gt;0, $E530, $E529*$E532)</f>
        <v>2112.2000000000003</v>
      </c>
      <c r="K554" s="68">
        <f>J554*I554</f>
        <v>13.7293</v>
      </c>
      <c r="L554" s="69">
        <f t="shared" si="55"/>
        <v>0</v>
      </c>
      <c r="M554" s="70">
        <f>IF(ISERROR(L554/H554), "", L554/H554)</f>
        <v>0</v>
      </c>
    </row>
    <row r="555" spans="1:13" ht="26" x14ac:dyDescent="0.25">
      <c r="A555" s="14" t="str">
        <f t="shared" si="54"/>
        <v>GENERAL SERVICE LESS THAN 50 KW SERVICE CLASSIFICATION</v>
      </c>
      <c r="B555" s="14" t="s">
        <v>74</v>
      </c>
      <c r="C555" s="61">
        <f>B38</f>
        <v>9</v>
      </c>
      <c r="D555" s="90" t="s">
        <v>75</v>
      </c>
      <c r="E555" s="75"/>
      <c r="F555" s="92"/>
      <c r="G555" s="93"/>
      <c r="H555" s="94">
        <f>SUM(H552:H554)</f>
        <v>124.81596000000002</v>
      </c>
      <c r="I555" s="95"/>
      <c r="J555" s="80"/>
      <c r="K555" s="94">
        <f>SUM(K552:K554)</f>
        <v>110.5048729140306</v>
      </c>
      <c r="L555" s="81">
        <f t="shared" si="55"/>
        <v>-14.311087085969419</v>
      </c>
      <c r="M555" s="82">
        <f>IF((H555)=0,"",(L555/H555))</f>
        <v>-0.11465750923174742</v>
      </c>
    </row>
    <row r="556" spans="1:13" ht="25" x14ac:dyDescent="0.25">
      <c r="A556" s="14" t="str">
        <f t="shared" si="54"/>
        <v>GENERAL SERVICE LESS THAN 50 KW SERVICE CLASSIFICATION</v>
      </c>
      <c r="C556" s="61"/>
      <c r="D556" s="100" t="s">
        <v>76</v>
      </c>
      <c r="E556" s="62"/>
      <c r="F556" s="71">
        <v>4.5000000000000005E-3</v>
      </c>
      <c r="G556" s="84">
        <f>E529*E531</f>
        <v>2112.2000000000003</v>
      </c>
      <c r="H556" s="101">
        <f>G556*F556</f>
        <v>9.5049000000000028</v>
      </c>
      <c r="I556" s="72">
        <v>4.5000000000000005E-3</v>
      </c>
      <c r="J556" s="85">
        <f>E529*E532</f>
        <v>2112.2000000000003</v>
      </c>
      <c r="K556" s="68">
        <f>J556*I556</f>
        <v>9.5049000000000028</v>
      </c>
      <c r="L556" s="69">
        <f t="shared" si="55"/>
        <v>0</v>
      </c>
      <c r="M556" s="70">
        <f>IF(ISERROR(L556/H556), "", L556/H556)</f>
        <v>0</v>
      </c>
    </row>
    <row r="557" spans="1:13" ht="25" x14ac:dyDescent="0.25">
      <c r="A557" s="14" t="str">
        <f t="shared" si="54"/>
        <v>GENERAL SERVICE LESS THAN 50 KW SERVICE CLASSIFICATION</v>
      </c>
      <c r="C557" s="61"/>
      <c r="D557" s="100" t="s">
        <v>77</v>
      </c>
      <c r="E557" s="62"/>
      <c r="F557" s="71">
        <v>6.9999999999999999E-4</v>
      </c>
      <c r="G557" s="84">
        <f>E529*E531</f>
        <v>2112.2000000000003</v>
      </c>
      <c r="H557" s="101">
        <f>G557*F557</f>
        <v>1.4785400000000002</v>
      </c>
      <c r="I557" s="72">
        <v>6.9999999999999999E-4</v>
      </c>
      <c r="J557" s="85">
        <f>E529*E532</f>
        <v>2112.2000000000003</v>
      </c>
      <c r="K557" s="68">
        <f>J557*I557</f>
        <v>1.4785400000000002</v>
      </c>
      <c r="L557" s="69">
        <f t="shared" si="55"/>
        <v>0</v>
      </c>
      <c r="M557" s="70">
        <f>IF(ISERROR(L557/H557), "", L557/H557)</f>
        <v>0</v>
      </c>
    </row>
    <row r="558" spans="1:13" ht="13" x14ac:dyDescent="0.25">
      <c r="A558" s="14" t="str">
        <f t="shared" si="54"/>
        <v>GENERAL SERVICE LESS THAN 50 KW SERVICE CLASSIFICATION</v>
      </c>
      <c r="C558" s="61"/>
      <c r="D558" s="102" t="s">
        <v>78</v>
      </c>
      <c r="E558" s="62"/>
      <c r="F558" s="149"/>
      <c r="G558" s="150"/>
      <c r="H558" s="151"/>
      <c r="I558" s="152"/>
      <c r="J558" s="153"/>
      <c r="K558" s="154"/>
      <c r="L558" s="155"/>
      <c r="M558" s="156"/>
    </row>
    <row r="559" spans="1:13" ht="25" x14ac:dyDescent="0.25">
      <c r="A559" s="14" t="str">
        <f t="shared" si="54"/>
        <v>GENERAL SERVICE LESS THAN 50 KW SERVICE CLASSIFICATION</v>
      </c>
      <c r="C559" s="61"/>
      <c r="D559" s="100" t="s">
        <v>79</v>
      </c>
      <c r="E559" s="62"/>
      <c r="F559" s="71"/>
      <c r="G559" s="84"/>
      <c r="H559" s="101"/>
      <c r="I559" s="72"/>
      <c r="J559" s="85"/>
      <c r="K559" s="68"/>
      <c r="L559" s="69"/>
      <c r="M559" s="70"/>
    </row>
    <row r="560" spans="1:13" ht="13" x14ac:dyDescent="0.25">
      <c r="A560" s="14" t="str">
        <f t="shared" si="54"/>
        <v>GENERAL SERVICE LESS THAN 50 KW SERVICE CLASSIFICATION</v>
      </c>
      <c r="B560" s="14" t="s">
        <v>15</v>
      </c>
      <c r="C560" s="61"/>
      <c r="D560" s="102" t="s">
        <v>80</v>
      </c>
      <c r="E560" s="62"/>
      <c r="F560" s="103">
        <v>7.3999999999999996E-2</v>
      </c>
      <c r="G560" s="104">
        <v>1260</v>
      </c>
      <c r="H560" s="101">
        <f>G560*F560</f>
        <v>93.24</v>
      </c>
      <c r="I560" s="105">
        <v>7.3999999999999996E-2</v>
      </c>
      <c r="J560" s="106">
        <v>1260</v>
      </c>
      <c r="K560" s="68">
        <f>J560*I560</f>
        <v>93.24</v>
      </c>
      <c r="L560" s="69">
        <f>K560-H560</f>
        <v>0</v>
      </c>
      <c r="M560" s="70">
        <f>IF(ISERROR(L560/H560), "", L560/H560)</f>
        <v>0</v>
      </c>
    </row>
    <row r="561" spans="1:13" ht="13" x14ac:dyDescent="0.25">
      <c r="A561" s="14" t="str">
        <f t="shared" si="54"/>
        <v>GENERAL SERVICE LESS THAN 50 KW SERVICE CLASSIFICATION</v>
      </c>
      <c r="B561" s="14" t="s">
        <v>15</v>
      </c>
      <c r="C561" s="61"/>
      <c r="D561" s="102" t="s">
        <v>81</v>
      </c>
      <c r="E561" s="62"/>
      <c r="F561" s="103">
        <v>0.10199999999999999</v>
      </c>
      <c r="G561" s="104">
        <v>360</v>
      </c>
      <c r="H561" s="101">
        <f>G561*F561</f>
        <v>36.72</v>
      </c>
      <c r="I561" s="105">
        <v>0.10199999999999999</v>
      </c>
      <c r="J561" s="106">
        <v>360</v>
      </c>
      <c r="K561" s="68">
        <f>J561*I561</f>
        <v>36.72</v>
      </c>
      <c r="L561" s="69">
        <f>K561-H561</f>
        <v>0</v>
      </c>
      <c r="M561" s="70">
        <f>IF(ISERROR(L561/H561), "", L561/H561)</f>
        <v>0</v>
      </c>
    </row>
    <row r="562" spans="1:13" ht="13" x14ac:dyDescent="0.25">
      <c r="A562" s="14" t="str">
        <f t="shared" si="54"/>
        <v>GENERAL SERVICE LESS THAN 50 KW SERVICE CLASSIFICATION</v>
      </c>
      <c r="B562" s="14" t="s">
        <v>15</v>
      </c>
      <c r="C562" s="61"/>
      <c r="D562" s="14" t="s">
        <v>82</v>
      </c>
      <c r="E562" s="62"/>
      <c r="F562" s="103">
        <v>0.151</v>
      </c>
      <c r="G562" s="104">
        <v>380</v>
      </c>
      <c r="H562" s="101">
        <f>G562*F562</f>
        <v>57.379999999999995</v>
      </c>
      <c r="I562" s="105">
        <v>0.151</v>
      </c>
      <c r="J562" s="106">
        <v>380</v>
      </c>
      <c r="K562" s="68">
        <f>J562*I562</f>
        <v>57.379999999999995</v>
      </c>
      <c r="L562" s="69">
        <f>K562-H562</f>
        <v>0</v>
      </c>
      <c r="M562" s="70">
        <f>IF(ISERROR(L562/H562), "", L562/H562)</f>
        <v>0</v>
      </c>
    </row>
    <row r="563" spans="1:13" ht="13" x14ac:dyDescent="0.25">
      <c r="A563" s="14" t="str">
        <f t="shared" si="54"/>
        <v>GENERAL SERVICE LESS THAN 50 KW SERVICE CLASSIFICATION</v>
      </c>
      <c r="B563" s="14" t="s">
        <v>25</v>
      </c>
      <c r="C563" s="61"/>
      <c r="D563" s="102" t="s">
        <v>83</v>
      </c>
      <c r="E563" s="62"/>
      <c r="F563" s="107">
        <v>0.1076</v>
      </c>
      <c r="G563" s="104">
        <f>IF(AND(E529*12&gt;=150000),E529*E531,E529)</f>
        <v>2000</v>
      </c>
      <c r="H563" s="101">
        <f>G563*F563</f>
        <v>215.2</v>
      </c>
      <c r="I563" s="108">
        <f>F563</f>
        <v>0.1076</v>
      </c>
      <c r="J563" s="106">
        <f>IF(AND(E529*12&gt;=150000),E529*E532,E529)</f>
        <v>2000</v>
      </c>
      <c r="K563" s="68">
        <f>J563*I563</f>
        <v>215.2</v>
      </c>
      <c r="L563" s="69">
        <f>K563-H563</f>
        <v>0</v>
      </c>
      <c r="M563" s="70">
        <f>IF(ISERROR(L563/H563), "", L563/H563)</f>
        <v>0</v>
      </c>
    </row>
    <row r="564" spans="1:13" ht="13.5" thickBot="1" x14ac:dyDescent="0.3">
      <c r="A564" s="14" t="str">
        <f t="shared" si="54"/>
        <v>GENERAL SERVICE LESS THAN 50 KW SERVICE CLASSIFICATION</v>
      </c>
      <c r="B564" s="14" t="s">
        <v>20</v>
      </c>
      <c r="C564" s="61"/>
      <c r="D564" s="102" t="s">
        <v>84</v>
      </c>
      <c r="E564" s="62"/>
      <c r="F564" s="107">
        <v>0.1076</v>
      </c>
      <c r="G564" s="104">
        <f>IF(AND(E529*12&gt;=150000),E529*E531,E529)</f>
        <v>2000</v>
      </c>
      <c r="H564" s="101">
        <f>G564*F564</f>
        <v>215.2</v>
      </c>
      <c r="I564" s="108">
        <f>F564</f>
        <v>0.1076</v>
      </c>
      <c r="J564" s="106">
        <f>IF(AND(E529*12&gt;=150000),E529*E532,E529)</f>
        <v>2000</v>
      </c>
      <c r="K564" s="68">
        <f>J564*I564</f>
        <v>215.2</v>
      </c>
      <c r="L564" s="69">
        <f>K564-H564</f>
        <v>0</v>
      </c>
      <c r="M564" s="70">
        <f>IF(ISERROR(L564/H564), "", L564/H564)</f>
        <v>0</v>
      </c>
    </row>
    <row r="565" spans="1:13" ht="13" thickBot="1" x14ac:dyDescent="0.3">
      <c r="A565" s="14" t="str">
        <f t="shared" si="54"/>
        <v>GENERAL SERVICE LESS THAN 50 KW SERVICE CLASSIFICATION</v>
      </c>
      <c r="C565" s="61"/>
      <c r="D565" s="109"/>
      <c r="E565" s="110"/>
      <c r="F565" s="111"/>
      <c r="G565" s="112"/>
      <c r="H565" s="113"/>
      <c r="I565" s="111"/>
      <c r="J565" s="114"/>
      <c r="K565" s="113"/>
      <c r="L565" s="115"/>
      <c r="M565" s="116"/>
    </row>
    <row r="566" spans="1:13" ht="13" x14ac:dyDescent="0.25">
      <c r="A566" s="14" t="str">
        <f t="shared" si="54"/>
        <v>GENERAL SERVICE LESS THAN 50 KW SERVICE CLASSIFICATION</v>
      </c>
      <c r="B566" s="14" t="s">
        <v>15</v>
      </c>
      <c r="C566" s="61"/>
      <c r="D566" s="117" t="s">
        <v>85</v>
      </c>
      <c r="E566" s="102"/>
      <c r="F566" s="118"/>
      <c r="G566" s="119"/>
      <c r="H566" s="120">
        <f>SUM(H556:H562,H555)</f>
        <v>323.13940000000002</v>
      </c>
      <c r="I566" s="121"/>
      <c r="J566" s="121"/>
      <c r="K566" s="120">
        <f>SUM(K556:K562,K555)</f>
        <v>308.82831291403062</v>
      </c>
      <c r="L566" s="122">
        <f>K566-H566</f>
        <v>-14.311087085969405</v>
      </c>
      <c r="M566" s="123">
        <f>IF((H566)=0,"",(L566/H566))</f>
        <v>-4.4287657543367984E-2</v>
      </c>
    </row>
    <row r="567" spans="1:13" x14ac:dyDescent="0.25">
      <c r="A567" s="14" t="str">
        <f t="shared" si="54"/>
        <v>GENERAL SERVICE LESS THAN 50 KW SERVICE CLASSIFICATION</v>
      </c>
      <c r="B567" s="14" t="s">
        <v>15</v>
      </c>
      <c r="C567" s="61"/>
      <c r="D567" s="124" t="s">
        <v>86</v>
      </c>
      <c r="E567" s="102"/>
      <c r="F567" s="118">
        <v>0.13</v>
      </c>
      <c r="G567" s="125"/>
      <c r="H567" s="126">
        <f>H566*F567</f>
        <v>42.008122000000007</v>
      </c>
      <c r="I567" s="127">
        <v>0.13</v>
      </c>
      <c r="J567" s="64"/>
      <c r="K567" s="126">
        <f>K566*I567</f>
        <v>40.147680678823981</v>
      </c>
      <c r="L567" s="69">
        <f>K567-H567</f>
        <v>-1.860441321176026</v>
      </c>
      <c r="M567" s="128">
        <f>IF((H567)=0,"",(L567/H567))</f>
        <v>-4.428765754336806E-2</v>
      </c>
    </row>
    <row r="568" spans="1:13" ht="14.5" x14ac:dyDescent="0.35">
      <c r="A568" s="14" t="str">
        <f t="shared" si="54"/>
        <v>GENERAL SERVICE LESS THAN 50 KW SERVICE CLASSIFICATION</v>
      </c>
      <c r="B568" s="14" t="s">
        <v>15</v>
      </c>
      <c r="C568" s="61"/>
      <c r="D568" s="124" t="s">
        <v>87</v>
      </c>
      <c r="E568"/>
      <c r="F568" s="129">
        <v>0.11700000000000001</v>
      </c>
      <c r="G568" s="125"/>
      <c r="H568" s="126">
        <f>IF(OR(ISNUMBER(SEARCH("[DGEN]", E527))=TRUE, ISNUMBER(SEARCH("STREET LIGHT", E527))=TRUE), 0, IF(AND(E529=0, E530=0),0, IF(AND(E530=0, E529*12&gt;250000), 0, IF(AND(E529=0, E530&gt;=50), 0, IF(E529*12&lt;=250000, F568*H566*-1, IF(E530&lt;50, F568*H566*-1, 0))))))</f>
        <v>-37.807309800000006</v>
      </c>
      <c r="I568" s="129">
        <v>0.11700000000000001</v>
      </c>
      <c r="J568" s="64"/>
      <c r="K568" s="126">
        <f>IF(OR(ISNUMBER(SEARCH("[DGEN]", E527))=TRUE, ISNUMBER(SEARCH("STREET LIGHT", E527))=TRUE), 0, IF(AND(E529=0, E530=0),0, IF(AND(E530=0, E529*12&gt;250000), 0, IF(AND(E529=0, E530&gt;=50), 0, IF(E529*12&lt;=250000, I568*K566*-1, IF(E530&lt;50, I568*K566*-1, 0))))))</f>
        <v>-36.132912610941581</v>
      </c>
      <c r="L568" s="69">
        <f>K568-H568</f>
        <v>1.6743971890584248</v>
      </c>
      <c r="M568" s="128"/>
    </row>
    <row r="569" spans="1:13" ht="13.5" thickBot="1" x14ac:dyDescent="0.3">
      <c r="A569" s="14" t="str">
        <f t="shared" si="54"/>
        <v>GENERAL SERVICE LESS THAN 50 KW SERVICE CLASSIFICATION</v>
      </c>
      <c r="B569" s="14" t="s">
        <v>88</v>
      </c>
      <c r="C569" s="61"/>
      <c r="D569" s="181" t="s">
        <v>89</v>
      </c>
      <c r="E569" s="181"/>
      <c r="F569" s="130"/>
      <c r="G569" s="131"/>
      <c r="H569" s="132">
        <f>H566+H567+H568</f>
        <v>327.34021220000005</v>
      </c>
      <c r="I569" s="133"/>
      <c r="J569" s="133"/>
      <c r="K569" s="134">
        <f>K566+K567+K568</f>
        <v>312.84308098191303</v>
      </c>
      <c r="L569" s="135">
        <f>K569-H569</f>
        <v>-14.49713121808702</v>
      </c>
      <c r="M569" s="136">
        <f>IF((H569)=0,"",(L569/H569))</f>
        <v>-4.4287657543368018E-2</v>
      </c>
    </row>
    <row r="570" spans="1:13" ht="13" thickBot="1" x14ac:dyDescent="0.3">
      <c r="A570" s="14" t="str">
        <f t="shared" si="54"/>
        <v>GENERAL SERVICE LESS THAN 50 KW SERVICE CLASSIFICATION</v>
      </c>
      <c r="B570" s="14" t="s">
        <v>15</v>
      </c>
      <c r="C570" s="61"/>
      <c r="D570" s="109"/>
      <c r="E570" s="110"/>
      <c r="F570" s="111"/>
      <c r="G570" s="112"/>
      <c r="H570" s="113"/>
      <c r="I570" s="111"/>
      <c r="J570" s="114"/>
      <c r="K570" s="113"/>
      <c r="L570" s="115"/>
      <c r="M570" s="116"/>
    </row>
    <row r="571" spans="1:13" ht="13" x14ac:dyDescent="0.25">
      <c r="A571" s="14" t="str">
        <f t="shared" si="54"/>
        <v>GENERAL SERVICE LESS THAN 50 KW SERVICE CLASSIFICATION</v>
      </c>
      <c r="B571" s="14" t="s">
        <v>25</v>
      </c>
      <c r="C571" s="61"/>
      <c r="D571" s="117" t="s">
        <v>90</v>
      </c>
      <c r="E571" s="102"/>
      <c r="F571" s="118"/>
      <c r="G571" s="119"/>
      <c r="H571" s="120">
        <f>SUM(H563,H556:H559,H555)</f>
        <v>350.99940000000004</v>
      </c>
      <c r="I571" s="121"/>
      <c r="J571" s="121"/>
      <c r="K571" s="120">
        <f>SUM(K563,K556:K559,K555)</f>
        <v>336.68831291403058</v>
      </c>
      <c r="L571" s="122">
        <f>K571-H571</f>
        <v>-14.311087085969461</v>
      </c>
      <c r="M571" s="123">
        <f>IF((H571)=0,"",(L571/H571))</f>
        <v>-4.0772397576660985E-2</v>
      </c>
    </row>
    <row r="572" spans="1:13" x14ac:dyDescent="0.25">
      <c r="A572" s="14" t="str">
        <f t="shared" si="54"/>
        <v>GENERAL SERVICE LESS THAN 50 KW SERVICE CLASSIFICATION</v>
      </c>
      <c r="B572" s="14" t="s">
        <v>25</v>
      </c>
      <c r="C572" s="61"/>
      <c r="D572" s="124" t="s">
        <v>86</v>
      </c>
      <c r="E572" s="102"/>
      <c r="F572" s="118">
        <v>0.13</v>
      </c>
      <c r="G572" s="119"/>
      <c r="H572" s="126">
        <f>H571*F572</f>
        <v>45.629922000000008</v>
      </c>
      <c r="I572" s="118">
        <v>0.13</v>
      </c>
      <c r="J572" s="127"/>
      <c r="K572" s="126">
        <f>K571*I572</f>
        <v>43.769480678823975</v>
      </c>
      <c r="L572" s="69">
        <f>K572-H572</f>
        <v>-1.8604413211760331</v>
      </c>
      <c r="M572" s="128">
        <f>IF((H572)=0,"",(L572/H572))</f>
        <v>-4.0772397576661054E-2</v>
      </c>
    </row>
    <row r="573" spans="1:13" ht="14.5" x14ac:dyDescent="0.35">
      <c r="A573" s="14" t="str">
        <f t="shared" si="54"/>
        <v>GENERAL SERVICE LESS THAN 50 KW SERVICE CLASSIFICATION</v>
      </c>
      <c r="B573" s="14" t="s">
        <v>25</v>
      </c>
      <c r="C573" s="61"/>
      <c r="D573" s="124" t="s">
        <v>87</v>
      </c>
      <c r="E573"/>
      <c r="F573" s="129">
        <v>0.11700000000000001</v>
      </c>
      <c r="G573" s="119"/>
      <c r="H573" s="126">
        <f>IF(OR(ISNUMBER(SEARCH("[DGEN]", E527))=TRUE, ISNUMBER(SEARCH("STREET LIGHT", E527))=TRUE), 0, IF(AND(E529=0, E530=0),0, IF(AND(E530=0, E529*12&gt;250000), 0, IF(AND(E529=0, E530&gt;=50), 0, IF(E529*12&lt;=250000, F573*H571*-1, IF(E530&lt;50, F573*H571*-1, 0))))))</f>
        <v>-41.066929800000004</v>
      </c>
      <c r="I573" s="129">
        <v>0.11700000000000001</v>
      </c>
      <c r="J573" s="127"/>
      <c r="K573" s="126">
        <f>IF(OR(ISNUMBER(SEARCH("[DGEN]", E527))=TRUE, ISNUMBER(SEARCH("STREET LIGHT", E527))=TRUE), 0, IF(AND(E529=0, E530=0),0, IF(AND(E530=0, E529*12&gt;250000), 0, IF(AND(E529=0, E530&gt;=50), 0, IF(E529*12&lt;=250000, I573*K571*-1, IF(E530&lt;50, I573*K571*-1, 0))))))</f>
        <v>-39.392532610941579</v>
      </c>
      <c r="L573" s="69"/>
      <c r="M573" s="128"/>
    </row>
    <row r="574" spans="1:13" ht="13.5" thickBot="1" x14ac:dyDescent="0.3">
      <c r="A574" s="14" t="str">
        <f t="shared" si="54"/>
        <v>GENERAL SERVICE LESS THAN 50 KW SERVICE CLASSIFICATION</v>
      </c>
      <c r="B574" s="14" t="s">
        <v>91</v>
      </c>
      <c r="C574" s="61">
        <f>B38</f>
        <v>9</v>
      </c>
      <c r="D574" s="181" t="s">
        <v>90</v>
      </c>
      <c r="E574" s="181"/>
      <c r="F574" s="137"/>
      <c r="G574" s="138"/>
      <c r="H574" s="132">
        <f>SUM(H571,H572)</f>
        <v>396.62932200000006</v>
      </c>
      <c r="I574" s="139"/>
      <c r="J574" s="139"/>
      <c r="K574" s="132">
        <f>SUM(K571,K572)</f>
        <v>380.45779359285456</v>
      </c>
      <c r="L574" s="140">
        <f>K574-H574</f>
        <v>-16.171528407145502</v>
      </c>
      <c r="M574" s="141">
        <f>IF((H574)=0,"",(L574/H574))</f>
        <v>-4.0772397576661012E-2</v>
      </c>
    </row>
    <row r="575" spans="1:13" ht="13" thickBot="1" x14ac:dyDescent="0.3">
      <c r="A575" s="14" t="str">
        <f t="shared" si="54"/>
        <v>GENERAL SERVICE LESS THAN 50 KW SERVICE CLASSIFICATION</v>
      </c>
      <c r="B575" s="14" t="s">
        <v>25</v>
      </c>
      <c r="C575" s="61"/>
      <c r="D575" s="109"/>
      <c r="E575" s="110"/>
      <c r="F575" s="142"/>
      <c r="G575" s="143"/>
      <c r="H575" s="144"/>
      <c r="I575" s="142"/>
      <c r="J575" s="112"/>
      <c r="K575" s="144"/>
      <c r="L575" s="145"/>
      <c r="M575" s="116"/>
    </row>
    <row r="576" spans="1:13" ht="13" x14ac:dyDescent="0.25">
      <c r="A576" s="14" t="str">
        <f t="shared" si="54"/>
        <v>GENERAL SERVICE LESS THAN 50 KW SERVICE CLASSIFICATION</v>
      </c>
      <c r="B576" s="14" t="s">
        <v>20</v>
      </c>
      <c r="C576" s="61"/>
      <c r="D576" s="117" t="s">
        <v>92</v>
      </c>
      <c r="E576" s="102"/>
      <c r="F576" s="118"/>
      <c r="G576" s="119"/>
      <c r="H576" s="120">
        <f>SUM(H564,H556:H559,H555)</f>
        <v>350.99940000000004</v>
      </c>
      <c r="I576" s="121"/>
      <c r="J576" s="121"/>
      <c r="K576" s="120">
        <f>SUM(K564,K556:K559,K555)</f>
        <v>336.68831291403058</v>
      </c>
      <c r="L576" s="122">
        <f>K576-H576</f>
        <v>-14.311087085969461</v>
      </c>
      <c r="M576" s="123">
        <f>IF((H576)=0,"",(L576/H576))</f>
        <v>-4.0772397576660985E-2</v>
      </c>
    </row>
    <row r="577" spans="1:13" x14ac:dyDescent="0.25">
      <c r="A577" s="14" t="str">
        <f t="shared" si="54"/>
        <v>GENERAL SERVICE LESS THAN 50 KW SERVICE CLASSIFICATION</v>
      </c>
      <c r="B577" s="14" t="s">
        <v>20</v>
      </c>
      <c r="C577" s="61"/>
      <c r="D577" s="124" t="s">
        <v>86</v>
      </c>
      <c r="E577" s="102"/>
      <c r="F577" s="118">
        <v>0.13</v>
      </c>
      <c r="G577" s="119"/>
      <c r="H577" s="126">
        <f>H576*F577</f>
        <v>45.629922000000008</v>
      </c>
      <c r="I577" s="118">
        <v>0.13</v>
      </c>
      <c r="J577" s="127"/>
      <c r="K577" s="126">
        <f>K576*I577</f>
        <v>43.769480678823975</v>
      </c>
      <c r="L577" s="69">
        <f>K577-H577</f>
        <v>-1.8604413211760331</v>
      </c>
      <c r="M577" s="128">
        <f>IF((H577)=0,"",(L577/H577))</f>
        <v>-4.0772397576661054E-2</v>
      </c>
    </row>
    <row r="578" spans="1:13" ht="14.5" x14ac:dyDescent="0.35">
      <c r="A578" s="14" t="str">
        <f t="shared" si="54"/>
        <v>GENERAL SERVICE LESS THAN 50 KW SERVICE CLASSIFICATION</v>
      </c>
      <c r="B578" s="14" t="s">
        <v>20</v>
      </c>
      <c r="C578" s="61"/>
      <c r="D578" s="124" t="s">
        <v>87</v>
      </c>
      <c r="E578"/>
      <c r="F578" s="129">
        <v>0.11700000000000001</v>
      </c>
      <c r="G578" s="119"/>
      <c r="H578" s="126">
        <f>IF(OR(ISNUMBER(SEARCH("[DGEN]", E527))=TRUE, ISNUMBER(SEARCH("STREET LIGHT", E527))=TRUE), 0, IF(AND(E529=0, E530=0),0, IF(AND(E530=0, E529*12&gt;250000), 0, IF(AND(E529=0, E530&gt;=50), 0, IF(E529*12&lt;=250000, F578*H576*-1, IF(E530&lt;50, F578*H576*-1, 0))))))</f>
        <v>-41.066929800000004</v>
      </c>
      <c r="I578" s="129">
        <v>0.11700000000000001</v>
      </c>
      <c r="J578" s="127"/>
      <c r="K578" s="126">
        <f>IF(OR(ISNUMBER(SEARCH("[DGEN]", E527))=TRUE, ISNUMBER(SEARCH("STREET LIGHT", E527))=TRUE), 0, IF(AND(E529=0, E530=0),0, IF(AND(E530=0, E529*12&gt;250000), 0, IF(AND(E529=0, E530&gt;=50), 0, IF(E529*12&lt;=250000, I578*K576*-1, IF(E530&lt;50, I578*K576*-1, 0))))))</f>
        <v>-39.392532610941579</v>
      </c>
      <c r="L578" s="69"/>
      <c r="M578" s="128"/>
    </row>
    <row r="579" spans="1:13" ht="13.5" thickBot="1" x14ac:dyDescent="0.3">
      <c r="A579" s="14" t="str">
        <f t="shared" si="54"/>
        <v>GENERAL SERVICE LESS THAN 50 KW SERVICE CLASSIFICATION</v>
      </c>
      <c r="B579" s="14" t="s">
        <v>93</v>
      </c>
      <c r="C579" s="61"/>
      <c r="D579" s="181" t="s">
        <v>92</v>
      </c>
      <c r="E579" s="181"/>
      <c r="F579" s="137"/>
      <c r="G579" s="138"/>
      <c r="H579" s="132">
        <f>SUM(H576,H577)</f>
        <v>396.62932200000006</v>
      </c>
      <c r="I579" s="139"/>
      <c r="J579" s="139"/>
      <c r="K579" s="132">
        <f>SUM(K576,K577)</f>
        <v>380.45779359285456</v>
      </c>
      <c r="L579" s="140">
        <f>K579-H579</f>
        <v>-16.171528407145502</v>
      </c>
      <c r="M579" s="141">
        <f>IF((H579)=0,"",(L579/H579))</f>
        <v>-4.0772397576661012E-2</v>
      </c>
    </row>
    <row r="580" spans="1:13" ht="13" thickBot="1" x14ac:dyDescent="0.3">
      <c r="A580" s="14" t="str">
        <f t="shared" si="54"/>
        <v>GENERAL SERVICE LESS THAN 50 KW SERVICE CLASSIFICATION</v>
      </c>
      <c r="B580" s="14" t="s">
        <v>20</v>
      </c>
      <c r="C580" s="61"/>
      <c r="D580" s="109"/>
      <c r="E580" s="110"/>
      <c r="F580" s="146"/>
      <c r="G580" s="143"/>
      <c r="H580" s="147"/>
      <c r="I580" s="146"/>
      <c r="J580" s="112"/>
      <c r="K580" s="147"/>
      <c r="L580" s="145"/>
      <c r="M580" s="148"/>
    </row>
  </sheetData>
  <autoFilter ref="A88:CA580" xr:uid="{0C59DE15-4112-4B1B-A296-5266A3723CDC}"/>
  <mergeCells count="133">
    <mergeCell ref="E535:E536"/>
    <mergeCell ref="L535:L536"/>
    <mergeCell ref="M535:M536"/>
    <mergeCell ref="D569:E569"/>
    <mergeCell ref="D574:E574"/>
    <mergeCell ref="D579:E579"/>
    <mergeCell ref="D523:E523"/>
    <mergeCell ref="E527:J527"/>
    <mergeCell ref="E528:G528"/>
    <mergeCell ref="F534:H534"/>
    <mergeCell ref="I534:K534"/>
    <mergeCell ref="L534:M534"/>
    <mergeCell ref="L478:M478"/>
    <mergeCell ref="E479:E480"/>
    <mergeCell ref="L479:L480"/>
    <mergeCell ref="M479:M480"/>
    <mergeCell ref="D513:E513"/>
    <mergeCell ref="D518:E518"/>
    <mergeCell ref="D457:E457"/>
    <mergeCell ref="D462:E462"/>
    <mergeCell ref="D467:E467"/>
    <mergeCell ref="E471:J471"/>
    <mergeCell ref="E472:G472"/>
    <mergeCell ref="F478:H478"/>
    <mergeCell ref="I478:K478"/>
    <mergeCell ref="E415:J415"/>
    <mergeCell ref="E416:G416"/>
    <mergeCell ref="F422:H422"/>
    <mergeCell ref="I422:K422"/>
    <mergeCell ref="L422:M422"/>
    <mergeCell ref="E423:E424"/>
    <mergeCell ref="L423:L424"/>
    <mergeCell ref="M423:M424"/>
    <mergeCell ref="E367:E368"/>
    <mergeCell ref="L367:L368"/>
    <mergeCell ref="M367:M368"/>
    <mergeCell ref="D401:E401"/>
    <mergeCell ref="D406:E406"/>
    <mergeCell ref="D411:E411"/>
    <mergeCell ref="D355:E355"/>
    <mergeCell ref="E359:J359"/>
    <mergeCell ref="E360:G360"/>
    <mergeCell ref="F366:H366"/>
    <mergeCell ref="I366:K366"/>
    <mergeCell ref="L366:M366"/>
    <mergeCell ref="L310:M310"/>
    <mergeCell ref="E311:E312"/>
    <mergeCell ref="L311:L312"/>
    <mergeCell ref="M311:M312"/>
    <mergeCell ref="D345:E345"/>
    <mergeCell ref="D350:E350"/>
    <mergeCell ref="D289:E289"/>
    <mergeCell ref="D294:E294"/>
    <mergeCell ref="D299:E299"/>
    <mergeCell ref="E303:J303"/>
    <mergeCell ref="E304:G304"/>
    <mergeCell ref="F310:H310"/>
    <mergeCell ref="I310:K310"/>
    <mergeCell ref="E247:J247"/>
    <mergeCell ref="E248:G248"/>
    <mergeCell ref="F254:H254"/>
    <mergeCell ref="I254:K254"/>
    <mergeCell ref="L254:M254"/>
    <mergeCell ref="E255:E256"/>
    <mergeCell ref="L255:L256"/>
    <mergeCell ref="M255:M256"/>
    <mergeCell ref="E199:E200"/>
    <mergeCell ref="L199:L200"/>
    <mergeCell ref="M199:M200"/>
    <mergeCell ref="D233:E233"/>
    <mergeCell ref="D238:E238"/>
    <mergeCell ref="D243:E243"/>
    <mergeCell ref="E191:J191"/>
    <mergeCell ref="E192:G192"/>
    <mergeCell ref="F198:H198"/>
    <mergeCell ref="I198:K198"/>
    <mergeCell ref="L198:M198"/>
    <mergeCell ref="L142:M142"/>
    <mergeCell ref="E143:E144"/>
    <mergeCell ref="L143:L144"/>
    <mergeCell ref="M143:M144"/>
    <mergeCell ref="D177:E177"/>
    <mergeCell ref="D182:E182"/>
    <mergeCell ref="E135:J135"/>
    <mergeCell ref="E136:G136"/>
    <mergeCell ref="F142:H142"/>
    <mergeCell ref="I142:K142"/>
    <mergeCell ref="L86:M86"/>
    <mergeCell ref="E87:E88"/>
    <mergeCell ref="L87:L88"/>
    <mergeCell ref="M87:M88"/>
    <mergeCell ref="D187:E187"/>
    <mergeCell ref="D73:F73"/>
    <mergeCell ref="D74:F74"/>
    <mergeCell ref="E79:J79"/>
    <mergeCell ref="E80:G80"/>
    <mergeCell ref="F86:H86"/>
    <mergeCell ref="I86:K86"/>
    <mergeCell ref="D121:E121"/>
    <mergeCell ref="D126:E126"/>
    <mergeCell ref="D131:E131"/>
    <mergeCell ref="D67:F67"/>
    <mergeCell ref="D68:F68"/>
    <mergeCell ref="D69:F69"/>
    <mergeCell ref="D70:F70"/>
    <mergeCell ref="D71:F71"/>
    <mergeCell ref="D72:F72"/>
    <mergeCell ref="D61:F61"/>
    <mergeCell ref="D62:F62"/>
    <mergeCell ref="D63:F63"/>
    <mergeCell ref="D64:F64"/>
    <mergeCell ref="D65:F65"/>
    <mergeCell ref="D66:F66"/>
    <mergeCell ref="D55:F55"/>
    <mergeCell ref="D56:F56"/>
    <mergeCell ref="D57:F57"/>
    <mergeCell ref="D58:F58"/>
    <mergeCell ref="D59:F59"/>
    <mergeCell ref="D60:F60"/>
    <mergeCell ref="D52:F54"/>
    <mergeCell ref="G52:G54"/>
    <mergeCell ref="H52:M52"/>
    <mergeCell ref="N52:O52"/>
    <mergeCell ref="H53:I53"/>
    <mergeCell ref="J53:K53"/>
    <mergeCell ref="L53:M53"/>
    <mergeCell ref="N53:O53"/>
    <mergeCell ref="C3:K3"/>
    <mergeCell ref="D10:M10"/>
    <mergeCell ref="D11:M11"/>
    <mergeCell ref="N11:O11"/>
    <mergeCell ref="D12:N12"/>
    <mergeCell ref="D29:F29"/>
  </mergeCells>
  <conditionalFormatting sqref="K30:K49">
    <cfRule type="expression" dxfId="2" priority="2">
      <formula>$G30="kVa"</formula>
    </cfRule>
    <cfRule type="expression" dxfId="1" priority="3">
      <formula>$G30="kWh"</formula>
    </cfRule>
  </conditionalFormatting>
  <conditionalFormatting sqref="K30:L49">
    <cfRule type="expression" dxfId="0" priority="1">
      <formula>$G30="kW"</formula>
    </cfRule>
  </conditionalFormatting>
  <dataValidations count="4">
    <dataValidation type="list" allowBlank="1" showInputMessage="1" showErrorMessage="1" prompt="Select Charge Unit - monthly, per kWh, per kW" sqref="E122 E127 E132 E117 E178 E183 E188 E173 E234 E239 E244 E229 E290 E295 E300 E285 E346 E351 E356 E341 E402 E407 E412 E397 E458 E463 E468 E453 E514 E519 E524 E509 E570 E575 E580 E565" xr:uid="{CFFBDBDE-66B6-4360-A9AF-15CA55CBDB54}">
      <formula1>"Monthly, per kWh, per kW"</formula1>
    </dataValidation>
    <dataValidation allowBlank="1" showInputMessage="1" showErrorMessage="1" sqref="D30:D36" xr:uid="{3B040D80-FED5-4B6C-8B1F-80987906DF29}"/>
    <dataValidation type="list" allowBlank="1" showInputMessage="1" showErrorMessage="1" sqref="M30:M49" xr:uid="{601A6337-442F-4D1B-BE37-8E0A1936FC72}">
      <formula1>"CONSUMPTION, DEMAND, DEMAND - INTERVAL"</formula1>
    </dataValidation>
    <dataValidation type="list" allowBlank="1" showInputMessage="1" showErrorMessage="1" sqref="H30:H49" xr:uid="{850CE5B0-601C-4E66-A329-693D8C11E428}">
      <formula1>"RPP, Non-RPP (Retailer), Non-RPP (Other)"</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
        <AccountId xsi:nil="true"/>
        <AccountType/>
      </UserInfo>
    </RA>
    <RAContact xmlns="7e651a3a-8d05-4ee0-9344-b668032e30e0">BURKE Kathleen</RAContact>
    <Allmapsinthefolder xmlns="7e651a3a-8d05-4ee0-9344-b668032e30e0">false</Allmapsinthefolder>
    <RRA xmlns="7e651a3a-8d05-4ee0-9344-b668032e30e0" xsi:nil="true"/>
    <DraftReady xmlns="7e651a3a-8d05-4ee0-9344-b668032e30e0" xsi:nil="true"/>
    <DocumentType xmlns="7e651a3a-8d05-4ee0-9344-b668032e30e0">Working Document</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
        <AccountId xsi:nil="true"/>
        <AccountType/>
      </UserInfo>
    </Author0>
    <ReadyforPrinting xmlns="7e651a3a-8d05-4ee0-9344-b668032e30e0">false</ReadyforPrinting>
    <RADirectorApproved xmlns="7e651a3a-8d05-4ee0-9344-b668032e30e0">false</RADirectorApproved>
    <CaseNumber_x002f_DocketNumber xmlns="7e651a3a-8d05-4ee0-9344-b668032e30e0">EB-2023-0059</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2023-08-17T04:00:00+00:00</IssueDate>
    <Applicant xmlns="7e651a3a-8d05-4ee0-9344-b668032e30e0">Hydro One Networks Inc. - HONI</Applicant>
    <WitnessApproved xmlns="7e651a3a-8d05-4ee0-9344-b668032e30e0">false</WitnessApproved>
    <Strategic xmlns="7e651a3a-8d05-4ee0-9344-b668032e30e0">false</Strategic>
    <Witness xmlns="7e651a3a-8d05-4ee0-9344-b668032e30e0">
      <UserInfo>
        <DisplayName/>
        <AccountId xsi:nil="true"/>
        <AccountType/>
      </UserInfo>
    </Witness>
    <Docket xmlns="7e651a3a-8d05-4ee0-9344-b668032e30e0" xsi:nil="true"/>
    <Applicant0 xmlns="7e651a3a-8d05-4ee0-9344-b668032e30e0">
      <Value>Hydro One Networks Inc. - HONI</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47" ma:contentTypeDescription="Create a new document." ma:contentTypeScope="" ma:versionID="72048c76357f7c6e154ec10a951fc50f">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87d3e6a51955c0801646648d1fa7a772"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Legal_x0020_Review" minOccurs="0"/>
                <xsd:element ref="ns2:Formatted" minOccurs="0"/>
                <xsd:element ref="ns2:PDF" minOccurs="0"/>
                <xsd:element ref="ns2:Confidential" minOccurs="0"/>
                <xsd:element ref="ns2:RADirectorApproved" minOccurs="0"/>
                <xsd:element ref="ns2:Witness"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RA" ma:index="21"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2" nillable="true" ma:displayName="Draft Ready" ma:format="Dropdown" ma:internalName="DraftReady">
      <xsd:simpleType>
        <xsd:restriction base="dms:Choice">
          <xsd:enumeration value="No"/>
          <xsd:enumeration value="Almost"/>
          <xsd:enumeration value="Ready"/>
        </xsd:restriction>
      </xsd:simpleType>
    </xsd:element>
    <xsd:element name="TitleofExhibit" ma:index="23" nillable="true" ma:displayName="Title of Exhibit" ma:format="Dropdown" ma:internalName="TitleofExhibit">
      <xsd:simpleType>
        <xsd:restriction base="dms:Text">
          <xsd:maxLength value="255"/>
        </xsd:restriction>
      </xsd:simpleType>
    </xsd:element>
    <xsd:element name="TypeofDocument" ma:index="24"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5" nillable="true" ma:displayName="Case Number/Docket Number" ma:format="Dropdown" ma:internalName="CaseNumber_x002f_DocketNumber">
      <xsd:simpleType>
        <xsd:restriction base="dms:Note"/>
      </xsd:simpleType>
    </xsd:element>
    <xsd:element name="RAContact" ma:index="26"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restriction>
          </xsd:simpleType>
        </xsd:union>
      </xsd:simpleType>
    </xsd:element>
    <xsd:element name="Applicant" ma:index="27"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restriction>
          </xsd:simpleType>
        </xsd:union>
      </xsd:simpleType>
    </xsd:element>
    <xsd:element name="Applicant0" ma:index="28"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restriction>
                    </xsd:simpleType>
                  </xsd:union>
                </xsd:simpleType>
              </xsd:element>
            </xsd:sequence>
          </xsd:extension>
        </xsd:complexContent>
      </xsd:complexType>
    </xsd:element>
    <xsd:element name="IssueDate" ma:index="29" nillable="true" ma:displayName="Issue Date" ma:format="DateOnly" ma:internalName="IssueDate">
      <xsd:simpleType>
        <xsd:restriction base="dms:DateTime"/>
      </xsd:simpleType>
    </xsd:element>
    <xsd:element name="DocumentType" ma:index="30"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istribution System Plan"/>
          <xsd:enumeration value="Draft Rate Order"/>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Amendments"/>
          <xsd:enumeration value="Notice of Hearing on Cost Awards"/>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Report"/>
          <xsd:enumeration value="Settlement Agreement"/>
          <xsd:enumeration value="Statute"/>
          <xsd:enumeration value="Submission"/>
          <xsd:enumeration value="Transcript"/>
          <xsd:enumeration value="Undertaking"/>
          <xsd:enumeration value="Working Document"/>
          <xsd:enumeration value="OEB Intervention form"/>
        </xsd:restriction>
      </xsd:simpleType>
    </xsd:element>
    <xsd:element name="Docket" ma:index="31" nillable="true" ma:displayName="Docket" ma:description="Docket of the proceeding as provided by the regulator" ma:format="Dropdown" ma:internalName="Docket">
      <xsd:simpleType>
        <xsd:restriction base="dms:Text">
          <xsd:maxLength value="255"/>
        </xsd:restriction>
      </xsd:simpleType>
    </xsd:element>
    <xsd:element name="Author0" ma:index="32"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3" nillable="true" ma:displayName="Witness Approved" ma:default="0" ma:format="Dropdown" ma:internalName="WitnessApproved">
      <xsd:simpleType>
        <xsd:restriction base="dms:Boolean"/>
      </xsd:simpleType>
    </xsd:element>
    <xsd:element name="RAApproved" ma:index="34" nillable="true" ma:displayName="RA Approved" ma:default="0" ma:format="Dropdown" ma:internalName="RAApproved">
      <xsd:simpleType>
        <xsd:restriction base="dms:Boolean"/>
      </xsd:simpleType>
    </xsd:element>
    <xsd:element name="Strategic" ma:index="35" nillable="true" ma:displayName="Strategic" ma:default="0" ma:format="Dropdown" ma:internalName="Strategic">
      <xsd:simpleType>
        <xsd:restriction base="dms:Boolean"/>
      </xsd:simpleType>
    </xsd:element>
    <xsd:element name="MediaLengthInSeconds" ma:index="36" nillable="true" ma:displayName="MediaLengthInSeconds" ma:hidden="true" ma:internalName="MediaLengthInSeconds" ma:readOnly="true">
      <xsd:simpleType>
        <xsd:restriction base="dms:Unknown"/>
      </xsd:simpleType>
    </xsd:element>
    <xsd:element name="Legal_x0020_Review" ma:index="37" nillable="true" ma:displayName="Legal Review" ma:default="1" ma:internalName="Legal_x0020_Review">
      <xsd:simpleType>
        <xsd:restriction base="dms:Boolean"/>
      </xsd:simpleType>
    </xsd:element>
    <xsd:element name="Formatted" ma:index="38" nillable="true" ma:displayName="Formatted" ma:default="0" ma:format="Dropdown" ma:internalName="Formatted">
      <xsd:simpleType>
        <xsd:restriction base="dms:Boolean"/>
      </xsd:simpleType>
    </xsd:element>
    <xsd:element name="PDF" ma:index="39" nillable="true" ma:displayName="PDF" ma:default="0" ma:format="Dropdown" ma:internalName="PDF">
      <xsd:simpleType>
        <xsd:restriction base="dms:Boolean"/>
      </xsd:simpleType>
    </xsd:element>
    <xsd:element name="Confidential" ma:index="40" nillable="true" ma:displayName="Confidential" ma:default="0" ma:format="Dropdown" ma:internalName="Confidential">
      <xsd:simpleType>
        <xsd:restriction base="dms:Boolean"/>
      </xsd:simpleType>
    </xsd:element>
    <xsd:element name="RADirectorApproved" ma:index="41" nillable="true" ma:displayName="RA Director Approved" ma:default="0" ma:format="Dropdown" ma:internalName="RADirectorApproved">
      <xsd:simpleType>
        <xsd:restriction base="dms:Boolean"/>
      </xsd:simpleType>
    </xsd:element>
    <xsd:element name="Witness" ma:index="42" nillable="true" ma:displayName="Witness" ma:format="Dropdown" ma:list="UserInfo" ma:SharePointGroup="0" ma:internalName="Witnes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RA" ma:index="43" nillable="true" ma:displayName="RRA" ma:format="Dropdown" ma:internalName="RRA">
      <xsd:simpleType>
        <xsd:restriction base="dms:Choice">
          <xsd:enumeration value="Julie"/>
          <xsd:enumeration value="Cassie"/>
          <xsd:enumeration value="Carla"/>
        </xsd:restriction>
      </xsd:simpleType>
    </xsd:element>
    <xsd:element name="Allmapsinthefolder" ma:index="44" nillable="true" ma:displayName="All maps in the folder" ma:default="0" ma:format="Dropdown" ma:internalName="Allmapsinthefolder">
      <xsd:simpleType>
        <xsd:restriction base="dms:Boolean"/>
      </xsd:simpleType>
    </xsd:element>
    <xsd:element name="MegafileReady" ma:index="45" nillable="true" ma:displayName="Megafile Ready" ma:default="0" ma:format="Dropdown" ma:internalName="MegafileReady">
      <xsd:simpleType>
        <xsd:restriction base="dms:Boolean"/>
      </xsd:simpleType>
    </xsd:element>
    <xsd:element name="ReadyforPrinting" ma:index="46" nillable="true" ma:displayName="Ready for Printing" ma:default="0" ma:format="Dropdown" ma:internalName="ReadyforPrinting">
      <xsd:simpleType>
        <xsd:restriction base="dms:Boolean"/>
      </xsd:simpleType>
    </xsd:element>
    <xsd:element name="PRINTED" ma:index="47" nillable="true" ma:displayName="PRINTED" ma:default="0" ma:format="Dropdown" ma:internalName="PRINTED">
      <xsd:simpleType>
        <xsd:restriction base="dms:Boolean"/>
      </xsd:simpleType>
    </xsd:element>
    <xsd:element name="AcceptedService_x002d_Legal" ma:index="48" nillable="true" ma:displayName="Accepted Service - Legal" ma:default="1" ma:format="Dropdown" ma:internalName="AcceptedService_x002d_Legal">
      <xsd:simpleType>
        <xsd:restriction base="dms:Boolean"/>
      </xsd:simpleType>
    </xsd:element>
    <xsd:element name="MediaServiceObjectDetectorVersions" ma:index="49"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684C36-8434-42E1-8C69-788658E697AB}">
  <ds:schemaRefs>
    <ds:schemaRef ds:uri="http://schemas.microsoft.com/office/2006/documentManagement/types"/>
    <ds:schemaRef ds:uri="http://purl.org/dc/terms/"/>
    <ds:schemaRef ds:uri="1f5e108a-442b-424d-88d6-fdac133e65d6"/>
    <ds:schemaRef ds:uri="http://schemas.openxmlformats.org/package/2006/metadata/core-properties"/>
    <ds:schemaRef ds:uri="http://purl.org/dc/elements/1.1/"/>
    <ds:schemaRef ds:uri="7e651a3a-8d05-4ee0-9344-b668032e30e0"/>
    <ds:schemaRef ds:uri="http://www.w3.org/XML/1998/namespace"/>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F5939FC-CE15-4636-A2CE-4FFFD6CBF818}">
  <ds:schemaRefs>
    <ds:schemaRef ds:uri="http://schemas.microsoft.com/sharepoint/v3/contenttype/forms"/>
  </ds:schemaRefs>
</ds:datastoreItem>
</file>

<file path=customXml/itemProps3.xml><?xml version="1.0" encoding="utf-8"?>
<ds:datastoreItem xmlns:ds="http://schemas.openxmlformats.org/officeDocument/2006/customXml" ds:itemID="{569A5109-2C77-4770-8AA7-241E0F48CA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21. Bill Impacts - Orillia RZ</vt:lpstr>
    </vt:vector>
  </TitlesOfParts>
  <Manager/>
  <Company>Hydro One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7 - Bill Impacts - Orillia RZ</dc:title>
  <dc:subject/>
  <dc:creator>KIM Susan</dc:creator>
  <cp:keywords/>
  <dc:description/>
  <cp:lastModifiedBy>MOLINA Carla</cp:lastModifiedBy>
  <cp:revision/>
  <cp:lastPrinted>2023-08-15T13:54:19Z</cp:lastPrinted>
  <dcterms:created xsi:type="dcterms:W3CDTF">2023-08-09T18:16:15Z</dcterms:created>
  <dcterms:modified xsi:type="dcterms:W3CDTF">2023-08-15T13:54:21Z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