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I 2024 IRM\Attachments\"/>
    </mc:Choice>
  </mc:AlternateContent>
  <xr:revisionPtr revIDLastSave="0" documentId="13_ncr:1_{3467EB6E-4821-4753-8892-53AC6966DBC0}" xr6:coauthVersionLast="47" xr6:coauthVersionMax="47" xr10:uidLastSave="{00000000-0000-0000-0000-000000000000}"/>
  <bookViews>
    <workbookView xWindow="-120" yWindow="-120" windowWidth="29040" windowHeight="15840" xr2:uid="{FDCFDF4B-9BC6-4C95-BAE6-EEA0A4E60DF5}"/>
  </bookViews>
  <sheets>
    <sheet name="2022 Z Factor Calculation" sheetId="14" r:id="rId1"/>
  </sheets>
  <definedNames>
    <definedName name="_ftn1" localSheetId="0">'2022 Z Factor Calculation'!$B$59</definedName>
    <definedName name="_ftn2" localSheetId="0">'2022 Z Factor Calculation'!$B$60</definedName>
    <definedName name="_ftnref1" localSheetId="0">'2022 Z Factor Calculation'!$D$43</definedName>
    <definedName name="_ftnref2" localSheetId="0">'2022 Z Factor Calculation'!$F$43</definedName>
    <definedName name="_xlnm.Print_Area" localSheetId="0">'2022 Z Factor Calculation'!$A$4:$I$61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4" l="1"/>
  <c r="I15" i="14" s="1"/>
  <c r="G56" i="14"/>
  <c r="D56" i="14" l="1"/>
  <c r="C35" i="14"/>
  <c r="E48" i="14" l="1"/>
  <c r="E52" i="14"/>
  <c r="E49" i="14"/>
  <c r="E51" i="14"/>
  <c r="E53" i="14"/>
  <c r="E50" i="14"/>
  <c r="E54" i="14"/>
  <c r="E55" i="14"/>
  <c r="D59" i="14"/>
  <c r="D61" i="14" s="1"/>
  <c r="E56" i="14" l="1"/>
  <c r="D21" i="14"/>
  <c r="D22" i="14" s="1"/>
  <c r="D28" i="14" s="1"/>
  <c r="D35" i="14" l="1"/>
  <c r="D34" i="14"/>
  <c r="D23" i="14" l="1"/>
  <c r="D26" i="14" s="1"/>
  <c r="D25" i="14" l="1"/>
  <c r="D27" i="14"/>
  <c r="D33" i="14" s="1"/>
  <c r="D36" i="14" s="1"/>
  <c r="D37" i="14" s="1"/>
  <c r="D38" i="14" s="1"/>
  <c r="D29" i="14" s="1"/>
  <c r="D30" i="14" s="1"/>
  <c r="C16" i="14" s="1"/>
  <c r="C44" i="14" s="1"/>
  <c r="C14" i="14" l="1"/>
  <c r="C15" i="14" s="1"/>
  <c r="C43" i="14" l="1"/>
  <c r="C10" i="14"/>
  <c r="C42" i="14"/>
  <c r="C45" i="14" l="1"/>
  <c r="C17" i="14"/>
  <c r="F49" i="14" l="1"/>
  <c r="H49" i="14" s="1"/>
  <c r="I49" i="14" s="1"/>
  <c r="F51" i="14"/>
  <c r="H51" i="14" s="1"/>
  <c r="I51" i="14" s="1"/>
  <c r="F53" i="14"/>
  <c r="H53" i="14" s="1"/>
  <c r="I53" i="14" s="1"/>
  <c r="F55" i="14"/>
  <c r="H55" i="14" s="1"/>
  <c r="I55" i="14" s="1"/>
  <c r="F48" i="14"/>
  <c r="F52" i="14"/>
  <c r="H52" i="14" s="1"/>
  <c r="I52" i="14" s="1"/>
  <c r="F54" i="14"/>
  <c r="H54" i="14" s="1"/>
  <c r="I54" i="14" s="1"/>
  <c r="F50" i="14"/>
  <c r="H50" i="14" s="1"/>
  <c r="I50" i="14" s="1"/>
  <c r="F56" i="14" l="1"/>
  <c r="H48" i="14"/>
  <c r="I48" i="14" s="1"/>
  <c r="I56" i="14" s="1"/>
  <c r="I59" i="14" s="1"/>
  <c r="I60" i="14" s="1"/>
</calcChain>
</file>

<file path=xl/sharedStrings.xml><?xml version="1.0" encoding="utf-8"?>
<sst xmlns="http://schemas.openxmlformats.org/spreadsheetml/2006/main" count="79" uniqueCount="70">
  <si>
    <t>check</t>
  </si>
  <si>
    <t>Capital</t>
  </si>
  <si>
    <t>Category</t>
  </si>
  <si>
    <t>Amount</t>
  </si>
  <si>
    <t>Capital (Regular-Time Labour)</t>
  </si>
  <si>
    <t>O&amp;M (Regular-Time Labour)</t>
  </si>
  <si>
    <t>O&amp;M (Recorded in Acct 1572)</t>
  </si>
  <si>
    <t>Total Storm Costs</t>
  </si>
  <si>
    <t>Capital Expenditures Revenue Requirement</t>
  </si>
  <si>
    <t>Total Z-Factor Claim</t>
  </si>
  <si>
    <t>Description</t>
  </si>
  <si>
    <t>Rate (%)</t>
  </si>
  <si>
    <t>OEB 1830 + 1835</t>
  </si>
  <si>
    <t>Incremental Capital</t>
  </si>
  <si>
    <t>Useful Life:</t>
  </si>
  <si>
    <t>Depreciation Expense</t>
  </si>
  <si>
    <t>Incremental Capital to be included in Rate Base</t>
  </si>
  <si>
    <t>Deemed Short Term Debt (4%)</t>
  </si>
  <si>
    <t>Deemed Long Term Debt (56%)</t>
  </si>
  <si>
    <t>Deemed Equity (40%)</t>
  </si>
  <si>
    <t>Amortization Expense</t>
  </si>
  <si>
    <t>Grossed Up PILS</t>
  </si>
  <si>
    <t>Revenue Requirement</t>
  </si>
  <si>
    <t>PILs Calculation</t>
  </si>
  <si>
    <t xml:space="preserve">  Deemed Equity</t>
  </si>
  <si>
    <t xml:space="preserve">  Add Back Amortization Expense</t>
  </si>
  <si>
    <t xml:space="preserve">  Deduct Enhanced CCA Expense</t>
  </si>
  <si>
    <t xml:space="preserve">  Taxable Income</t>
  </si>
  <si>
    <t xml:space="preserve">  PILs Before Gross Up</t>
  </si>
  <si>
    <t xml:space="preserve">  Incremental Grossed Up PILS</t>
  </si>
  <si>
    <r>
      <t>Table 9 – Z-Factor Allocation and Rate Rider Summary</t>
    </r>
    <r>
      <rPr>
        <sz val="8"/>
        <color theme="1"/>
        <rFont val="Arial"/>
        <family val="2"/>
      </rPr>
      <t> </t>
    </r>
  </si>
  <si>
    <t>Total Storm Costs Recorded in Acct 1572:</t>
  </si>
  <si>
    <t>Total Interest:</t>
  </si>
  <si>
    <t>Capital Expenditures Revenue Requirement:</t>
  </si>
  <si>
    <t>Total Z-Factor Claim:</t>
  </si>
  <si>
    <t>Rate Class</t>
  </si>
  <si>
    <t>Unit</t>
  </si>
  <si>
    <t>% Allocation</t>
  </si>
  <si>
    <t>Total
Z-Factor Claim</t>
  </si>
  <si>
    <t>Z-Factor Rate Rider (per customer / connection per month)</t>
  </si>
  <si>
    <t>Z-Factor Revenue Reconciliation</t>
  </si>
  <si>
    <t>Residential</t>
  </si>
  <si>
    <t>kWh</t>
  </si>
  <si>
    <t xml:space="preserve">General Service Less Than 50 kW </t>
  </si>
  <si>
    <t xml:space="preserve">General Service 50 to 4,999 KW </t>
  </si>
  <si>
    <t>kW</t>
  </si>
  <si>
    <t>Embedded Distributor</t>
  </si>
  <si>
    <t>Unmetered Scattered Load</t>
  </si>
  <si>
    <t>Standby Power</t>
  </si>
  <si>
    <t>Sentinel Lighting</t>
  </si>
  <si>
    <t>Street Lighting</t>
  </si>
  <si>
    <t>TOTAL</t>
  </si>
  <si>
    <t>Difference due to Rounding:</t>
  </si>
  <si>
    <t>%:</t>
  </si>
  <si>
    <t>Q1 2023</t>
  </si>
  <si>
    <t>Q2 2023</t>
  </si>
  <si>
    <t>Q3 2023</t>
  </si>
  <si>
    <t>Q4 2023</t>
  </si>
  <si>
    <t>Prescribed Interest Rates</t>
  </si>
  <si>
    <t>https://www.oeb.ca/regulatory-rules-and-documents/rules-codes-and-requirements/prescribed-interest-rates</t>
  </si>
  <si>
    <t>Allocated Revenue (2022 COS)</t>
  </si>
  <si>
    <t>Adj total</t>
  </si>
  <si>
    <t xml:space="preserve">2022 Base Revenue Requirement </t>
  </si>
  <si>
    <t>reconciling item: Standby not allocated</t>
  </si>
  <si>
    <t>Customer Count (from 2022 RRR 2.1.2)</t>
  </si>
  <si>
    <t xml:space="preserve">Table 5- Summary of Storm Costs </t>
  </si>
  <si>
    <t>Table 6- Summary of Z-Factor Claim</t>
  </si>
  <si>
    <r>
      <t>Table 7 – Revenue Requirement Impact of Capital Expenditures</t>
    </r>
    <r>
      <rPr>
        <sz val="8"/>
        <color theme="1"/>
        <rFont val="Arial"/>
        <family val="2"/>
      </rPr>
      <t> </t>
    </r>
  </si>
  <si>
    <t>OM&amp;A Component Principal Balance</t>
  </si>
  <si>
    <t>2023 Interest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</si>
</sst>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&quot;$&quot;#,##0"/>
    <numFmt numFmtId="167" formatCode="&quot;$&quot;#,##0.00"/>
    <numFmt numFmtId="168" formatCode="&quot;$&quot;#,##0.00_);\(&quot;$&quot;#,##0.00\)"/>
    <numFmt numFmtId="169" formatCode="&quot;$&quot;#,##0_);[Red]\(&quot;$&quot;#,##0\)"/>
    <numFmt numFmtId="170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7" fontId="0" fillId="0" borderId="0" xfId="0" applyNumberFormat="1"/>
    <xf numFmtId="0" fontId="8" fillId="0" borderId="4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6" fontId="9" fillId="0" borderId="13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6" fillId="0" borderId="13" xfId="0" applyNumberFormat="1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6" fontId="6" fillId="0" borderId="0" xfId="0" applyNumberFormat="1" applyFont="1" applyAlignment="1">
      <alignment horizontal="center" vertical="center" wrapText="1"/>
    </xf>
    <xf numFmtId="166" fontId="8" fillId="0" borderId="13" xfId="0" applyNumberFormat="1" applyFont="1" applyBorder="1" applyAlignment="1">
      <alignment horizontal="center" vertical="center" wrapText="1"/>
    </xf>
    <xf numFmtId="10" fontId="9" fillId="0" borderId="13" xfId="3" applyNumberFormat="1" applyFont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166" fontId="8" fillId="5" borderId="13" xfId="0" applyNumberFormat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8" fontId="11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3" borderId="1" xfId="4" applyFont="1" applyFill="1" applyBorder="1" applyAlignment="1">
      <alignment horizontal="center" vertical="center"/>
    </xf>
    <xf numFmtId="0" fontId="14" fillId="3" borderId="14" xfId="4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9" fontId="4" fillId="0" borderId="1" xfId="3" applyFont="1" applyBorder="1" applyAlignment="1" applyProtection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16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4" fillId="0" borderId="0" xfId="0" applyFont="1" applyAlignment="1">
      <alignment vertical="center"/>
    </xf>
    <xf numFmtId="169" fontId="4" fillId="0" borderId="0" xfId="0" applyNumberFormat="1" applyFont="1" applyAlignment="1">
      <alignment horizontal="center" vertical="center"/>
    </xf>
    <xf numFmtId="169" fontId="0" fillId="0" borderId="0" xfId="0" applyNumberFormat="1"/>
    <xf numFmtId="0" fontId="12" fillId="0" borderId="0" xfId="0" applyFont="1" applyAlignment="1">
      <alignment horizontal="right" vertical="center"/>
    </xf>
    <xf numFmtId="169" fontId="12" fillId="0" borderId="0" xfId="0" applyNumberFormat="1" applyFont="1" applyAlignment="1">
      <alignment horizontal="center" vertical="center"/>
    </xf>
    <xf numFmtId="164" fontId="1" fillId="0" borderId="0" xfId="1" applyNumberFormat="1" applyFont="1" applyFill="1" applyBorder="1"/>
    <xf numFmtId="10" fontId="12" fillId="0" borderId="0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4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0" fontId="0" fillId="0" borderId="1" xfId="3" applyNumberFormat="1" applyFont="1" applyBorder="1"/>
    <xf numFmtId="0" fontId="16" fillId="0" borderId="2" xfId="6" applyBorder="1" applyAlignment="1">
      <alignment horizontal="center" wrapText="1"/>
    </xf>
    <xf numFmtId="0" fontId="16" fillId="0" borderId="3" xfId="6" applyBorder="1" applyAlignment="1">
      <alignment horizontal="center" wrapText="1"/>
    </xf>
  </cellXfs>
  <cellStyles count="7">
    <cellStyle name="Comma" xfId="2" builtinId="3"/>
    <cellStyle name="Currency" xfId="1" builtinId="4"/>
    <cellStyle name="Hyperlink" xfId="6" builtinId="8"/>
    <cellStyle name="Normal" xfId="0" builtinId="0"/>
    <cellStyle name="Normal 2" xfId="5" xr:uid="{E275319C-E22F-4362-85AE-9D4343DAFAF4}"/>
    <cellStyle name="Normal_Sheet7" xfId="4" xr:uid="{F0534515-3245-442E-BC85-FAAACA92D80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b.ca/regulatory-rules-and-documents/rules-codes-and-requirements/prescribed-interes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0A5A-CD92-4FCB-B056-6620321CC6B2}">
  <dimension ref="B3:K65"/>
  <sheetViews>
    <sheetView tabSelected="1" view="pageBreakPreview" topLeftCell="A4" zoomScale="60" zoomScaleNormal="130" workbookViewId="0">
      <selection activeCell="N16" sqref="N16"/>
    </sheetView>
  </sheetViews>
  <sheetFormatPr defaultRowHeight="15" x14ac:dyDescent="0.25"/>
  <cols>
    <col min="2" max="2" width="34.85546875" customWidth="1"/>
    <col min="3" max="3" width="16.42578125" bestFit="1" customWidth="1"/>
    <col min="4" max="4" width="27.28515625" customWidth="1"/>
    <col min="5" max="5" width="11.28515625" customWidth="1"/>
    <col min="6" max="6" width="17.85546875" customWidth="1"/>
    <col min="7" max="7" width="13.140625" customWidth="1"/>
    <col min="8" max="8" width="14.7109375" customWidth="1"/>
    <col min="9" max="9" width="15.140625" bestFit="1" customWidth="1"/>
  </cols>
  <sheetData>
    <row r="3" spans="2:9" x14ac:dyDescent="0.25">
      <c r="B3" s="4"/>
      <c r="C3" s="5"/>
      <c r="D3" s="5"/>
      <c r="E3" s="5"/>
      <c r="F3" s="5"/>
      <c r="G3" s="5"/>
    </row>
    <row r="4" spans="2:9" ht="15.75" thickBot="1" x14ac:dyDescent="0.3">
      <c r="B4" s="4" t="s">
        <v>65</v>
      </c>
    </row>
    <row r="5" spans="2:9" ht="15.75" thickBot="1" x14ac:dyDescent="0.3">
      <c r="B5" s="6" t="s">
        <v>2</v>
      </c>
      <c r="C5" s="7" t="s">
        <v>3</v>
      </c>
    </row>
    <row r="6" spans="2:9" x14ac:dyDescent="0.25">
      <c r="B6" s="8" t="s">
        <v>1</v>
      </c>
      <c r="C6" s="9">
        <v>866568.48</v>
      </c>
    </row>
    <row r="7" spans="2:9" x14ac:dyDescent="0.25">
      <c r="B7" s="8" t="s">
        <v>4</v>
      </c>
      <c r="C7" s="9">
        <v>88548</v>
      </c>
      <c r="D7" s="10"/>
    </row>
    <row r="8" spans="2:9" x14ac:dyDescent="0.25">
      <c r="B8" s="11" t="s">
        <v>5</v>
      </c>
      <c r="C8" s="12">
        <v>82906</v>
      </c>
    </row>
    <row r="9" spans="2:9" x14ac:dyDescent="0.25">
      <c r="B9" s="11" t="s">
        <v>6</v>
      </c>
      <c r="C9" s="12">
        <v>892113.91</v>
      </c>
    </row>
    <row r="10" spans="2:9" ht="15.75" thickBot="1" x14ac:dyDescent="0.3">
      <c r="B10" s="13" t="s">
        <v>7</v>
      </c>
      <c r="C10" s="14">
        <f>SUM(C6:C9)</f>
        <v>1930136.3900000001</v>
      </c>
    </row>
    <row r="12" spans="2:9" ht="15.75" thickBot="1" x14ac:dyDescent="0.3">
      <c r="B12" s="4" t="s">
        <v>66</v>
      </c>
    </row>
    <row r="13" spans="2:9" ht="15.75" customHeight="1" thickBot="1" x14ac:dyDescent="0.3">
      <c r="B13" s="6" t="s">
        <v>2</v>
      </c>
      <c r="C13" s="7" t="s">
        <v>3</v>
      </c>
      <c r="F13" s="3" t="s">
        <v>58</v>
      </c>
      <c r="G13" s="3"/>
      <c r="H13" s="60" t="s">
        <v>59</v>
      </c>
      <c r="I13" s="61"/>
    </row>
    <row r="14" spans="2:9" ht="29.25" thickBot="1" x14ac:dyDescent="0.3">
      <c r="B14" s="15" t="s">
        <v>68</v>
      </c>
      <c r="C14" s="16">
        <f>C9</f>
        <v>892113.91</v>
      </c>
      <c r="F14" s="3" t="s">
        <v>54</v>
      </c>
      <c r="G14" s="3" t="s">
        <v>55</v>
      </c>
      <c r="H14" s="3" t="s">
        <v>56</v>
      </c>
      <c r="I14" s="3" t="s">
        <v>57</v>
      </c>
    </row>
    <row r="15" spans="2:9" ht="15.75" thickBot="1" x14ac:dyDescent="0.3">
      <c r="B15" s="15" t="s">
        <v>69</v>
      </c>
      <c r="C15" s="16">
        <f>ROUND((+C14)*F15/4+C14*G15*3/4,-3)</f>
        <v>44000</v>
      </c>
      <c r="F15" s="59">
        <v>4.7300000000000002E-2</v>
      </c>
      <c r="G15" s="59">
        <v>4.9799999999999997E-2</v>
      </c>
      <c r="H15" s="59">
        <f>+G15</f>
        <v>4.9799999999999997E-2</v>
      </c>
      <c r="I15" s="59">
        <f>+H15</f>
        <v>4.9799999999999997E-2</v>
      </c>
    </row>
    <row r="16" spans="2:9" ht="29.25" thickBot="1" x14ac:dyDescent="0.3">
      <c r="B16" s="15" t="s">
        <v>8</v>
      </c>
      <c r="C16" s="16">
        <f>+D30</f>
        <v>48000</v>
      </c>
    </row>
    <row r="17" spans="2:6" ht="15.75" thickBot="1" x14ac:dyDescent="0.3">
      <c r="B17" s="17" t="s">
        <v>9</v>
      </c>
      <c r="C17" s="18">
        <f>SUM(C14:C16)</f>
        <v>984113.91</v>
      </c>
    </row>
    <row r="19" spans="2:6" ht="15.75" thickBot="1" x14ac:dyDescent="0.3">
      <c r="B19" s="4" t="s">
        <v>67</v>
      </c>
    </row>
    <row r="20" spans="2:6" ht="15.75" thickBot="1" x14ac:dyDescent="0.3">
      <c r="B20" s="6" t="s">
        <v>10</v>
      </c>
      <c r="C20" s="7" t="s">
        <v>11</v>
      </c>
      <c r="D20" s="6" t="s">
        <v>3</v>
      </c>
      <c r="F20" s="19" t="s">
        <v>12</v>
      </c>
    </row>
    <row r="21" spans="2:6" ht="15.75" thickBot="1" x14ac:dyDescent="0.3">
      <c r="B21" s="20" t="s">
        <v>13</v>
      </c>
      <c r="C21" s="21"/>
      <c r="D21" s="16">
        <f>+C6</f>
        <v>866568.48</v>
      </c>
      <c r="F21" t="s">
        <v>14</v>
      </c>
    </row>
    <row r="22" spans="2:6" ht="15.75" thickBot="1" x14ac:dyDescent="0.3">
      <c r="B22" s="20" t="s">
        <v>15</v>
      </c>
      <c r="C22" s="21"/>
      <c r="D22" s="16">
        <f>-ROUND(D21/F22,-2)</f>
        <v>-19300</v>
      </c>
      <c r="E22" s="22"/>
      <c r="F22">
        <v>45</v>
      </c>
    </row>
    <row r="23" spans="2:6" ht="30.75" thickBot="1" x14ac:dyDescent="0.3">
      <c r="B23" s="23" t="s">
        <v>16</v>
      </c>
      <c r="C23" s="21"/>
      <c r="D23" s="18">
        <f>SUM(D21:D22)</f>
        <v>847268.48</v>
      </c>
      <c r="E23" s="24"/>
    </row>
    <row r="24" spans="2:6" ht="15.75" thickBot="1" x14ac:dyDescent="0.3">
      <c r="B24" s="20"/>
      <c r="C24" s="21"/>
      <c r="D24" s="25"/>
      <c r="E24" s="22"/>
    </row>
    <row r="25" spans="2:6" ht="15.75" thickBot="1" x14ac:dyDescent="0.3">
      <c r="B25" s="20" t="s">
        <v>17</v>
      </c>
      <c r="C25" s="26">
        <v>1.17E-2</v>
      </c>
      <c r="D25" s="16">
        <f>+ROUND(D$23*C25*0.04,-2)</f>
        <v>400</v>
      </c>
      <c r="E25" s="22"/>
    </row>
    <row r="26" spans="2:6" ht="15.75" thickBot="1" x14ac:dyDescent="0.3">
      <c r="B26" s="20" t="s">
        <v>18</v>
      </c>
      <c r="C26" s="26">
        <v>0.04</v>
      </c>
      <c r="D26" s="16">
        <f>+ROUND(D$23*C26*0.56,-2)</f>
        <v>19000</v>
      </c>
      <c r="E26" s="22"/>
    </row>
    <row r="27" spans="2:6" ht="15.75" thickBot="1" x14ac:dyDescent="0.3">
      <c r="B27" s="20" t="s">
        <v>19</v>
      </c>
      <c r="C27" s="26">
        <v>8.6599999999999996E-2</v>
      </c>
      <c r="D27" s="16">
        <f>+ROUND(D$23*C27*0.4,-2)</f>
        <v>29300</v>
      </c>
      <c r="E27" s="22"/>
    </row>
    <row r="28" spans="2:6" ht="15.75" thickBot="1" x14ac:dyDescent="0.3">
      <c r="B28" s="20" t="s">
        <v>20</v>
      </c>
      <c r="C28" s="21"/>
      <c r="D28" s="16">
        <f>-D22</f>
        <v>19300</v>
      </c>
      <c r="E28" s="22"/>
    </row>
    <row r="29" spans="2:6" ht="15.75" thickBot="1" x14ac:dyDescent="0.3">
      <c r="B29" s="20" t="s">
        <v>21</v>
      </c>
      <c r="C29" s="21"/>
      <c r="D29" s="16">
        <f>+D38</f>
        <v>-20000</v>
      </c>
      <c r="E29" s="22"/>
    </row>
    <row r="30" spans="2:6" ht="15.75" thickBot="1" x14ac:dyDescent="0.3">
      <c r="B30" s="23" t="s">
        <v>22</v>
      </c>
      <c r="C30" s="21"/>
      <c r="D30" s="18">
        <f>SUM(D25:D29)</f>
        <v>48000</v>
      </c>
      <c r="E30" s="24"/>
    </row>
    <row r="31" spans="2:6" ht="15.75" thickBot="1" x14ac:dyDescent="0.3">
      <c r="B31" s="27"/>
      <c r="C31" s="28"/>
      <c r="D31" s="29"/>
      <c r="E31" s="24"/>
    </row>
    <row r="32" spans="2:6" ht="15.75" thickBot="1" x14ac:dyDescent="0.3">
      <c r="B32" s="23" t="s">
        <v>23</v>
      </c>
      <c r="C32" s="21"/>
      <c r="D32" s="25"/>
      <c r="E32" s="22"/>
    </row>
    <row r="33" spans="2:11" ht="15.75" thickBot="1" x14ac:dyDescent="0.3">
      <c r="B33" s="20" t="s">
        <v>24</v>
      </c>
      <c r="C33" s="21"/>
      <c r="D33" s="16">
        <f>+D27</f>
        <v>29300</v>
      </c>
      <c r="E33" s="22"/>
    </row>
    <row r="34" spans="2:11" ht="15.75" thickBot="1" x14ac:dyDescent="0.3">
      <c r="B34" s="20" t="s">
        <v>25</v>
      </c>
      <c r="C34" s="21"/>
      <c r="D34" s="16">
        <f>+D28</f>
        <v>19300</v>
      </c>
      <c r="E34" s="22"/>
    </row>
    <row r="35" spans="2:11" ht="15.75" thickBot="1" x14ac:dyDescent="0.3">
      <c r="B35" s="20" t="s">
        <v>26</v>
      </c>
      <c r="C35" s="26">
        <f>8*1.5%</f>
        <v>0.12</v>
      </c>
      <c r="D35" s="16">
        <f>-ROUND(D21*C35,-2)</f>
        <v>-104000</v>
      </c>
      <c r="E35" s="22"/>
    </row>
    <row r="36" spans="2:11" ht="15.75" thickBot="1" x14ac:dyDescent="0.3">
      <c r="B36" s="23" t="s">
        <v>27</v>
      </c>
      <c r="C36" s="21"/>
      <c r="D36" s="30">
        <f>SUM(D33:D35)</f>
        <v>-55400</v>
      </c>
      <c r="E36" s="24"/>
    </row>
    <row r="37" spans="2:11" ht="15.75" thickBot="1" x14ac:dyDescent="0.3">
      <c r="B37" s="20" t="s">
        <v>28</v>
      </c>
      <c r="C37" s="26">
        <v>0.26500000000000001</v>
      </c>
      <c r="D37" s="16">
        <f>+ROUND(C37*D36,-2)</f>
        <v>-14700</v>
      </c>
      <c r="E37" s="22"/>
    </row>
    <row r="38" spans="2:11" ht="15.75" thickBot="1" x14ac:dyDescent="0.3">
      <c r="B38" s="23" t="s">
        <v>29</v>
      </c>
      <c r="C38" s="21"/>
      <c r="D38" s="16">
        <f>+ROUND(D37/(1-C37),-2)</f>
        <v>-20000</v>
      </c>
      <c r="E38" s="22"/>
    </row>
    <row r="41" spans="2:11" x14ac:dyDescent="0.25">
      <c r="B41" s="4" t="s">
        <v>30</v>
      </c>
      <c r="E41" s="2"/>
    </row>
    <row r="42" spans="2:11" x14ac:dyDescent="0.25">
      <c r="B42" s="31" t="s">
        <v>31</v>
      </c>
      <c r="C42" s="32">
        <f>C14</f>
        <v>892113.91</v>
      </c>
      <c r="D42" s="33"/>
      <c r="E42" s="33"/>
      <c r="F42" s="33"/>
      <c r="G42" s="33"/>
      <c r="H42" s="33"/>
      <c r="I42" s="33"/>
      <c r="J42" s="33"/>
      <c r="K42" s="33"/>
    </row>
    <row r="43" spans="2:11" ht="14.25" customHeight="1" x14ac:dyDescent="0.25">
      <c r="B43" s="31" t="s">
        <v>32</v>
      </c>
      <c r="C43" s="32">
        <f>C15</f>
        <v>44000</v>
      </c>
      <c r="D43" s="33"/>
      <c r="E43" s="33"/>
      <c r="F43" s="33"/>
      <c r="G43" s="33"/>
      <c r="H43" s="33"/>
      <c r="I43" s="33"/>
      <c r="J43" s="33"/>
      <c r="K43" s="33"/>
    </row>
    <row r="44" spans="2:11" ht="14.25" customHeight="1" x14ac:dyDescent="0.25">
      <c r="B44" s="31" t="s">
        <v>33</v>
      </c>
      <c r="C44" s="32">
        <f>C16</f>
        <v>48000</v>
      </c>
      <c r="D44" s="33"/>
      <c r="E44" s="33"/>
      <c r="F44" s="33"/>
      <c r="G44" s="33"/>
      <c r="H44" s="33"/>
      <c r="I44" s="33"/>
      <c r="J44" s="33"/>
      <c r="K44" s="33"/>
    </row>
    <row r="45" spans="2:11" x14ac:dyDescent="0.25">
      <c r="B45" s="31" t="s">
        <v>34</v>
      </c>
      <c r="C45" s="32">
        <f>C42+C43+C44</f>
        <v>984113.91</v>
      </c>
      <c r="D45" s="33"/>
      <c r="E45" s="33"/>
      <c r="F45" s="33"/>
      <c r="G45" s="33"/>
      <c r="H45" s="33"/>
      <c r="I45" s="33"/>
      <c r="J45" s="33"/>
      <c r="K45" s="33"/>
    </row>
    <row r="46" spans="2:1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2:11" ht="94.5" x14ac:dyDescent="0.25">
      <c r="B47" s="34" t="s">
        <v>35</v>
      </c>
      <c r="C47" s="34" t="s">
        <v>36</v>
      </c>
      <c r="D47" s="35" t="s">
        <v>60</v>
      </c>
      <c r="E47" s="35" t="s">
        <v>37</v>
      </c>
      <c r="F47" s="35" t="s">
        <v>38</v>
      </c>
      <c r="G47" s="35" t="s">
        <v>64</v>
      </c>
      <c r="H47" s="36" t="s">
        <v>39</v>
      </c>
      <c r="I47" s="37" t="s">
        <v>40</v>
      </c>
    </row>
    <row r="48" spans="2:11" x14ac:dyDescent="0.25">
      <c r="B48" s="38" t="s">
        <v>41</v>
      </c>
      <c r="C48" s="39" t="s">
        <v>42</v>
      </c>
      <c r="D48" s="40">
        <v>13196610.87178003</v>
      </c>
      <c r="E48" s="41">
        <f>D48/$D$56</f>
        <v>0.60688649857231736</v>
      </c>
      <c r="F48" s="40">
        <f>$C$45*E48</f>
        <v>597245.44503621268</v>
      </c>
      <c r="G48" s="57">
        <v>27703</v>
      </c>
      <c r="H48" s="42">
        <f t="shared" ref="H48:H55" si="0">ROUND(F48/G48/12,2)</f>
        <v>1.8</v>
      </c>
      <c r="I48" s="40">
        <f t="shared" ref="I48:I55" si="1">G48*H48*12</f>
        <v>598384.80000000005</v>
      </c>
    </row>
    <row r="49" spans="2:9" x14ac:dyDescent="0.25">
      <c r="B49" s="43" t="s">
        <v>43</v>
      </c>
      <c r="C49" s="39" t="s">
        <v>42</v>
      </c>
      <c r="D49" s="40">
        <v>2893982.6023949254</v>
      </c>
      <c r="E49" s="41">
        <f t="shared" ref="E49:E55" si="2">D49/$D$56</f>
        <v>0.1330886381027129</v>
      </c>
      <c r="F49" s="40">
        <f t="shared" ref="F49:F55" si="3">$C$45*E49</f>
        <v>130974.38001983578</v>
      </c>
      <c r="G49" s="57">
        <v>2530</v>
      </c>
      <c r="H49" s="42">
        <f t="shared" si="0"/>
        <v>4.3099999999999996</v>
      </c>
      <c r="I49" s="40">
        <f t="shared" si="1"/>
        <v>130851.59999999999</v>
      </c>
    </row>
    <row r="50" spans="2:9" x14ac:dyDescent="0.25">
      <c r="B50" s="43" t="s">
        <v>44</v>
      </c>
      <c r="C50" s="39" t="s">
        <v>45</v>
      </c>
      <c r="D50" s="40">
        <v>5064256.0932398774</v>
      </c>
      <c r="E50" s="41">
        <f t="shared" si="2"/>
        <v>0.2328953000252641</v>
      </c>
      <c r="F50" s="40">
        <f t="shared" si="3"/>
        <v>229195.50432848575</v>
      </c>
      <c r="G50" s="57">
        <v>200</v>
      </c>
      <c r="H50" s="42">
        <f t="shared" si="0"/>
        <v>95.5</v>
      </c>
      <c r="I50" s="40">
        <f t="shared" si="1"/>
        <v>229200</v>
      </c>
    </row>
    <row r="51" spans="2:9" x14ac:dyDescent="0.25">
      <c r="B51" s="43" t="s">
        <v>46</v>
      </c>
      <c r="C51" s="39" t="s">
        <v>45</v>
      </c>
      <c r="D51" s="40">
        <v>134342.32024695553</v>
      </c>
      <c r="E51" s="41">
        <f t="shared" si="2"/>
        <v>6.1781423379773034E-3</v>
      </c>
      <c r="F51" s="40">
        <f t="shared" si="3"/>
        <v>6079.9958127633854</v>
      </c>
      <c r="G51" s="57">
        <v>1</v>
      </c>
      <c r="H51" s="42">
        <f t="shared" si="0"/>
        <v>506.67</v>
      </c>
      <c r="I51" s="40">
        <f t="shared" si="1"/>
        <v>6080.04</v>
      </c>
    </row>
    <row r="52" spans="2:9" x14ac:dyDescent="0.25">
      <c r="B52" s="43" t="s">
        <v>47</v>
      </c>
      <c r="C52" s="39" t="s">
        <v>42</v>
      </c>
      <c r="D52" s="40">
        <v>66309.276645307924</v>
      </c>
      <c r="E52" s="41">
        <f t="shared" si="2"/>
        <v>3.0494348221018642E-3</v>
      </c>
      <c r="F52" s="40">
        <f t="shared" si="3"/>
        <v>3000.9912260688202</v>
      </c>
      <c r="G52" s="57">
        <v>42</v>
      </c>
      <c r="H52" s="42">
        <f t="shared" si="0"/>
        <v>5.95</v>
      </c>
      <c r="I52" s="40">
        <f t="shared" si="1"/>
        <v>2998.8</v>
      </c>
    </row>
    <row r="53" spans="2:9" x14ac:dyDescent="0.25">
      <c r="B53" s="43" t="s">
        <v>48</v>
      </c>
      <c r="C53" s="39" t="s">
        <v>45</v>
      </c>
      <c r="D53" s="40">
        <v>0</v>
      </c>
      <c r="E53" s="41">
        <f t="shared" si="2"/>
        <v>0</v>
      </c>
      <c r="F53" s="40">
        <f t="shared" si="3"/>
        <v>0</v>
      </c>
      <c r="G53" s="57">
        <v>1</v>
      </c>
      <c r="H53" s="42">
        <f t="shared" si="0"/>
        <v>0</v>
      </c>
      <c r="I53" s="40">
        <f t="shared" si="1"/>
        <v>0</v>
      </c>
    </row>
    <row r="54" spans="2:9" x14ac:dyDescent="0.25">
      <c r="B54" s="43" t="s">
        <v>49</v>
      </c>
      <c r="C54" s="39" t="s">
        <v>45</v>
      </c>
      <c r="D54" s="40">
        <v>56687.822688390719</v>
      </c>
      <c r="E54" s="41">
        <f t="shared" si="2"/>
        <v>2.6069628450297211E-3</v>
      </c>
      <c r="F54" s="40">
        <f t="shared" si="3"/>
        <v>2565.548398646923</v>
      </c>
      <c r="G54" s="57">
        <v>633</v>
      </c>
      <c r="H54" s="42">
        <f t="shared" si="0"/>
        <v>0.34</v>
      </c>
      <c r="I54" s="40">
        <f t="shared" si="1"/>
        <v>2582.6400000000003</v>
      </c>
    </row>
    <row r="55" spans="2:9" x14ac:dyDescent="0.25">
      <c r="B55" s="43" t="s">
        <v>50</v>
      </c>
      <c r="C55" s="39" t="s">
        <v>45</v>
      </c>
      <c r="D55" s="40">
        <v>332586.8530086478</v>
      </c>
      <c r="E55" s="41">
        <f t="shared" si="2"/>
        <v>1.5295023294596748E-2</v>
      </c>
      <c r="F55" s="40">
        <f t="shared" si="3"/>
        <v>15052.045177986687</v>
      </c>
      <c r="G55" s="57">
        <v>6017</v>
      </c>
      <c r="H55" s="42">
        <f t="shared" si="0"/>
        <v>0.21</v>
      </c>
      <c r="I55" s="40">
        <f t="shared" si="1"/>
        <v>15162.84</v>
      </c>
    </row>
    <row r="56" spans="2:9" ht="15.75" x14ac:dyDescent="0.25">
      <c r="B56" s="44" t="s">
        <v>51</v>
      </c>
      <c r="C56" s="45"/>
      <c r="D56" s="46">
        <f>SUM(D48:D55)</f>
        <v>21744775.840004135</v>
      </c>
      <c r="E56" s="47">
        <f>SUM(E48:E55)</f>
        <v>0.99999999999999989</v>
      </c>
      <c r="F56" s="46">
        <f>SUM(F48:F55)</f>
        <v>984113.90999999992</v>
      </c>
      <c r="G56" s="58">
        <f>SUM(G48:G55)</f>
        <v>37127</v>
      </c>
      <c r="H56" s="45"/>
      <c r="I56" s="46">
        <f>SUM(I48:I55)</f>
        <v>985260.72000000009</v>
      </c>
    </row>
    <row r="58" spans="2:9" x14ac:dyDescent="0.25">
      <c r="B58" s="49" t="s">
        <v>63</v>
      </c>
      <c r="D58" s="50">
        <v>98948</v>
      </c>
    </row>
    <row r="59" spans="2:9" x14ac:dyDescent="0.25">
      <c r="B59" s="49" t="s">
        <v>61</v>
      </c>
      <c r="D59" s="51">
        <f>SUM(D56:D58)</f>
        <v>21843723.840004135</v>
      </c>
      <c r="H59" s="52" t="s">
        <v>52</v>
      </c>
      <c r="I59" s="53">
        <f>I56-F56</f>
        <v>1146.8100000001723</v>
      </c>
    </row>
    <row r="60" spans="2:9" x14ac:dyDescent="0.25">
      <c r="B60" s="49" t="s">
        <v>62</v>
      </c>
      <c r="D60" s="54">
        <v>21843724</v>
      </c>
      <c r="H60" s="52" t="s">
        <v>53</v>
      </c>
      <c r="I60" s="55">
        <f>I59/D56</f>
        <v>5.2739564134313663E-5</v>
      </c>
    </row>
    <row r="61" spans="2:9" x14ac:dyDescent="0.25">
      <c r="B61" s="56" t="s">
        <v>0</v>
      </c>
      <c r="D61" s="51">
        <f>D59-D60</f>
        <v>-0.15999586507678032</v>
      </c>
    </row>
    <row r="63" spans="2:9" x14ac:dyDescent="0.25">
      <c r="B63" s="48"/>
      <c r="C63" s="48"/>
      <c r="D63" s="48"/>
      <c r="E63" s="48"/>
      <c r="F63" s="48"/>
      <c r="G63" s="48"/>
      <c r="H63" s="48"/>
      <c r="I63" s="48"/>
    </row>
    <row r="65" spans="2:2" x14ac:dyDescent="0.25">
      <c r="B65" s="1"/>
    </row>
  </sheetData>
  <hyperlinks>
    <hyperlink ref="H13" r:id="rId1" xr:uid="{E3D8A20F-7E60-4C1B-9412-357B617C7A06}"/>
  </hyperlinks>
  <pageMargins left="0.7" right="0.7" top="0.75" bottom="0.75" header="0.3" footer="0.3"/>
  <pageSetup scale="57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2022 Z Factor Calculation</vt:lpstr>
      <vt:lpstr>'2022 Z Factor Calculation'!_ftn1</vt:lpstr>
      <vt:lpstr>'2022 Z Factor Calculation'!_ftn2</vt:lpstr>
      <vt:lpstr>'2022 Z Factor Calculation'!_ftnref1</vt:lpstr>
      <vt:lpstr>'2022 Z Factor Calculation'!_ftnref2</vt:lpstr>
      <vt:lpstr>'2022 Z Factor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Stefan, Oana</dc:creator>
  <cp:keywords/>
  <dc:description/>
  <cp:lastModifiedBy>Stefan, Oana</cp:lastModifiedBy>
  <cp:revision/>
  <cp:lastPrinted>2023-08-16T15:15:37Z</cp:lastPrinted>
  <dcterms:created xsi:type="dcterms:W3CDTF">2022-10-04T13:02:39Z</dcterms:created>
  <dcterms:modified xsi:type="dcterms:W3CDTF">2023-08-16T15:15:48Z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