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viranekh_oeb_ca/Documents/Enbridge 2024 Rebasing/"/>
    </mc:Choice>
  </mc:AlternateContent>
  <xr:revisionPtr revIDLastSave="0" documentId="8_{83ABDF09-AFCC-460A-90EC-EDA37956A4B7}" xr6:coauthVersionLast="47" xr6:coauthVersionMax="47" xr10:uidLastSave="{00000000-0000-0000-0000-000000000000}"/>
  <bookViews>
    <workbookView xWindow="-108" yWindow="-108" windowWidth="23256" windowHeight="12576" tabRatio="709" xr2:uid="{0A43946E-18D5-42DB-9256-92B92C4ABC94}"/>
  </bookViews>
  <sheets>
    <sheet name="Recommended Life Estimates" sheetId="1" r:id="rId1"/>
    <sheet name="Longer Life Alternative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5" i="2" l="1"/>
  <c r="AB44" i="2"/>
  <c r="AB47" i="2"/>
  <c r="AB41" i="2"/>
  <c r="AB40" i="2"/>
  <c r="AB29" i="2"/>
  <c r="AB28" i="2"/>
  <c r="AB27" i="2"/>
  <c r="AB26" i="2"/>
  <c r="AB25" i="2"/>
  <c r="AB24" i="2"/>
  <c r="AB19" i="2"/>
  <c r="AB18" i="2"/>
  <c r="AB17" i="2"/>
  <c r="AB15" i="2"/>
  <c r="AB14" i="2"/>
  <c r="AB47" i="1"/>
  <c r="AB45" i="1"/>
  <c r="AB44" i="1"/>
  <c r="AB41" i="1"/>
  <c r="AB40" i="1"/>
  <c r="AB29" i="1"/>
  <c r="AB28" i="1"/>
  <c r="AB27" i="1"/>
  <c r="AB26" i="1"/>
  <c r="AB25" i="1"/>
  <c r="AB24" i="1"/>
  <c r="AB19" i="1"/>
  <c r="AB18" i="1"/>
  <c r="AB17" i="1"/>
  <c r="AB15" i="1"/>
  <c r="AB14" i="1"/>
  <c r="I84" i="2" l="1"/>
  <c r="V45" i="2"/>
  <c r="V44" i="2"/>
  <c r="M84" i="2" l="1"/>
  <c r="M87" i="2" s="1"/>
  <c r="AB81" i="2"/>
  <c r="AG81" i="2" s="1"/>
  <c r="AL81" i="2" s="1"/>
  <c r="W81" i="2"/>
  <c r="R81" i="2"/>
  <c r="Q81" i="2"/>
  <c r="AG80" i="2"/>
  <c r="AL80" i="2" s="1"/>
  <c r="AB80" i="2"/>
  <c r="W80" i="2"/>
  <c r="R80" i="2"/>
  <c r="R84" i="2" s="1"/>
  <c r="R87" i="2" s="1"/>
  <c r="Q80" i="2"/>
  <c r="AK75" i="2"/>
  <c r="AG75" i="2"/>
  <c r="AF75" i="2"/>
  <c r="V75" i="2"/>
  <c r="AA75" i="2" s="1"/>
  <c r="I75" i="2"/>
  <c r="AK74" i="2"/>
  <c r="AF74" i="2"/>
  <c r="V74" i="2"/>
  <c r="AA74" i="2" s="1"/>
  <c r="Q74" i="2"/>
  <c r="S74" i="2" s="1"/>
  <c r="I74" i="2"/>
  <c r="AK73" i="2"/>
  <c r="AG73" i="2"/>
  <c r="AF73" i="2"/>
  <c r="W73" i="2"/>
  <c r="V73" i="2"/>
  <c r="AA73" i="2" s="1"/>
  <c r="H73" i="2"/>
  <c r="I73" i="2" s="1"/>
  <c r="AK72" i="2"/>
  <c r="AF72" i="2"/>
  <c r="AA72" i="2"/>
  <c r="AB72" i="2" s="1"/>
  <c r="AC72" i="2" s="1"/>
  <c r="W72" i="2"/>
  <c r="V72" i="2"/>
  <c r="I72" i="2"/>
  <c r="AK71" i="2"/>
  <c r="AF71" i="2"/>
  <c r="V71" i="2"/>
  <c r="AA71" i="2" s="1"/>
  <c r="H71" i="2"/>
  <c r="I71" i="2" s="1"/>
  <c r="AK70" i="2"/>
  <c r="AL70" i="2" s="1"/>
  <c r="AG70" i="2"/>
  <c r="AF70" i="2"/>
  <c r="W70" i="2"/>
  <c r="V70" i="2"/>
  <c r="AA70" i="2" s="1"/>
  <c r="AB70" i="2" s="1"/>
  <c r="AC70" i="2" s="1"/>
  <c r="Q70" i="2"/>
  <c r="S70" i="2" s="1"/>
  <c r="L70" i="2"/>
  <c r="N70" i="2" s="1"/>
  <c r="I70" i="2"/>
  <c r="AK69" i="2"/>
  <c r="AF69" i="2"/>
  <c r="V69" i="2"/>
  <c r="AA69" i="2" s="1"/>
  <c r="H69" i="2"/>
  <c r="I69" i="2" s="1"/>
  <c r="AG69" i="2" s="1"/>
  <c r="AK68" i="2"/>
  <c r="AL68" i="2" s="1"/>
  <c r="AM68" i="2" s="1"/>
  <c r="AG68" i="2"/>
  <c r="AF68" i="2"/>
  <c r="AB68" i="2"/>
  <c r="AC68" i="2" s="1"/>
  <c r="AA68" i="2"/>
  <c r="X68" i="2"/>
  <c r="W68" i="2"/>
  <c r="V68" i="2"/>
  <c r="L68" i="2"/>
  <c r="N68" i="2" s="1"/>
  <c r="I68" i="2"/>
  <c r="Q68" i="2" s="1"/>
  <c r="S68" i="2" s="1"/>
  <c r="AK67" i="2"/>
  <c r="AF67" i="2"/>
  <c r="V67" i="2"/>
  <c r="AA67" i="2" s="1"/>
  <c r="I67" i="2"/>
  <c r="AL67" i="2" s="1"/>
  <c r="H67" i="2"/>
  <c r="AL66" i="2"/>
  <c r="AK66" i="2"/>
  <c r="AF66" i="2"/>
  <c r="V66" i="2"/>
  <c r="AA66" i="2" s="1"/>
  <c r="AB66" i="2" s="1"/>
  <c r="L66" i="2"/>
  <c r="N66" i="2" s="1"/>
  <c r="H66" i="2"/>
  <c r="I66" i="2" s="1"/>
  <c r="AK65" i="2"/>
  <c r="AF65" i="2"/>
  <c r="AG65" i="2" s="1"/>
  <c r="AH65" i="2" s="1"/>
  <c r="V65" i="2"/>
  <c r="AA65" i="2" s="1"/>
  <c r="AB65" i="2" s="1"/>
  <c r="Q65" i="2"/>
  <c r="S65" i="2" s="1"/>
  <c r="L65" i="2"/>
  <c r="N65" i="2" s="1"/>
  <c r="H65" i="2"/>
  <c r="I65" i="2" s="1"/>
  <c r="AK64" i="2"/>
  <c r="AF64" i="2"/>
  <c r="W64" i="2"/>
  <c r="X64" i="2" s="1"/>
  <c r="V64" i="2"/>
  <c r="AA64" i="2" s="1"/>
  <c r="Q64" i="2"/>
  <c r="S64" i="2" s="1"/>
  <c r="I64" i="2"/>
  <c r="AB64" i="2" s="1"/>
  <c r="AK63" i="2"/>
  <c r="AL63" i="2" s="1"/>
  <c r="AM63" i="2" s="1"/>
  <c r="AG63" i="2"/>
  <c r="AF63" i="2"/>
  <c r="AB63" i="2"/>
  <c r="AC63" i="2" s="1"/>
  <c r="AA63" i="2"/>
  <c r="X63" i="2"/>
  <c r="W63" i="2"/>
  <c r="V63" i="2"/>
  <c r="L63" i="2"/>
  <c r="N63" i="2" s="1"/>
  <c r="I63" i="2"/>
  <c r="Q63" i="2" s="1"/>
  <c r="S63" i="2" s="1"/>
  <c r="AK62" i="2"/>
  <c r="AF62" i="2"/>
  <c r="V62" i="2"/>
  <c r="AA62" i="2" s="1"/>
  <c r="I62" i="2"/>
  <c r="AL62" i="2" s="1"/>
  <c r="H62" i="2"/>
  <c r="AL61" i="2"/>
  <c r="AK61" i="2"/>
  <c r="AF61" i="2"/>
  <c r="V61" i="2"/>
  <c r="AA61" i="2" s="1"/>
  <c r="AB61" i="2" s="1"/>
  <c r="L61" i="2"/>
  <c r="N61" i="2" s="1"/>
  <c r="H61" i="2"/>
  <c r="I61" i="2" s="1"/>
  <c r="AK60" i="2"/>
  <c r="AF60" i="2"/>
  <c r="AG60" i="2" s="1"/>
  <c r="AH60" i="2" s="1"/>
  <c r="V60" i="2"/>
  <c r="AA60" i="2" s="1"/>
  <c r="AB60" i="2" s="1"/>
  <c r="Q60" i="2"/>
  <c r="S60" i="2" s="1"/>
  <c r="L60" i="2"/>
  <c r="N60" i="2" s="1"/>
  <c r="H60" i="2"/>
  <c r="I60" i="2" s="1"/>
  <c r="AK59" i="2"/>
  <c r="AF59" i="2"/>
  <c r="W59" i="2"/>
  <c r="X59" i="2" s="1"/>
  <c r="V59" i="2"/>
  <c r="AA59" i="2" s="1"/>
  <c r="Q59" i="2"/>
  <c r="S59" i="2" s="1"/>
  <c r="I59" i="2"/>
  <c r="AB59" i="2" s="1"/>
  <c r="H59" i="2"/>
  <c r="AL58" i="2"/>
  <c r="AK58" i="2"/>
  <c r="AF58" i="2"/>
  <c r="AA58" i="2"/>
  <c r="V58" i="2"/>
  <c r="I58" i="2"/>
  <c r="AK57" i="2"/>
  <c r="AF57" i="2"/>
  <c r="AA57" i="2"/>
  <c r="W57" i="2"/>
  <c r="V57" i="2"/>
  <c r="I57" i="2"/>
  <c r="AB57" i="2" s="1"/>
  <c r="AC57" i="2" s="1"/>
  <c r="AL56" i="2"/>
  <c r="AM56" i="2" s="1"/>
  <c r="AK56" i="2"/>
  <c r="AG56" i="2"/>
  <c r="AH56" i="2" s="1"/>
  <c r="AF56" i="2"/>
  <c r="V56" i="2"/>
  <c r="AA56" i="2" s="1"/>
  <c r="AB56" i="2" s="1"/>
  <c r="AC56" i="2" s="1"/>
  <c r="S56" i="2"/>
  <c r="Q56" i="2"/>
  <c r="L56" i="2"/>
  <c r="N56" i="2" s="1"/>
  <c r="I56" i="2"/>
  <c r="W56" i="2" s="1"/>
  <c r="X56" i="2" s="1"/>
  <c r="AK55" i="2"/>
  <c r="AF55" i="2"/>
  <c r="AA55" i="2"/>
  <c r="V55" i="2"/>
  <c r="Q55" i="2"/>
  <c r="S55" i="2" s="1"/>
  <c r="I55" i="2"/>
  <c r="AK54" i="2"/>
  <c r="AF54" i="2"/>
  <c r="AG54" i="2" s="1"/>
  <c r="AH54" i="2" s="1"/>
  <c r="AB54" i="2"/>
  <c r="V54" i="2"/>
  <c r="AA54" i="2" s="1"/>
  <c r="S54" i="2"/>
  <c r="Q54" i="2"/>
  <c r="H54" i="2"/>
  <c r="I54" i="2" s="1"/>
  <c r="AK53" i="2"/>
  <c r="AF53" i="2"/>
  <c r="V53" i="2"/>
  <c r="AA53" i="2" s="1"/>
  <c r="Q53" i="2"/>
  <c r="S53" i="2" s="1"/>
  <c r="I53" i="2"/>
  <c r="H53" i="2"/>
  <c r="I52" i="2"/>
  <c r="I51" i="2"/>
  <c r="AL49" i="2"/>
  <c r="AK49" i="2"/>
  <c r="AF49" i="2"/>
  <c r="V49" i="2"/>
  <c r="AA49" i="2" s="1"/>
  <c r="L49" i="2"/>
  <c r="N49" i="2" s="1"/>
  <c r="H49" i="2"/>
  <c r="I49" i="2" s="1"/>
  <c r="AK48" i="2"/>
  <c r="AL48" i="2" s="1"/>
  <c r="AM48" i="2" s="1"/>
  <c r="AG48" i="2"/>
  <c r="AH48" i="2" s="1"/>
  <c r="AF48" i="2"/>
  <c r="W48" i="2"/>
  <c r="X48" i="2" s="1"/>
  <c r="V48" i="2"/>
  <c r="AA48" i="2" s="1"/>
  <c r="AB48" i="2" s="1"/>
  <c r="AC48" i="2" s="1"/>
  <c r="S48" i="2"/>
  <c r="Q48" i="2"/>
  <c r="L48" i="2"/>
  <c r="N48" i="2" s="1"/>
  <c r="I48" i="2"/>
  <c r="V47" i="2"/>
  <c r="H47" i="2"/>
  <c r="I47" i="2" s="1"/>
  <c r="AL46" i="2"/>
  <c r="AK46" i="2"/>
  <c r="AF46" i="2"/>
  <c r="AA46" i="2"/>
  <c r="W46" i="2"/>
  <c r="V46" i="2"/>
  <c r="H46" i="2"/>
  <c r="I46" i="2" s="1"/>
  <c r="AG46" i="2" s="1"/>
  <c r="W45" i="2"/>
  <c r="L45" i="2"/>
  <c r="N45" i="2" s="1"/>
  <c r="I45" i="2"/>
  <c r="H45" i="2"/>
  <c r="Q44" i="2"/>
  <c r="S44" i="2" s="1"/>
  <c r="I44" i="2"/>
  <c r="H44" i="2"/>
  <c r="AL43" i="2"/>
  <c r="AM43" i="2" s="1"/>
  <c r="AK43" i="2"/>
  <c r="AG43" i="2"/>
  <c r="AH43" i="2" s="1"/>
  <c r="AF43" i="2"/>
  <c r="V43" i="2"/>
  <c r="S43" i="2"/>
  <c r="N43" i="2"/>
  <c r="L43" i="2"/>
  <c r="I43" i="2"/>
  <c r="Q43" i="2" s="1"/>
  <c r="AK42" i="2"/>
  <c r="AF42" i="2"/>
  <c r="V42" i="2"/>
  <c r="AA42" i="2" s="1"/>
  <c r="Q42" i="2"/>
  <c r="S42" i="2" s="1"/>
  <c r="I42" i="2"/>
  <c r="AB42" i="2" s="1"/>
  <c r="H42" i="2"/>
  <c r="V41" i="2"/>
  <c r="I41" i="2"/>
  <c r="H41" i="2"/>
  <c r="V40" i="2"/>
  <c r="L40" i="2"/>
  <c r="N40" i="2" s="1"/>
  <c r="H40" i="2"/>
  <c r="I40" i="2" s="1"/>
  <c r="AK39" i="2"/>
  <c r="AG39" i="2"/>
  <c r="AF39" i="2"/>
  <c r="AB39" i="2"/>
  <c r="AC39" i="2" s="1"/>
  <c r="AA39" i="2"/>
  <c r="W39" i="2"/>
  <c r="V39" i="2"/>
  <c r="Q39" i="2"/>
  <c r="S39" i="2" s="1"/>
  <c r="N39" i="2"/>
  <c r="I39" i="2"/>
  <c r="AK38" i="2"/>
  <c r="AF38" i="2"/>
  <c r="AG38" i="2" s="1"/>
  <c r="AH38" i="2" s="1"/>
  <c r="AB38" i="2"/>
  <c r="AC38" i="2" s="1"/>
  <c r="AA38" i="2"/>
  <c r="W38" i="2"/>
  <c r="X38" i="2" s="1"/>
  <c r="V38" i="2"/>
  <c r="Q38" i="2"/>
  <c r="S38" i="2" s="1"/>
  <c r="L38" i="2"/>
  <c r="N38" i="2" s="1"/>
  <c r="I38" i="2"/>
  <c r="AL38" i="2" s="1"/>
  <c r="AM38" i="2" s="1"/>
  <c r="AL37" i="2"/>
  <c r="AM37" i="2" s="1"/>
  <c r="AK37" i="2"/>
  <c r="AH37" i="2"/>
  <c r="AG37" i="2"/>
  <c r="AF37" i="2"/>
  <c r="V37" i="2"/>
  <c r="S37" i="2"/>
  <c r="Q37" i="2"/>
  <c r="N37" i="2"/>
  <c r="L37" i="2"/>
  <c r="I37" i="2"/>
  <c r="AK36" i="2"/>
  <c r="AF36" i="2"/>
  <c r="W36" i="2"/>
  <c r="V36" i="2"/>
  <c r="AA36" i="2" s="1"/>
  <c r="I36" i="2"/>
  <c r="AK35" i="2"/>
  <c r="AL35" i="2" s="1"/>
  <c r="AM35" i="2" s="1"/>
  <c r="AG35" i="2"/>
  <c r="AH35" i="2" s="1"/>
  <c r="AF35" i="2"/>
  <c r="AB35" i="2"/>
  <c r="AC35" i="2" s="1"/>
  <c r="X35" i="2"/>
  <c r="W35" i="2"/>
  <c r="V35" i="2"/>
  <c r="AA35" i="2" s="1"/>
  <c r="S35" i="2"/>
  <c r="Q35" i="2"/>
  <c r="L35" i="2"/>
  <c r="N35" i="2" s="1"/>
  <c r="I35" i="2"/>
  <c r="AK34" i="2"/>
  <c r="AF34" i="2"/>
  <c r="AA34" i="2"/>
  <c r="V34" i="2"/>
  <c r="H34" i="2"/>
  <c r="I34" i="2" s="1"/>
  <c r="AK33" i="2"/>
  <c r="AG33" i="2"/>
  <c r="AF33" i="2"/>
  <c r="AA33" i="2"/>
  <c r="V33" i="2"/>
  <c r="H33" i="2"/>
  <c r="I33" i="2" s="1"/>
  <c r="S32" i="2"/>
  <c r="I32" i="2"/>
  <c r="S31" i="2"/>
  <c r="I31" i="2"/>
  <c r="S30" i="2"/>
  <c r="V29" i="2"/>
  <c r="Q29" i="2"/>
  <c r="S29" i="2" s="1"/>
  <c r="L29" i="2"/>
  <c r="N29" i="2" s="1"/>
  <c r="I29" i="2"/>
  <c r="H29" i="2"/>
  <c r="V28" i="2"/>
  <c r="I28" i="2"/>
  <c r="Q28" i="2" s="1"/>
  <c r="S28" i="2" s="1"/>
  <c r="V27" i="2"/>
  <c r="W27" i="2" s="1"/>
  <c r="S27" i="2"/>
  <c r="Q27" i="2"/>
  <c r="I27" i="2"/>
  <c r="L27" i="2" s="1"/>
  <c r="N27" i="2" s="1"/>
  <c r="H27" i="2"/>
  <c r="V26" i="2"/>
  <c r="W26" i="2" s="1"/>
  <c r="I26" i="2"/>
  <c r="Q26" i="2" s="1"/>
  <c r="S26" i="2" s="1"/>
  <c r="V25" i="2"/>
  <c r="Q25" i="2"/>
  <c r="S25" i="2" s="1"/>
  <c r="L25" i="2"/>
  <c r="N25" i="2" s="1"/>
  <c r="I25" i="2"/>
  <c r="W25" i="2" s="1"/>
  <c r="V24" i="2"/>
  <c r="I24" i="2"/>
  <c r="AK23" i="2"/>
  <c r="AF23" i="2"/>
  <c r="AA23" i="2"/>
  <c r="V23" i="2"/>
  <c r="I23" i="2"/>
  <c r="H23" i="2"/>
  <c r="I22" i="2"/>
  <c r="I21" i="2"/>
  <c r="V19" i="2"/>
  <c r="H19" i="2"/>
  <c r="I19" i="2" s="1"/>
  <c r="V18" i="2"/>
  <c r="W18" i="2" s="1"/>
  <c r="H18" i="2"/>
  <c r="I18" i="2" s="1"/>
  <c r="V17" i="2"/>
  <c r="I17" i="2"/>
  <c r="H17" i="2"/>
  <c r="AK16" i="2"/>
  <c r="AF16" i="2"/>
  <c r="AA16" i="2"/>
  <c r="V16" i="2"/>
  <c r="I16" i="2"/>
  <c r="AL16" i="2" s="1"/>
  <c r="V15" i="2"/>
  <c r="Q15" i="2"/>
  <c r="S15" i="2" s="1"/>
  <c r="L15" i="2"/>
  <c r="N15" i="2" s="1"/>
  <c r="I15" i="2"/>
  <c r="W15" i="2" s="1"/>
  <c r="H15" i="2"/>
  <c r="V14" i="2"/>
  <c r="H14" i="2"/>
  <c r="I14" i="2" s="1"/>
  <c r="AF13" i="2"/>
  <c r="AA13" i="2"/>
  <c r="V13" i="2"/>
  <c r="H13" i="2"/>
  <c r="I13" i="2" s="1"/>
  <c r="AL13" i="2" s="1"/>
  <c r="N12" i="2"/>
  <c r="I12" i="2"/>
  <c r="N11" i="2"/>
  <c r="I11" i="2"/>
  <c r="N10" i="2"/>
  <c r="AK9" i="2"/>
  <c r="AF9" i="2"/>
  <c r="V9" i="2"/>
  <c r="Q9" i="2"/>
  <c r="S9" i="2" s="1"/>
  <c r="N9" i="2"/>
  <c r="L9" i="2"/>
  <c r="I9" i="2"/>
  <c r="AL9" i="2" s="1"/>
  <c r="AM9" i="2" s="1"/>
  <c r="AK8" i="2"/>
  <c r="AL8" i="2" s="1"/>
  <c r="AM8" i="2" s="1"/>
  <c r="AG8" i="2"/>
  <c r="AH8" i="2" s="1"/>
  <c r="AF8" i="2"/>
  <c r="W8" i="2"/>
  <c r="X8" i="2" s="1"/>
  <c r="V8" i="2"/>
  <c r="AA8" i="2" s="1"/>
  <c r="S8" i="2"/>
  <c r="Q8" i="2"/>
  <c r="I8" i="2"/>
  <c r="AL7" i="2"/>
  <c r="AK7" i="2"/>
  <c r="AF7" i="2"/>
  <c r="V7" i="2"/>
  <c r="AA7" i="2" s="1"/>
  <c r="I7" i="2"/>
  <c r="AF49" i="1"/>
  <c r="AF48" i="1"/>
  <c r="AF46" i="1"/>
  <c r="AF43" i="1"/>
  <c r="AF42" i="1"/>
  <c r="AF39" i="1"/>
  <c r="AF38" i="1"/>
  <c r="AF37" i="1"/>
  <c r="AF36" i="1"/>
  <c r="AF35" i="1"/>
  <c r="AF34" i="1"/>
  <c r="AF33" i="1"/>
  <c r="AF23" i="1"/>
  <c r="AF16" i="1"/>
  <c r="AF13" i="1"/>
  <c r="AF9" i="1"/>
  <c r="AF8" i="1"/>
  <c r="AF7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53" i="1"/>
  <c r="AK7" i="1"/>
  <c r="AC45" i="2" l="1"/>
  <c r="AA45" i="2"/>
  <c r="AF45" i="2" s="1"/>
  <c r="AG45" i="2" s="1"/>
  <c r="W14" i="2"/>
  <c r="L14" i="2"/>
  <c r="N14" i="2" s="1"/>
  <c r="Q14" i="2"/>
  <c r="S14" i="2" s="1"/>
  <c r="AG34" i="2"/>
  <c r="AH34" i="2" s="1"/>
  <c r="Q34" i="2"/>
  <c r="S34" i="2" s="1"/>
  <c r="AB34" i="2"/>
  <c r="L34" i="2"/>
  <c r="N34" i="2" s="1"/>
  <c r="W34" i="2"/>
  <c r="X34" i="2" s="1"/>
  <c r="AL34" i="2"/>
  <c r="AM34" i="2" s="1"/>
  <c r="AH69" i="2"/>
  <c r="X73" i="2"/>
  <c r="AB7" i="2"/>
  <c r="AL18" i="2"/>
  <c r="X25" i="2"/>
  <c r="AL25" i="2"/>
  <c r="AM62" i="2"/>
  <c r="Q13" i="2"/>
  <c r="S13" i="2" s="1"/>
  <c r="AB13" i="2"/>
  <c r="L13" i="2"/>
  <c r="N13" i="2" s="1"/>
  <c r="AG13" i="2"/>
  <c r="AH13" i="2" s="1"/>
  <c r="AH75" i="2"/>
  <c r="AC66" i="2"/>
  <c r="W13" i="2"/>
  <c r="X13" i="2" s="1"/>
  <c r="AL15" i="2"/>
  <c r="X15" i="2"/>
  <c r="AL26" i="2"/>
  <c r="X26" i="2"/>
  <c r="AG23" i="2"/>
  <c r="L23" i="2"/>
  <c r="N23" i="2" s="1"/>
  <c r="Q23" i="2"/>
  <c r="S23" i="2" s="1"/>
  <c r="AB23" i="2"/>
  <c r="AL23" i="2"/>
  <c r="AM23" i="2" s="1"/>
  <c r="W23" i="2"/>
  <c r="X23" i="2" s="1"/>
  <c r="AA9" i="2"/>
  <c r="AB9" i="2" s="1"/>
  <c r="AC9" i="2" s="1"/>
  <c r="W9" i="2"/>
  <c r="X9" i="2" s="1"/>
  <c r="L17" i="2"/>
  <c r="N17" i="2" s="1"/>
  <c r="Q17" i="2"/>
  <c r="S17" i="2" s="1"/>
  <c r="W17" i="2"/>
  <c r="L19" i="2"/>
  <c r="N19" i="2" s="1"/>
  <c r="W19" i="2"/>
  <c r="Q19" i="2"/>
  <c r="S19" i="2" s="1"/>
  <c r="AB8" i="2"/>
  <c r="AC8" i="2" s="1"/>
  <c r="Q18" i="2"/>
  <c r="S18" i="2" s="1"/>
  <c r="L18" i="2"/>
  <c r="N18" i="2" s="1"/>
  <c r="Q24" i="2"/>
  <c r="S24" i="2" s="1"/>
  <c r="W24" i="2"/>
  <c r="L24" i="2"/>
  <c r="N24" i="2" s="1"/>
  <c r="AL27" i="2"/>
  <c r="X27" i="2"/>
  <c r="W33" i="2"/>
  <c r="Q33" i="2"/>
  <c r="S33" i="2" s="1"/>
  <c r="L47" i="2"/>
  <c r="N47" i="2" s="1"/>
  <c r="W47" i="2"/>
  <c r="Q47" i="2"/>
  <c r="S47" i="2" s="1"/>
  <c r="AH70" i="2"/>
  <c r="H84" i="2"/>
  <c r="H87" i="2" s="1"/>
  <c r="W7" i="2"/>
  <c r="AG9" i="2"/>
  <c r="AH9" i="2" s="1"/>
  <c r="L16" i="2"/>
  <c r="N16" i="2" s="1"/>
  <c r="AB16" i="2"/>
  <c r="L33" i="2"/>
  <c r="N33" i="2" s="1"/>
  <c r="W40" i="2"/>
  <c r="Q40" i="2"/>
  <c r="S40" i="2" s="1"/>
  <c r="AL45" i="2"/>
  <c r="W49" i="2"/>
  <c r="AG49" i="2"/>
  <c r="Q49" i="2"/>
  <c r="S49" i="2" s="1"/>
  <c r="W53" i="2"/>
  <c r="X53" i="2" s="1"/>
  <c r="AM70" i="2"/>
  <c r="W74" i="2"/>
  <c r="X74" i="2" s="1"/>
  <c r="L7" i="2"/>
  <c r="AG16" i="2"/>
  <c r="AL33" i="2"/>
  <c r="AG57" i="2"/>
  <c r="Q57" i="2"/>
  <c r="S57" i="2" s="1"/>
  <c r="AL57" i="2"/>
  <c r="AM57" i="2" s="1"/>
  <c r="AH63" i="2"/>
  <c r="AH68" i="2"/>
  <c r="AG72" i="2"/>
  <c r="Q72" i="2"/>
  <c r="S72" i="2" s="1"/>
  <c r="AL72" i="2"/>
  <c r="AM72" i="2" s="1"/>
  <c r="L8" i="2"/>
  <c r="N8" i="2" s="1"/>
  <c r="W29" i="2"/>
  <c r="AB36" i="2"/>
  <c r="AC36" i="2" s="1"/>
  <c r="L36" i="2"/>
  <c r="N36" i="2" s="1"/>
  <c r="AL36" i="2"/>
  <c r="AG36" i="2"/>
  <c r="W42" i="2"/>
  <c r="X42" i="2" s="1"/>
  <c r="AA43" i="2"/>
  <c r="AB43" i="2" s="1"/>
  <c r="W43" i="2"/>
  <c r="X43" i="2" s="1"/>
  <c r="W44" i="2"/>
  <c r="L44" i="2"/>
  <c r="N44" i="2" s="1"/>
  <c r="AL54" i="2"/>
  <c r="AM54" i="2" s="1"/>
  <c r="W54" i="2"/>
  <c r="X54" i="2" s="1"/>
  <c r="L57" i="2"/>
  <c r="N57" i="2" s="1"/>
  <c r="AG58" i="2"/>
  <c r="Q58" i="2"/>
  <c r="S58" i="2" s="1"/>
  <c r="AB58" i="2"/>
  <c r="AC58" i="2" s="1"/>
  <c r="L58" i="2"/>
  <c r="N58" i="2" s="1"/>
  <c r="W58" i="2"/>
  <c r="X70" i="2"/>
  <c r="L72" i="2"/>
  <c r="N72" i="2" s="1"/>
  <c r="Q73" i="2"/>
  <c r="S73" i="2" s="1"/>
  <c r="AB73" i="2"/>
  <c r="AC73" i="2" s="1"/>
  <c r="L73" i="2"/>
  <c r="N73" i="2" s="1"/>
  <c r="AL73" i="2"/>
  <c r="AM73" i="2" s="1"/>
  <c r="AB75" i="2"/>
  <c r="Q41" i="2"/>
  <c r="S41" i="2" s="1"/>
  <c r="L41" i="2"/>
  <c r="N41" i="2" s="1"/>
  <c r="W41" i="2"/>
  <c r="AC54" i="2"/>
  <c r="AA37" i="2"/>
  <c r="AB37" i="2" s="1"/>
  <c r="AC37" i="2" s="1"/>
  <c r="W37" i="2"/>
  <c r="X37" i="2" s="1"/>
  <c r="Q7" i="2"/>
  <c r="W16" i="2"/>
  <c r="Q36" i="2"/>
  <c r="S36" i="2" s="1"/>
  <c r="Q45" i="2"/>
  <c r="S45" i="2" s="1"/>
  <c r="Q46" i="2"/>
  <c r="AB46" i="2"/>
  <c r="AC46" i="2" s="1"/>
  <c r="L46" i="2"/>
  <c r="N46" i="2" s="1"/>
  <c r="AB49" i="2"/>
  <c r="AB53" i="2"/>
  <c r="L54" i="2"/>
  <c r="N54" i="2" s="1"/>
  <c r="AL55" i="2"/>
  <c r="AM55" i="2" s="1"/>
  <c r="W55" i="2"/>
  <c r="X55" i="2" s="1"/>
  <c r="AG55" i="2"/>
  <c r="AH55" i="2" s="1"/>
  <c r="AB55" i="2"/>
  <c r="L55" i="2"/>
  <c r="N55" i="2" s="1"/>
  <c r="AL60" i="2"/>
  <c r="AM60" i="2" s="1"/>
  <c r="W60" i="2"/>
  <c r="X60" i="2" s="1"/>
  <c r="AL65" i="2"/>
  <c r="AM65" i="2" s="1"/>
  <c r="W65" i="2"/>
  <c r="X65" i="2" s="1"/>
  <c r="AB74" i="2"/>
  <c r="AC74" i="2" s="1"/>
  <c r="AC42" i="2"/>
  <c r="AG62" i="2"/>
  <c r="Q62" i="2"/>
  <c r="S62" i="2" s="1"/>
  <c r="AB62" i="2"/>
  <c r="L62" i="2"/>
  <c r="N62" i="2" s="1"/>
  <c r="W62" i="2"/>
  <c r="X62" i="2" s="1"/>
  <c r="AG67" i="2"/>
  <c r="Q67" i="2"/>
  <c r="S67" i="2" s="1"/>
  <c r="AB67" i="2"/>
  <c r="L67" i="2"/>
  <c r="N67" i="2" s="1"/>
  <c r="W67" i="2"/>
  <c r="W71" i="2"/>
  <c r="AG71" i="2"/>
  <c r="Q71" i="2"/>
  <c r="S71" i="2" s="1"/>
  <c r="Q16" i="2"/>
  <c r="S16" i="2" s="1"/>
  <c r="X39" i="2"/>
  <c r="L71" i="2"/>
  <c r="N71" i="2" s="1"/>
  <c r="AL71" i="2"/>
  <c r="AH73" i="2"/>
  <c r="AG7" i="2"/>
  <c r="L26" i="2"/>
  <c r="N26" i="2" s="1"/>
  <c r="W28" i="2"/>
  <c r="L28" i="2"/>
  <c r="N28" i="2" s="1"/>
  <c r="AB33" i="2"/>
  <c r="AL39" i="2"/>
  <c r="AM39" i="2" s="1"/>
  <c r="AH39" i="2"/>
  <c r="X57" i="2"/>
  <c r="AC59" i="2"/>
  <c r="W61" i="2"/>
  <c r="X61" i="2" s="1"/>
  <c r="AG61" i="2"/>
  <c r="AH61" i="2" s="1"/>
  <c r="Q61" i="2"/>
  <c r="S61" i="2" s="1"/>
  <c r="AC64" i="2"/>
  <c r="W66" i="2"/>
  <c r="AG66" i="2"/>
  <c r="Q66" i="2"/>
  <c r="S66" i="2" s="1"/>
  <c r="AB69" i="2"/>
  <c r="AC69" i="2" s="1"/>
  <c r="L69" i="2"/>
  <c r="N69" i="2" s="1"/>
  <c r="AL69" i="2"/>
  <c r="W69" i="2"/>
  <c r="Q69" i="2"/>
  <c r="S69" i="2" s="1"/>
  <c r="AB71" i="2"/>
  <c r="AC71" i="2" s="1"/>
  <c r="X72" i="2"/>
  <c r="AG42" i="2"/>
  <c r="AH42" i="2" s="1"/>
  <c r="AG53" i="2"/>
  <c r="AH53" i="2" s="1"/>
  <c r="AG59" i="2"/>
  <c r="AH59" i="2" s="1"/>
  <c r="AG64" i="2"/>
  <c r="AH64" i="2" s="1"/>
  <c r="AG74" i="2"/>
  <c r="AH74" i="2" s="1"/>
  <c r="Q75" i="2"/>
  <c r="S75" i="2" s="1"/>
  <c r="AL42" i="2"/>
  <c r="AM42" i="2" s="1"/>
  <c r="AL53" i="2"/>
  <c r="AM53" i="2" s="1"/>
  <c r="AL59" i="2"/>
  <c r="AM59" i="2" s="1"/>
  <c r="AL64" i="2"/>
  <c r="AM64" i="2" s="1"/>
  <c r="AL74" i="2"/>
  <c r="AM74" i="2" s="1"/>
  <c r="W75" i="2"/>
  <c r="X75" i="2" s="1"/>
  <c r="AL75" i="2"/>
  <c r="L42" i="2"/>
  <c r="N42" i="2" s="1"/>
  <c r="L53" i="2"/>
  <c r="N53" i="2" s="1"/>
  <c r="L59" i="2"/>
  <c r="N59" i="2" s="1"/>
  <c r="L64" i="2"/>
  <c r="N64" i="2" s="1"/>
  <c r="L74" i="2"/>
  <c r="N74" i="2" s="1"/>
  <c r="L75" i="2"/>
  <c r="N75" i="2" s="1"/>
  <c r="AL44" i="2" l="1"/>
  <c r="X44" i="2"/>
  <c r="S46" i="2"/>
  <c r="X46" i="2"/>
  <c r="AH45" i="2"/>
  <c r="AM66" i="2"/>
  <c r="AH33" i="2"/>
  <c r="AL17" i="2"/>
  <c r="X17" i="2"/>
  <c r="AA15" i="2"/>
  <c r="AF15" i="2" s="1"/>
  <c r="AG15" i="2" s="1"/>
  <c r="AH15" i="2" s="1"/>
  <c r="AC15" i="2"/>
  <c r="AC61" i="2"/>
  <c r="AM25" i="2"/>
  <c r="AK25" i="2"/>
  <c r="AC65" i="2"/>
  <c r="AH66" i="2"/>
  <c r="AM46" i="2"/>
  <c r="AH71" i="2"/>
  <c r="AL41" i="2"/>
  <c r="X41" i="2"/>
  <c r="AC43" i="2"/>
  <c r="AH57" i="2"/>
  <c r="AH49" i="2"/>
  <c r="AM61" i="2"/>
  <c r="AC23" i="2"/>
  <c r="AM58" i="2"/>
  <c r="AA27" i="2"/>
  <c r="AF27" i="2" s="1"/>
  <c r="AG27" i="2" s="1"/>
  <c r="AH27" i="2" s="1"/>
  <c r="AC27" i="2"/>
  <c r="AM26" i="2"/>
  <c r="AK26" i="2"/>
  <c r="AL29" i="2"/>
  <c r="X29" i="2"/>
  <c r="AM67" i="2"/>
  <c r="AH58" i="2"/>
  <c r="X71" i="2"/>
  <c r="AC53" i="2"/>
  <c r="AM33" i="2"/>
  <c r="AC16" i="2"/>
  <c r="AM15" i="2"/>
  <c r="AK15" i="2"/>
  <c r="AM18" i="2"/>
  <c r="AK18" i="2"/>
  <c r="X67" i="2"/>
  <c r="AC49" i="2"/>
  <c r="S7" i="2"/>
  <c r="S84" i="2" s="1"/>
  <c r="Q84" i="2"/>
  <c r="Q87" i="2" s="1"/>
  <c r="AH36" i="2"/>
  <c r="AH16" i="2"/>
  <c r="X45" i="2"/>
  <c r="AL47" i="2"/>
  <c r="X47" i="2"/>
  <c r="AC60" i="2"/>
  <c r="AC18" i="2"/>
  <c r="AA18" i="2"/>
  <c r="AF18" i="2" s="1"/>
  <c r="AG18" i="2" s="1"/>
  <c r="AH18" i="2" s="1"/>
  <c r="AL14" i="2"/>
  <c r="X14" i="2"/>
  <c r="AL24" i="2"/>
  <c r="X24" i="2"/>
  <c r="AL28" i="2"/>
  <c r="X28" i="2"/>
  <c r="X33" i="2"/>
  <c r="AC25" i="2"/>
  <c r="AA25" i="2"/>
  <c r="AF25" i="2" s="1"/>
  <c r="AG25" i="2" s="1"/>
  <c r="AH25" i="2" s="1"/>
  <c r="X66" i="2"/>
  <c r="AC62" i="2"/>
  <c r="X49" i="2"/>
  <c r="AM27" i="2"/>
  <c r="AK27" i="2"/>
  <c r="AM75" i="2"/>
  <c r="X69" i="2"/>
  <c r="AC33" i="2"/>
  <c r="AM71" i="2"/>
  <c r="AH62" i="2"/>
  <c r="X58" i="2"/>
  <c r="AM36" i="2"/>
  <c r="AH72" i="2"/>
  <c r="L84" i="2"/>
  <c r="L87" i="2" s="1"/>
  <c r="N7" i="2"/>
  <c r="N84" i="2" s="1"/>
  <c r="AM45" i="2"/>
  <c r="AK45" i="2"/>
  <c r="AH46" i="2"/>
  <c r="AM16" i="2"/>
  <c r="AH23" i="2"/>
  <c r="AM7" i="2"/>
  <c r="AC13" i="2"/>
  <c r="X18" i="2"/>
  <c r="AC34" i="2"/>
  <c r="AL19" i="2"/>
  <c r="X19" i="2"/>
  <c r="AH67" i="2"/>
  <c r="X40" i="2"/>
  <c r="AL40" i="2"/>
  <c r="AC26" i="2"/>
  <c r="AA26" i="2"/>
  <c r="AF26" i="2" s="1"/>
  <c r="AG26" i="2" s="1"/>
  <c r="AH26" i="2" s="1"/>
  <c r="AH7" i="2"/>
  <c r="X16" i="2"/>
  <c r="AM69" i="2"/>
  <c r="AC67" i="2"/>
  <c r="AM49" i="2"/>
  <c r="AC55" i="2"/>
  <c r="AC75" i="2"/>
  <c r="W84" i="2"/>
  <c r="X7" i="2"/>
  <c r="X36" i="2"/>
  <c r="AC7" i="2"/>
  <c r="AM13" i="2"/>
  <c r="AB84" i="2" l="1"/>
  <c r="AC84" i="2" s="1"/>
  <c r="AM19" i="2"/>
  <c r="AK19" i="2"/>
  <c r="AC24" i="2"/>
  <c r="AA24" i="2"/>
  <c r="AF24" i="2" s="1"/>
  <c r="AG24" i="2" s="1"/>
  <c r="AH24" i="2" s="1"/>
  <c r="AC17" i="2"/>
  <c r="AA17" i="2"/>
  <c r="AF17" i="2" s="1"/>
  <c r="AG17" i="2" s="1"/>
  <c r="AH17" i="2" s="1"/>
  <c r="AA19" i="2"/>
  <c r="AF19" i="2" s="1"/>
  <c r="AG19" i="2" s="1"/>
  <c r="AH19" i="2" s="1"/>
  <c r="AC19" i="2"/>
  <c r="AK28" i="2"/>
  <c r="AM28" i="2"/>
  <c r="AK29" i="2"/>
  <c r="AM29" i="2"/>
  <c r="AK40" i="2"/>
  <c r="AM40" i="2"/>
  <c r="AA40" i="2"/>
  <c r="AF40" i="2" s="1"/>
  <c r="AG40" i="2" s="1"/>
  <c r="AH40" i="2" s="1"/>
  <c r="AC40" i="2"/>
  <c r="AM47" i="2"/>
  <c r="AK47" i="2"/>
  <c r="AA47" i="2"/>
  <c r="AF47" i="2" s="1"/>
  <c r="AG47" i="2" s="1"/>
  <c r="AH47" i="2" s="1"/>
  <c r="AC47" i="2"/>
  <c r="AK41" i="2"/>
  <c r="AM41" i="2"/>
  <c r="AC44" i="2"/>
  <c r="AA44" i="2"/>
  <c r="AF44" i="2" s="1"/>
  <c r="AG44" i="2" s="1"/>
  <c r="AH44" i="2" s="1"/>
  <c r="AM14" i="2"/>
  <c r="AK14" i="2"/>
  <c r="AL84" i="2"/>
  <c r="AM84" i="2" s="1"/>
  <c r="AC41" i="2"/>
  <c r="AA41" i="2"/>
  <c r="AF41" i="2" s="1"/>
  <c r="AG41" i="2" s="1"/>
  <c r="AH41" i="2" s="1"/>
  <c r="AK17" i="2"/>
  <c r="AM17" i="2"/>
  <c r="AK24" i="2"/>
  <c r="AM24" i="2"/>
  <c r="X84" i="2"/>
  <c r="AK44" i="2"/>
  <c r="AM44" i="2"/>
  <c r="AC28" i="2"/>
  <c r="AA28" i="2"/>
  <c r="AF28" i="2" s="1"/>
  <c r="AG28" i="2" s="1"/>
  <c r="AH28" i="2" s="1"/>
  <c r="AC14" i="2"/>
  <c r="AA14" i="2"/>
  <c r="AF14" i="2" s="1"/>
  <c r="AG14" i="2" s="1"/>
  <c r="AC29" i="2"/>
  <c r="AA29" i="2"/>
  <c r="AF29" i="2" s="1"/>
  <c r="AG29" i="2" s="1"/>
  <c r="AH29" i="2" s="1"/>
  <c r="AH14" i="2" l="1"/>
  <c r="AG84" i="2"/>
  <c r="AH84" i="2" s="1"/>
  <c r="AK54" i="1" l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53" i="1"/>
  <c r="AK49" i="1"/>
  <c r="AK48" i="1"/>
  <c r="AK46" i="1"/>
  <c r="AK43" i="1"/>
  <c r="AK42" i="1"/>
  <c r="AK34" i="1"/>
  <c r="AK35" i="1"/>
  <c r="AK36" i="1"/>
  <c r="AK37" i="1"/>
  <c r="AK38" i="1"/>
  <c r="AK39" i="1"/>
  <c r="AK33" i="1"/>
  <c r="AK23" i="1"/>
  <c r="AK16" i="1"/>
  <c r="AK8" i="1"/>
  <c r="AK9" i="1"/>
  <c r="V54" i="1" l="1"/>
  <c r="AA54" i="1" s="1"/>
  <c r="V55" i="1"/>
  <c r="AA55" i="1" s="1"/>
  <c r="V56" i="1"/>
  <c r="AA56" i="1" s="1"/>
  <c r="V57" i="1"/>
  <c r="AA57" i="1" s="1"/>
  <c r="V58" i="1"/>
  <c r="AA58" i="1" s="1"/>
  <c r="V59" i="1"/>
  <c r="AA59" i="1" s="1"/>
  <c r="V60" i="1"/>
  <c r="AA60" i="1" s="1"/>
  <c r="V61" i="1"/>
  <c r="AA61" i="1" s="1"/>
  <c r="V62" i="1"/>
  <c r="AA62" i="1" s="1"/>
  <c r="V63" i="1"/>
  <c r="AA63" i="1" s="1"/>
  <c r="V64" i="1"/>
  <c r="AA64" i="1" s="1"/>
  <c r="V65" i="1"/>
  <c r="AA65" i="1" s="1"/>
  <c r="V66" i="1"/>
  <c r="AA66" i="1" s="1"/>
  <c r="V67" i="1"/>
  <c r="AA67" i="1" s="1"/>
  <c r="V68" i="1"/>
  <c r="AA68" i="1" s="1"/>
  <c r="V69" i="1"/>
  <c r="AA69" i="1" s="1"/>
  <c r="V70" i="1"/>
  <c r="AA70" i="1" s="1"/>
  <c r="V71" i="1"/>
  <c r="AA71" i="1" s="1"/>
  <c r="V72" i="1"/>
  <c r="AA72" i="1" s="1"/>
  <c r="V73" i="1"/>
  <c r="AA73" i="1" s="1"/>
  <c r="V74" i="1"/>
  <c r="AA74" i="1" s="1"/>
  <c r="V75" i="1"/>
  <c r="AA75" i="1" s="1"/>
  <c r="V53" i="1"/>
  <c r="AA53" i="1" s="1"/>
  <c r="V47" i="1"/>
  <c r="V48" i="1"/>
  <c r="AA48" i="1" s="1"/>
  <c r="V49" i="1"/>
  <c r="AA49" i="1" s="1"/>
  <c r="V46" i="1"/>
  <c r="AA46" i="1" s="1"/>
  <c r="V34" i="1"/>
  <c r="AA34" i="1" s="1"/>
  <c r="V35" i="1"/>
  <c r="AA35" i="1" s="1"/>
  <c r="V36" i="1"/>
  <c r="AA36" i="1" s="1"/>
  <c r="V37" i="1"/>
  <c r="AA37" i="1" s="1"/>
  <c r="V38" i="1"/>
  <c r="AA38" i="1" s="1"/>
  <c r="V39" i="1"/>
  <c r="AA39" i="1" s="1"/>
  <c r="V40" i="1"/>
  <c r="V41" i="1"/>
  <c r="V42" i="1"/>
  <c r="AA42" i="1" s="1"/>
  <c r="V43" i="1"/>
  <c r="AA43" i="1" s="1"/>
  <c r="V33" i="1"/>
  <c r="AA33" i="1" s="1"/>
  <c r="V29" i="1"/>
  <c r="V28" i="1"/>
  <c r="V24" i="1"/>
  <c r="V25" i="1"/>
  <c r="V26" i="1"/>
  <c r="V23" i="1"/>
  <c r="AA23" i="1" s="1"/>
  <c r="V17" i="1"/>
  <c r="V16" i="1"/>
  <c r="AA16" i="1" s="1"/>
  <c r="V15" i="1"/>
  <c r="V8" i="1"/>
  <c r="AA8" i="1" s="1"/>
  <c r="V9" i="1"/>
  <c r="AA9" i="1" s="1"/>
  <c r="V13" i="1"/>
  <c r="AA13" i="1" s="1"/>
  <c r="V7" i="1"/>
  <c r="AA7" i="1" s="1"/>
  <c r="W81" i="1"/>
  <c r="W80" i="1"/>
  <c r="R80" i="1"/>
  <c r="R81" i="1"/>
  <c r="Q81" i="1"/>
  <c r="AB81" i="1" s="1"/>
  <c r="AG81" i="1" s="1"/>
  <c r="AL81" i="1" s="1"/>
  <c r="Q80" i="1"/>
  <c r="AB80" i="1" s="1"/>
  <c r="AG80" i="1" s="1"/>
  <c r="AL80" i="1" s="1"/>
  <c r="M84" i="1"/>
  <c r="M87" i="1" s="1"/>
  <c r="S30" i="1"/>
  <c r="S31" i="1"/>
  <c r="S32" i="1"/>
  <c r="Q39" i="1"/>
  <c r="S39" i="1" s="1"/>
  <c r="W39" i="1"/>
  <c r="AB39" i="1" s="1"/>
  <c r="V27" i="1"/>
  <c r="H66" i="1"/>
  <c r="N10" i="1"/>
  <c r="N11" i="1"/>
  <c r="N12" i="1"/>
  <c r="H71" i="1"/>
  <c r="H69" i="1"/>
  <c r="H67" i="1"/>
  <c r="R84" i="1" l="1"/>
  <c r="R87" i="1" s="1"/>
  <c r="V45" i="1"/>
  <c r="V44" i="1"/>
  <c r="V19" i="1"/>
  <c r="V18" i="1"/>
  <c r="V14" i="1"/>
  <c r="H73" i="1" l="1"/>
  <c r="H65" i="1"/>
  <c r="H62" i="1"/>
  <c r="H61" i="1"/>
  <c r="H60" i="1"/>
  <c r="H59" i="1"/>
  <c r="H54" i="1" l="1"/>
  <c r="I54" i="1" s="1"/>
  <c r="H53" i="1"/>
  <c r="I53" i="1" s="1"/>
  <c r="H49" i="1"/>
  <c r="I49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4" i="1"/>
  <c r="I34" i="1" s="1"/>
  <c r="H33" i="1"/>
  <c r="I33" i="1" s="1"/>
  <c r="H29" i="1"/>
  <c r="I29" i="1" s="1"/>
  <c r="H27" i="1"/>
  <c r="I27" i="1" s="1"/>
  <c r="H23" i="1"/>
  <c r="I23" i="1" s="1"/>
  <c r="H19" i="1"/>
  <c r="I19" i="1" s="1"/>
  <c r="H18" i="1"/>
  <c r="I18" i="1" s="1"/>
  <c r="H17" i="1"/>
  <c r="I17" i="1" s="1"/>
  <c r="H15" i="1"/>
  <c r="I15" i="1" s="1"/>
  <c r="H14" i="1"/>
  <c r="I14" i="1" s="1"/>
  <c r="H13" i="1"/>
  <c r="I8" i="1"/>
  <c r="I9" i="1"/>
  <c r="I11" i="1"/>
  <c r="I12" i="1"/>
  <c r="I16" i="1"/>
  <c r="I21" i="1"/>
  <c r="I22" i="1"/>
  <c r="I24" i="1"/>
  <c r="I25" i="1"/>
  <c r="I26" i="1"/>
  <c r="I28" i="1"/>
  <c r="I31" i="1"/>
  <c r="I32" i="1"/>
  <c r="I35" i="1"/>
  <c r="I36" i="1"/>
  <c r="I37" i="1"/>
  <c r="I38" i="1"/>
  <c r="I39" i="1"/>
  <c r="I43" i="1"/>
  <c r="I48" i="1"/>
  <c r="I51" i="1"/>
  <c r="I52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" i="1"/>
  <c r="AL74" i="1" l="1"/>
  <c r="AG74" i="1"/>
  <c r="AL66" i="1"/>
  <c r="AG66" i="1"/>
  <c r="AL58" i="1"/>
  <c r="AG58" i="1"/>
  <c r="AG9" i="1"/>
  <c r="AL9" i="1"/>
  <c r="AL23" i="1"/>
  <c r="AG23" i="1"/>
  <c r="AG42" i="1"/>
  <c r="AL42" i="1"/>
  <c r="AL73" i="1"/>
  <c r="AG73" i="1"/>
  <c r="AL65" i="1"/>
  <c r="AG65" i="1"/>
  <c r="AL57" i="1"/>
  <c r="AG57" i="1"/>
  <c r="AL38" i="1"/>
  <c r="AG38" i="1"/>
  <c r="AG8" i="1"/>
  <c r="AL8" i="1"/>
  <c r="AG72" i="1"/>
  <c r="AL72" i="1"/>
  <c r="AG64" i="1"/>
  <c r="AL64" i="1"/>
  <c r="AG56" i="1"/>
  <c r="AL56" i="1"/>
  <c r="AG37" i="1"/>
  <c r="AL37" i="1"/>
  <c r="AL46" i="1"/>
  <c r="AG46" i="1"/>
  <c r="AG71" i="1"/>
  <c r="AL71" i="1"/>
  <c r="AG63" i="1"/>
  <c r="AL63" i="1"/>
  <c r="AG55" i="1"/>
  <c r="AL55" i="1"/>
  <c r="AG36" i="1"/>
  <c r="AL36" i="1"/>
  <c r="AL33" i="1"/>
  <c r="AG33" i="1"/>
  <c r="AG43" i="1"/>
  <c r="AL43" i="1"/>
  <c r="AG70" i="1"/>
  <c r="AL70" i="1"/>
  <c r="AG62" i="1"/>
  <c r="AL62" i="1"/>
  <c r="AG35" i="1"/>
  <c r="AL35" i="1"/>
  <c r="AL34" i="1"/>
  <c r="AG34" i="1"/>
  <c r="AG49" i="1"/>
  <c r="AL49" i="1"/>
  <c r="AL75" i="1"/>
  <c r="AG75" i="1"/>
  <c r="AL59" i="1"/>
  <c r="AG59" i="1"/>
  <c r="AG69" i="1"/>
  <c r="AL69" i="1"/>
  <c r="AG61" i="1"/>
  <c r="AL61" i="1"/>
  <c r="AL16" i="1"/>
  <c r="AG16" i="1"/>
  <c r="AG53" i="1"/>
  <c r="AL53" i="1"/>
  <c r="AL67" i="1"/>
  <c r="AG67" i="1"/>
  <c r="AL7" i="1"/>
  <c r="AG7" i="1"/>
  <c r="AG68" i="1"/>
  <c r="AL68" i="1"/>
  <c r="AG60" i="1"/>
  <c r="AL60" i="1"/>
  <c r="AL48" i="1"/>
  <c r="AG48" i="1"/>
  <c r="AG54" i="1"/>
  <c r="AL54" i="1"/>
  <c r="H84" i="1"/>
  <c r="H87" i="1" s="1"/>
  <c r="W14" i="1"/>
  <c r="Q7" i="1"/>
  <c r="S7" i="1" s="1"/>
  <c r="Q42" i="1"/>
  <c r="AB42" i="1"/>
  <c r="Q74" i="1"/>
  <c r="AB74" i="1"/>
  <c r="Q66" i="1"/>
  <c r="AB66" i="1"/>
  <c r="Q58" i="1"/>
  <c r="AB58" i="1"/>
  <c r="Q26" i="1"/>
  <c r="Q9" i="1"/>
  <c r="AB9" i="1"/>
  <c r="Q23" i="1"/>
  <c r="AB23" i="1"/>
  <c r="Q44" i="1"/>
  <c r="Q67" i="1"/>
  <c r="AB67" i="1"/>
  <c r="Q19" i="1"/>
  <c r="Q73" i="1"/>
  <c r="AB73" i="1"/>
  <c r="Q65" i="1"/>
  <c r="AB65" i="1"/>
  <c r="Q57" i="1"/>
  <c r="AB57" i="1"/>
  <c r="Q38" i="1"/>
  <c r="AB38" i="1"/>
  <c r="Q25" i="1"/>
  <c r="Q8" i="1"/>
  <c r="AB8" i="1"/>
  <c r="Q27" i="1"/>
  <c r="Q45" i="1"/>
  <c r="Q75" i="1"/>
  <c r="AB75" i="1"/>
  <c r="Q56" i="1"/>
  <c r="AB56" i="1"/>
  <c r="Q29" i="1"/>
  <c r="Q46" i="1"/>
  <c r="AB46" i="1"/>
  <c r="Q72" i="1"/>
  <c r="AB72" i="1"/>
  <c r="Q71" i="1"/>
  <c r="AB71" i="1"/>
  <c r="Q55" i="1"/>
  <c r="AB55" i="1"/>
  <c r="Q36" i="1"/>
  <c r="AB36" i="1"/>
  <c r="Q14" i="1"/>
  <c r="Q33" i="1"/>
  <c r="AB33" i="1"/>
  <c r="Q47" i="1"/>
  <c r="Q59" i="1"/>
  <c r="AB59" i="1"/>
  <c r="Q64" i="1"/>
  <c r="AB64" i="1"/>
  <c r="Q63" i="1"/>
  <c r="AB63" i="1"/>
  <c r="Q70" i="1"/>
  <c r="S70" i="1" s="1"/>
  <c r="AB70" i="1"/>
  <c r="Q62" i="1"/>
  <c r="AB62" i="1"/>
  <c r="Q35" i="1"/>
  <c r="AB35" i="1"/>
  <c r="Q15" i="1"/>
  <c r="Q34" i="1"/>
  <c r="AB34" i="1"/>
  <c r="Q49" i="1"/>
  <c r="AB49" i="1"/>
  <c r="Q43" i="1"/>
  <c r="AB43" i="1"/>
  <c r="Q24" i="1"/>
  <c r="Q69" i="1"/>
  <c r="AB69" i="1"/>
  <c r="Q61" i="1"/>
  <c r="AB61" i="1"/>
  <c r="Q16" i="1"/>
  <c r="AB16" i="1"/>
  <c r="Q17" i="1"/>
  <c r="Q40" i="1"/>
  <c r="Q53" i="1"/>
  <c r="AB53" i="1"/>
  <c r="Q28" i="1"/>
  <c r="Q37" i="1"/>
  <c r="AB37" i="1"/>
  <c r="AB7" i="1"/>
  <c r="Q68" i="1"/>
  <c r="AB68" i="1"/>
  <c r="Q60" i="1"/>
  <c r="AB60" i="1"/>
  <c r="Q48" i="1"/>
  <c r="AB48" i="1"/>
  <c r="Q18" i="1"/>
  <c r="Q41" i="1"/>
  <c r="Q54" i="1"/>
  <c r="AB54" i="1"/>
  <c r="W27" i="1"/>
  <c r="L27" i="1"/>
  <c r="N27" i="1" s="1"/>
  <c r="W56" i="1"/>
  <c r="L56" i="1"/>
  <c r="N56" i="1" s="1"/>
  <c r="W55" i="1"/>
  <c r="L55" i="1"/>
  <c r="N55" i="1" s="1"/>
  <c r="W9" i="1"/>
  <c r="L9" i="1"/>
  <c r="N9" i="1" s="1"/>
  <c r="W62" i="1"/>
  <c r="L62" i="1"/>
  <c r="N62" i="1" s="1"/>
  <c r="W24" i="1"/>
  <c r="L24" i="1"/>
  <c r="N24" i="1" s="1"/>
  <c r="I13" i="1"/>
  <c r="W29" i="1"/>
  <c r="L29" i="1"/>
  <c r="N29" i="1" s="1"/>
  <c r="W72" i="1"/>
  <c r="L72" i="1"/>
  <c r="N72" i="1" s="1"/>
  <c r="W38" i="1"/>
  <c r="L38" i="1"/>
  <c r="N38" i="1" s="1"/>
  <c r="W63" i="1"/>
  <c r="L63" i="1"/>
  <c r="N63" i="1" s="1"/>
  <c r="W44" i="1"/>
  <c r="L44" i="1"/>
  <c r="N44" i="1" s="1"/>
  <c r="W8" i="1"/>
  <c r="L8" i="1"/>
  <c r="N8" i="1" s="1"/>
  <c r="W61" i="1"/>
  <c r="L61" i="1"/>
  <c r="N61" i="1" s="1"/>
  <c r="W60" i="1"/>
  <c r="L60" i="1"/>
  <c r="N60" i="1" s="1"/>
  <c r="L14" i="1"/>
  <c r="N14" i="1" s="1"/>
  <c r="W33" i="1"/>
  <c r="L33" i="1"/>
  <c r="N33" i="1" s="1"/>
  <c r="W47" i="1"/>
  <c r="L47" i="1"/>
  <c r="N47" i="1" s="1"/>
  <c r="W42" i="1"/>
  <c r="L42" i="1"/>
  <c r="N42" i="1" s="1"/>
  <c r="W37" i="1"/>
  <c r="L37" i="1"/>
  <c r="N37" i="1" s="1"/>
  <c r="L45" i="1"/>
  <c r="N45" i="1" s="1"/>
  <c r="W45" i="1"/>
  <c r="W69" i="1"/>
  <c r="L69" i="1"/>
  <c r="N69" i="1" s="1"/>
  <c r="W7" i="1"/>
  <c r="L7" i="1"/>
  <c r="W68" i="1"/>
  <c r="L68" i="1"/>
  <c r="N68" i="1" s="1"/>
  <c r="W75" i="1"/>
  <c r="L75" i="1"/>
  <c r="N75" i="1" s="1"/>
  <c r="W67" i="1"/>
  <c r="L67" i="1"/>
  <c r="N67" i="1" s="1"/>
  <c r="W59" i="1"/>
  <c r="L59" i="1"/>
  <c r="N59" i="1" s="1"/>
  <c r="W46" i="1"/>
  <c r="L46" i="1"/>
  <c r="N46" i="1" s="1"/>
  <c r="W18" i="1"/>
  <c r="L18" i="1"/>
  <c r="N18" i="1" s="1"/>
  <c r="W15" i="1"/>
  <c r="L15" i="1"/>
  <c r="N15" i="1" s="1"/>
  <c r="W34" i="1"/>
  <c r="L34" i="1"/>
  <c r="N34" i="1" s="1"/>
  <c r="W49" i="1"/>
  <c r="L49" i="1"/>
  <c r="N49" i="1" s="1"/>
  <c r="W19" i="1"/>
  <c r="L19" i="1"/>
  <c r="N19" i="1" s="1"/>
  <c r="W23" i="1"/>
  <c r="L23" i="1"/>
  <c r="N23" i="1" s="1"/>
  <c r="W36" i="1"/>
  <c r="L36" i="1"/>
  <c r="N36" i="1" s="1"/>
  <c r="W74" i="1"/>
  <c r="L74" i="1"/>
  <c r="N74" i="1" s="1"/>
  <c r="W66" i="1"/>
  <c r="L66" i="1"/>
  <c r="N66" i="1" s="1"/>
  <c r="W58" i="1"/>
  <c r="L58" i="1"/>
  <c r="N58" i="1" s="1"/>
  <c r="W43" i="1"/>
  <c r="L43" i="1"/>
  <c r="N43" i="1" s="1"/>
  <c r="W28" i="1"/>
  <c r="L28" i="1"/>
  <c r="N28" i="1" s="1"/>
  <c r="W16" i="1"/>
  <c r="L16" i="1"/>
  <c r="N16" i="1" s="1"/>
  <c r="W17" i="1"/>
  <c r="L17" i="1"/>
  <c r="N17" i="1" s="1"/>
  <c r="W40" i="1"/>
  <c r="L40" i="1"/>
  <c r="N40" i="1" s="1"/>
  <c r="W53" i="1"/>
  <c r="L53" i="1"/>
  <c r="N53" i="1" s="1"/>
  <c r="W64" i="1"/>
  <c r="L64" i="1"/>
  <c r="N64" i="1" s="1"/>
  <c r="W26" i="1"/>
  <c r="AL26" i="1" s="1"/>
  <c r="L26" i="1"/>
  <c r="N26" i="1" s="1"/>
  <c r="W71" i="1"/>
  <c r="L71" i="1"/>
  <c r="N71" i="1" s="1"/>
  <c r="W25" i="1"/>
  <c r="L25" i="1"/>
  <c r="N25" i="1" s="1"/>
  <c r="W70" i="1"/>
  <c r="L70" i="1"/>
  <c r="N70" i="1" s="1"/>
  <c r="W35" i="1"/>
  <c r="L35" i="1"/>
  <c r="N35" i="1" s="1"/>
  <c r="W48" i="1"/>
  <c r="L48" i="1"/>
  <c r="W73" i="1"/>
  <c r="L73" i="1"/>
  <c r="N73" i="1" s="1"/>
  <c r="W65" i="1"/>
  <c r="L65" i="1"/>
  <c r="N65" i="1" s="1"/>
  <c r="W57" i="1"/>
  <c r="L57" i="1"/>
  <c r="N57" i="1" s="1"/>
  <c r="N39" i="1"/>
  <c r="W41" i="1"/>
  <c r="L41" i="1"/>
  <c r="N41" i="1" s="1"/>
  <c r="W54" i="1"/>
  <c r="L54" i="1"/>
  <c r="N54" i="1" s="1"/>
  <c r="AL14" i="1" l="1"/>
  <c r="AK14" i="1" s="1"/>
  <c r="AA14" i="1"/>
  <c r="AF14" i="1" s="1"/>
  <c r="AG14" i="1" s="1"/>
  <c r="AG13" i="1"/>
  <c r="AL13" i="1"/>
  <c r="N7" i="1"/>
  <c r="AL25" i="1"/>
  <c r="AK25" i="1" s="1"/>
  <c r="AA25" i="1"/>
  <c r="AF25" i="1" s="1"/>
  <c r="AG25" i="1" s="1"/>
  <c r="AL24" i="1"/>
  <c r="AK24" i="1" s="1"/>
  <c r="AA24" i="1"/>
  <c r="AF24" i="1" s="1"/>
  <c r="AG24" i="1" s="1"/>
  <c r="AK26" i="1"/>
  <c r="AA26" i="1"/>
  <c r="AF26" i="1" s="1"/>
  <c r="AG26" i="1" s="1"/>
  <c r="AL40" i="1"/>
  <c r="AK40" i="1" s="1"/>
  <c r="AA40" i="1"/>
  <c r="AF40" i="1" s="1"/>
  <c r="AG40" i="1" s="1"/>
  <c r="AL19" i="1"/>
  <c r="AK19" i="1" s="1"/>
  <c r="AL17" i="1"/>
  <c r="AK17" i="1" s="1"/>
  <c r="AL28" i="1"/>
  <c r="AK28" i="1" s="1"/>
  <c r="AL15" i="1"/>
  <c r="AK15" i="1" s="1"/>
  <c r="AL47" i="1"/>
  <c r="AK47" i="1" s="1"/>
  <c r="AA47" i="1"/>
  <c r="AF47" i="1" s="1"/>
  <c r="AG47" i="1" s="1"/>
  <c r="AL18" i="1"/>
  <c r="AK18" i="1" s="1"/>
  <c r="AL44" i="1"/>
  <c r="AK44" i="1" s="1"/>
  <c r="AL29" i="1"/>
  <c r="AK29" i="1" s="1"/>
  <c r="AL41" i="1"/>
  <c r="AK41" i="1" s="1"/>
  <c r="AL45" i="1"/>
  <c r="AK45" i="1" s="1"/>
  <c r="AL27" i="1"/>
  <c r="AK27" i="1" s="1"/>
  <c r="N48" i="1"/>
  <c r="S8" i="1"/>
  <c r="S67" i="1"/>
  <c r="S37" i="1"/>
  <c r="S40" i="1"/>
  <c r="S24" i="1"/>
  <c r="S72" i="1"/>
  <c r="S25" i="1"/>
  <c r="S9" i="1"/>
  <c r="S54" i="1"/>
  <c r="S68" i="1"/>
  <c r="S28" i="1"/>
  <c r="S61" i="1"/>
  <c r="S35" i="1"/>
  <c r="S64" i="1"/>
  <c r="S56" i="1"/>
  <c r="S27" i="1"/>
  <c r="S26" i="1"/>
  <c r="S60" i="1"/>
  <c r="S53" i="1"/>
  <c r="S69" i="1"/>
  <c r="S15" i="1"/>
  <c r="S62" i="1"/>
  <c r="S63" i="1"/>
  <c r="S59" i="1"/>
  <c r="S75" i="1"/>
  <c r="S55" i="1"/>
  <c r="S45" i="1"/>
  <c r="S57" i="1"/>
  <c r="S73" i="1"/>
  <c r="S58" i="1"/>
  <c r="S74" i="1"/>
  <c r="S41" i="1"/>
  <c r="S43" i="1"/>
  <c r="S33" i="1"/>
  <c r="S36" i="1"/>
  <c r="S71" i="1"/>
  <c r="S46" i="1"/>
  <c r="S38" i="1"/>
  <c r="S65" i="1"/>
  <c r="S23" i="1"/>
  <c r="S66" i="1"/>
  <c r="S42" i="1"/>
  <c r="S44" i="1"/>
  <c r="S47" i="1"/>
  <c r="S48" i="1"/>
  <c r="S49" i="1"/>
  <c r="S34" i="1"/>
  <c r="S19" i="1"/>
  <c r="S18" i="1"/>
  <c r="S17" i="1"/>
  <c r="S16" i="1"/>
  <c r="S14" i="1"/>
  <c r="S29" i="1"/>
  <c r="I84" i="1"/>
  <c r="X14" i="1"/>
  <c r="AH36" i="1"/>
  <c r="AH46" i="1"/>
  <c r="AH65" i="1"/>
  <c r="AH16" i="1"/>
  <c r="AH62" i="1"/>
  <c r="AH59" i="1"/>
  <c r="AM8" i="1"/>
  <c r="AH66" i="1"/>
  <c r="AH48" i="1"/>
  <c r="AH37" i="1"/>
  <c r="AH55" i="1"/>
  <c r="AH73" i="1"/>
  <c r="AH9" i="1"/>
  <c r="AH35" i="1"/>
  <c r="AH61" i="1"/>
  <c r="AH70" i="1"/>
  <c r="AH56" i="1"/>
  <c r="AM74" i="1"/>
  <c r="AH34" i="1"/>
  <c r="AH33" i="1"/>
  <c r="AH38" i="1"/>
  <c r="AH69" i="1"/>
  <c r="AH75" i="1"/>
  <c r="AH67" i="1"/>
  <c r="AG39" i="1"/>
  <c r="AH39" i="1" s="1"/>
  <c r="AH58" i="1"/>
  <c r="AH54" i="1"/>
  <c r="AH68" i="1"/>
  <c r="AH72" i="1"/>
  <c r="AH7" i="1"/>
  <c r="AH43" i="1"/>
  <c r="AM14" i="1"/>
  <c r="X75" i="1"/>
  <c r="X33" i="1"/>
  <c r="X73" i="1"/>
  <c r="X74" i="1"/>
  <c r="X46" i="1"/>
  <c r="X37" i="1"/>
  <c r="X9" i="1"/>
  <c r="X34" i="1"/>
  <c r="X39" i="1"/>
  <c r="X7" i="1"/>
  <c r="X67" i="1"/>
  <c r="X69" i="1"/>
  <c r="X38" i="1"/>
  <c r="X56" i="1"/>
  <c r="X65" i="1"/>
  <c r="X70" i="1"/>
  <c r="X66" i="1"/>
  <c r="X72" i="1"/>
  <c r="X48" i="1"/>
  <c r="X71" i="1"/>
  <c r="X36" i="1"/>
  <c r="X59" i="1"/>
  <c r="X42" i="1"/>
  <c r="X63" i="1"/>
  <c r="X55" i="1"/>
  <c r="X57" i="1"/>
  <c r="X58" i="1"/>
  <c r="X23" i="1"/>
  <c r="X8" i="1"/>
  <c r="X43" i="1"/>
  <c r="AC68" i="1"/>
  <c r="AC53" i="1"/>
  <c r="AC49" i="1"/>
  <c r="X60" i="1"/>
  <c r="AC46" i="1"/>
  <c r="X35" i="1"/>
  <c r="X64" i="1"/>
  <c r="X16" i="1"/>
  <c r="X54" i="1"/>
  <c r="X62" i="1"/>
  <c r="X44" i="1"/>
  <c r="X29" i="1"/>
  <c r="AC72" i="1"/>
  <c r="AC75" i="1"/>
  <c r="AC73" i="1"/>
  <c r="AC23" i="1"/>
  <c r="AC58" i="1"/>
  <c r="X40" i="1"/>
  <c r="AC61" i="1"/>
  <c r="AC62" i="1"/>
  <c r="AC59" i="1"/>
  <c r="Q13" i="1"/>
  <c r="S13" i="1" s="1"/>
  <c r="AB13" i="1"/>
  <c r="AC36" i="1"/>
  <c r="AC38" i="1"/>
  <c r="AC9" i="1"/>
  <c r="AC66" i="1"/>
  <c r="AC7" i="1"/>
  <c r="AC69" i="1"/>
  <c r="AC34" i="1"/>
  <c r="AC70" i="1"/>
  <c r="X47" i="1"/>
  <c r="X61" i="1"/>
  <c r="X24" i="1"/>
  <c r="AC55" i="1"/>
  <c r="AC57" i="1"/>
  <c r="AC67" i="1"/>
  <c r="AC74" i="1"/>
  <c r="X15" i="1"/>
  <c r="X19" i="1"/>
  <c r="X45" i="1"/>
  <c r="AC48" i="1"/>
  <c r="AC37" i="1"/>
  <c r="AC63" i="1"/>
  <c r="AC33" i="1"/>
  <c r="AC71" i="1"/>
  <c r="AC56" i="1"/>
  <c r="AC8" i="1"/>
  <c r="AC65" i="1"/>
  <c r="AC39" i="1"/>
  <c r="AC42" i="1"/>
  <c r="X26" i="1"/>
  <c r="X17" i="1"/>
  <c r="X18" i="1"/>
  <c r="X27" i="1"/>
  <c r="X41" i="1"/>
  <c r="X25" i="1"/>
  <c r="X53" i="1"/>
  <c r="X28" i="1"/>
  <c r="X49" i="1"/>
  <c r="X68" i="1"/>
  <c r="AC54" i="1"/>
  <c r="AC60" i="1"/>
  <c r="AC16" i="1"/>
  <c r="AC43" i="1"/>
  <c r="AC35" i="1"/>
  <c r="AC64" i="1"/>
  <c r="W13" i="1"/>
  <c r="W84" i="1" s="1"/>
  <c r="L13" i="1"/>
  <c r="N13" i="1" s="1"/>
  <c r="N84" i="1" s="1"/>
  <c r="L84" i="1" l="1"/>
  <c r="AB84" i="1"/>
  <c r="AC84" i="1" s="1"/>
  <c r="AH42" i="1"/>
  <c r="AH74" i="1"/>
  <c r="AM35" i="1"/>
  <c r="AH8" i="1"/>
  <c r="Q84" i="1"/>
  <c r="X84" i="1" s="1"/>
  <c r="AM33" i="1"/>
  <c r="AH49" i="1"/>
  <c r="S84" i="1"/>
  <c r="AM68" i="1"/>
  <c r="AH53" i="1"/>
  <c r="AH60" i="1"/>
  <c r="AM37" i="1"/>
  <c r="AL39" i="1"/>
  <c r="AM39" i="1" s="1"/>
  <c r="AM38" i="1"/>
  <c r="AH63" i="1"/>
  <c r="AM69" i="1"/>
  <c r="AH64" i="1"/>
  <c r="AH23" i="1"/>
  <c r="AM55" i="1"/>
  <c r="AM36" i="1"/>
  <c r="AM53" i="1"/>
  <c r="AM60" i="1"/>
  <c r="AM63" i="1"/>
  <c r="AM64" i="1"/>
  <c r="AM42" i="1"/>
  <c r="AM67" i="1"/>
  <c r="AM70" i="1"/>
  <c r="AM57" i="1"/>
  <c r="AH57" i="1"/>
  <c r="AM9" i="1"/>
  <c r="AM49" i="1"/>
  <c r="AM23" i="1"/>
  <c r="AM43" i="1"/>
  <c r="AM56" i="1"/>
  <c r="AM71" i="1"/>
  <c r="AH71" i="1"/>
  <c r="AM72" i="1"/>
  <c r="AH13" i="1"/>
  <c r="AM7" i="1"/>
  <c r="X13" i="1"/>
  <c r="AC13" i="1"/>
  <c r="AM16" i="1" l="1"/>
  <c r="AM65" i="1"/>
  <c r="Q87" i="1"/>
  <c r="AM66" i="1"/>
  <c r="AM73" i="1"/>
  <c r="AM75" i="1"/>
  <c r="AM59" i="1"/>
  <c r="AM34" i="1"/>
  <c r="AM62" i="1"/>
  <c r="AM58" i="1"/>
  <c r="AM46" i="1"/>
  <c r="AM13" i="1"/>
  <c r="AM48" i="1"/>
  <c r="AM61" i="1"/>
  <c r="AM54" i="1"/>
  <c r="L87" i="1"/>
  <c r="AL84" i="1" l="1"/>
  <c r="AM84" i="1" s="1"/>
  <c r="AC40" i="1"/>
  <c r="AC14" i="1"/>
  <c r="AH14" i="1"/>
  <c r="AC26" i="1"/>
  <c r="AM28" i="1" l="1"/>
  <c r="AC24" i="1"/>
  <c r="AH26" i="1"/>
  <c r="AM26" i="1"/>
  <c r="AM44" i="1"/>
  <c r="AA15" i="1"/>
  <c r="AF15" i="1" s="1"/>
  <c r="AG15" i="1" s="1"/>
  <c r="AM19" i="1"/>
  <c r="AM27" i="1"/>
  <c r="AC47" i="1"/>
  <c r="AM45" i="1"/>
  <c r="AH40" i="1"/>
  <c r="AM40" i="1"/>
  <c r="AC15" i="1"/>
  <c r="AA44" i="1"/>
  <c r="AF44" i="1" s="1"/>
  <c r="AG44" i="1" s="1"/>
  <c r="AH44" i="1" s="1"/>
  <c r="AC44" i="1"/>
  <c r="AC19" i="1"/>
  <c r="AA19" i="1"/>
  <c r="AF19" i="1" s="1"/>
  <c r="AG19" i="1" s="1"/>
  <c r="AH19" i="1" s="1"/>
  <c r="AA27" i="1"/>
  <c r="AF27" i="1" s="1"/>
  <c r="AG27" i="1" s="1"/>
  <c r="AH27" i="1" s="1"/>
  <c r="AC27" i="1"/>
  <c r="AA28" i="1"/>
  <c r="AF28" i="1" s="1"/>
  <c r="AG28" i="1" s="1"/>
  <c r="AH28" i="1" s="1"/>
  <c r="AC28" i="1"/>
  <c r="AC45" i="1"/>
  <c r="AA45" i="1"/>
  <c r="AF45" i="1" s="1"/>
  <c r="AG45" i="1" s="1"/>
  <c r="AH45" i="1" s="1"/>
  <c r="AH15" i="1" l="1"/>
  <c r="AC25" i="1"/>
  <c r="AM17" i="1"/>
  <c r="AH24" i="1"/>
  <c r="AM24" i="1"/>
  <c r="AM18" i="1"/>
  <c r="AM41" i="1"/>
  <c r="AH47" i="1"/>
  <c r="AM47" i="1"/>
  <c r="AA18" i="1"/>
  <c r="AF18" i="1" s="1"/>
  <c r="AG18" i="1" s="1"/>
  <c r="AH18" i="1" s="1"/>
  <c r="AC18" i="1"/>
  <c r="AC17" i="1"/>
  <c r="AA17" i="1"/>
  <c r="AF17" i="1" s="1"/>
  <c r="AG17" i="1" s="1"/>
  <c r="AH17" i="1" s="1"/>
  <c r="AC41" i="1"/>
  <c r="AA41" i="1"/>
  <c r="AF41" i="1" s="1"/>
  <c r="AG41" i="1" s="1"/>
  <c r="AH41" i="1" s="1"/>
  <c r="AH25" i="1" l="1"/>
  <c r="AM25" i="1"/>
  <c r="AM29" i="1"/>
  <c r="AM15" i="1"/>
  <c r="AA29" i="1"/>
  <c r="AF29" i="1" s="1"/>
  <c r="AG29" i="1" s="1"/>
  <c r="AG84" i="1" s="1"/>
  <c r="AH84" i="1" s="1"/>
  <c r="AC29" i="1"/>
  <c r="AH29" i="1" l="1"/>
</calcChain>
</file>

<file path=xl/sharedStrings.xml><?xml version="1.0" encoding="utf-8"?>
<sst xmlns="http://schemas.openxmlformats.org/spreadsheetml/2006/main" count="336" uniqueCount="133">
  <si>
    <t>Account</t>
  </si>
  <si>
    <t>Description</t>
  </si>
  <si>
    <t>LOCAL STORAGE PLANT</t>
  </si>
  <si>
    <t>STRUCTURES AND IMPROVEMENTS</t>
  </si>
  <si>
    <t>HOLDER - STORAGE TANK</t>
  </si>
  <si>
    <t>HOLDER EQUIPMENT</t>
  </si>
  <si>
    <t>TOTAL LOCAL STORAGE PLANT</t>
  </si>
  <si>
    <t>UNDERGROUND STORAGE PLANT</t>
  </si>
  <si>
    <t>LAND RIGHTS INTANGIBLE</t>
  </si>
  <si>
    <t>WELLS</t>
  </si>
  <si>
    <t>WELL EQUIPMENT</t>
  </si>
  <si>
    <t>FIELD LINES</t>
  </si>
  <si>
    <t>COMPRESSOR EQUIPMENT</t>
  </si>
  <si>
    <t>REGULATING AND MEASURING EQUIPMENT</t>
  </si>
  <si>
    <t>TOTAL UNDERGROUND STORAGE PLANT</t>
  </si>
  <si>
    <t>TRANSMISSION PLANT</t>
  </si>
  <si>
    <t>COMPRESSOR STRUCTURES AND IMPROVEMENTS</t>
  </si>
  <si>
    <t>MEASURING AND REGULATING STRUCTURES AND IMPROVEMENTS</t>
  </si>
  <si>
    <t>EQUIPMENT</t>
  </si>
  <si>
    <t>MAINS</t>
  </si>
  <si>
    <t>MEASURING AND REGULATING EQUIPMENT</t>
  </si>
  <si>
    <t>TOTAL TRANSMISSION PLANT</t>
  </si>
  <si>
    <t>DISTRIBUTION PLANT</t>
  </si>
  <si>
    <t>*</t>
  </si>
  <si>
    <t>STRUCTURES AND IMPROVEMENTS - OTHER</t>
  </si>
  <si>
    <t>STRUCTURES AND IMPROVEMENTS - STONEY CREEK</t>
  </si>
  <si>
    <t>STRUCTURES AND IMPROVEMENTS - WIN-RHODES</t>
  </si>
  <si>
    <t>STRUCTURES AND IMPROVEMENTS - LONDON ADMIN</t>
  </si>
  <si>
    <t>STRUCTURES AND IMPROVEMENTS - KINGSTON OFFICE</t>
  </si>
  <si>
    <t>STRUCTURES AND IMPROVEMENTS - MAINWAY</t>
  </si>
  <si>
    <t>SERVICES - METAL</t>
  </si>
  <si>
    <t>SERVICES - PLASTIC</t>
  </si>
  <si>
    <t>REGULATORS</t>
  </si>
  <si>
    <t>MAINS - ENVISION</t>
  </si>
  <si>
    <t>MAINS - COATED &amp; WRAPPED</t>
  </si>
  <si>
    <t>MAINS - PLASTIC</t>
  </si>
  <si>
    <t>COMPANY NGV COMPRESSOR STATIONS</t>
  </si>
  <si>
    <t>CUSTOMER M&amp;R EQUIPMENT</t>
  </si>
  <si>
    <t>METERS</t>
  </si>
  <si>
    <t>TOTAL DISTRIBUTION PLANT</t>
  </si>
  <si>
    <t>GENERAL PLANT</t>
  </si>
  <si>
    <t>STRUCTURES AND IMPROVEMENTS - VPC</t>
  </si>
  <si>
    <t>STRUCTURES AND IMPROVEMENTS - THOROLD</t>
  </si>
  <si>
    <t>STRUCTURES AND IMPROVEMENTS - MARKHAM</t>
  </si>
  <si>
    <t>STRUCTURES AND IMPROVEMENTS - KEIL HEAD OFFICE</t>
  </si>
  <si>
    <t>STRUCTURES AND IMPROVEMENTS - BLOOMFIELD TRAINING CENTER</t>
  </si>
  <si>
    <t>OFFICE FURNITURE AND EQUIPMENT</t>
  </si>
  <si>
    <t>TRANSPORTATION EQUIPMENT</t>
  </si>
  <si>
    <t>HEAVY WORK EQUIPMENT</t>
  </si>
  <si>
    <t>TOOLS AND WORK EQUIPMENT</t>
  </si>
  <si>
    <t>RENTAL - REFUEL APPL</t>
  </si>
  <si>
    <t>RENTAL - NGV STATIONS</t>
  </si>
  <si>
    <t>COMMUNICATION STRUCTURES AND EQUIPMENT</t>
  </si>
  <si>
    <t>COMPUTER EQUIPMENT</t>
  </si>
  <si>
    <t>COMPUTER EQUIPMENT - POST 2023</t>
  </si>
  <si>
    <t>COMPUTER EQUIPMENT - WAMS</t>
  </si>
  <si>
    <t>SOFTWARE ACQUIRED INTANGIBLES</t>
  </si>
  <si>
    <t xml:space="preserve">SOFTWARE ACQUIRED INTANGIBLES - POST 2023 </t>
  </si>
  <si>
    <t>SOFTWARE DEVELOPED INTANGIBLES</t>
  </si>
  <si>
    <t>SOFTWARE DEVELOPED INTANGIBLES - POST 2023</t>
  </si>
  <si>
    <t>CIS ACQUIRED SOFTWARE</t>
  </si>
  <si>
    <t>**</t>
  </si>
  <si>
    <t>SOFTWARE INTANGIBLES - 10 YEAR</t>
  </si>
  <si>
    <t>WAMS</t>
  </si>
  <si>
    <t>TOTAL GENERAL PLANT</t>
  </si>
  <si>
    <t>2024 Gross Plant</t>
  </si>
  <si>
    <t>Accrual Rate</t>
  </si>
  <si>
    <t>Accrual Amount</t>
  </si>
  <si>
    <t>IG Recommended Life and Curve</t>
  </si>
  <si>
    <t>45-R2.5</t>
  </si>
  <si>
    <t>44-R4</t>
  </si>
  <si>
    <t>40-R2.5</t>
  </si>
  <si>
    <t>70-R4</t>
  </si>
  <si>
    <t>61-R3</t>
  </si>
  <si>
    <t>65-R3</t>
  </si>
  <si>
    <t>IG Recommended NS rates and CDNS Approach</t>
  </si>
  <si>
    <t>Revised CDNS</t>
  </si>
  <si>
    <t>-15% base and revised CDNS</t>
  </si>
  <si>
    <t>-5% base and revised CDNS</t>
  </si>
  <si>
    <t>-10% base and revised CDNS</t>
  </si>
  <si>
    <t>-40% base and revised CDNS</t>
  </si>
  <si>
    <t>-25% base and revised CDNS</t>
  </si>
  <si>
    <t>IG Recommended Life, NS and CDNS Approach</t>
  </si>
  <si>
    <t>45-R2.5; revised CDNS</t>
  </si>
  <si>
    <t>44-R4; revised CDNS</t>
  </si>
  <si>
    <t>40-R2.5, revised CDNS</t>
  </si>
  <si>
    <t>70-R4, -15% base and revised CDNS</t>
  </si>
  <si>
    <t>61-R3; -40% base and revised CDNS</t>
  </si>
  <si>
    <t>65-R3; -25% base and revised CDNS</t>
  </si>
  <si>
    <t>IG Recommended Life, NS and Traditional Approach</t>
  </si>
  <si>
    <t>Traditional Rates IG</t>
  </si>
  <si>
    <t>70-R4, -15% NS</t>
  </si>
  <si>
    <t>-5% NS</t>
  </si>
  <si>
    <t>-10% NS</t>
  </si>
  <si>
    <t>-40% NS</t>
  </si>
  <si>
    <t>61-R3; -40% NS</t>
  </si>
  <si>
    <t>65-R3; -25% NS</t>
  </si>
  <si>
    <t>Calculated Accrual Amount</t>
  </si>
  <si>
    <t>Unreconciled</t>
  </si>
  <si>
    <t>Reported Accrual Amount ($M)</t>
  </si>
  <si>
    <t>Concentric CDNS Rates</t>
  </si>
  <si>
    <t>diff</t>
  </si>
  <si>
    <t>reported</t>
  </si>
  <si>
    <t>Renewable Natural Gas</t>
  </si>
  <si>
    <t>Leased Assets</t>
  </si>
  <si>
    <t>TOTAL UTILITY PLANT</t>
  </si>
  <si>
    <t>Franchises and Consents</t>
  </si>
  <si>
    <t>Intangible Plant</t>
  </si>
  <si>
    <t>Plant Held for Future Use</t>
  </si>
  <si>
    <t>70-R3</t>
  </si>
  <si>
    <t>70-R3; -40% base and revised CDNS</t>
  </si>
  <si>
    <t>70-R4; -25% base and revised CDNS</t>
  </si>
  <si>
    <t>70-R3; -40% NS</t>
  </si>
  <si>
    <t>70-R4; -25% NS</t>
  </si>
  <si>
    <t>Annual Accrual at Concentric ELG Rates per STAFF-170 March 8 Attachment 1</t>
  </si>
  <si>
    <t>Accrual Rate (per N.M1-IGUA-1 Attachment 5).</t>
  </si>
  <si>
    <t>Annual Accrual at Concentric ASL/ALG Rates per STAFF-170 March 8 Attachment 1</t>
  </si>
  <si>
    <t xml:space="preserve">A </t>
  </si>
  <si>
    <t>B</t>
  </si>
  <si>
    <t>=B-A</t>
  </si>
  <si>
    <t>C</t>
  </si>
  <si>
    <t>=C-B</t>
  </si>
  <si>
    <t>=C-A</t>
  </si>
  <si>
    <t>D</t>
  </si>
  <si>
    <t>=D-A</t>
  </si>
  <si>
    <t>Difference in  IG and Concentric Life Parameters under ASL</t>
  </si>
  <si>
    <t>Annual Accrual at IG Parameters (Life and Net Salvage change) and IG CDNS Approach</t>
  </si>
  <si>
    <t>Incremental Difference to Include IG Net Salvage and IG CDNS Method</t>
  </si>
  <si>
    <t>Annual Accrual at IG Parameters (Life + Net Salvage) and IG CDNS Approach</t>
  </si>
  <si>
    <t>Difference between IG for All Recommendations using CDNS Approach and Concentric ALG</t>
  </si>
  <si>
    <t>Annual Accrual at IG Parameters (Life + Net Salvage) and Traditional Net Salvage Approach</t>
  </si>
  <si>
    <t>Difference between IG for All Recommendations using Traditional Approach and Concentric ALG</t>
  </si>
  <si>
    <t>Annual ASL/ALG Accrual at IG Parameters (Life change) per N.M1.IGUA-1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</si>
</sst>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"/>
    <numFmt numFmtId="167" formatCode="0.0"/>
    <numFmt numFmtId="168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Arial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sz val="11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DB9C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1" applyNumberFormat="1" applyFont="1" applyFill="1" applyAlignment="1">
      <alignment horizontal="left" wrapText="1"/>
    </xf>
    <xf numFmtId="49" fontId="3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2" fontId="4" fillId="0" borderId="0" xfId="2" applyNumberFormat="1" applyFont="1" applyAlignment="1">
      <alignment horizontal="left"/>
    </xf>
    <xf numFmtId="0" fontId="4" fillId="3" borderId="0" xfId="2" applyFont="1" applyFill="1" applyAlignment="1">
      <alignment horizontal="left"/>
    </xf>
    <xf numFmtId="0" fontId="7" fillId="0" borderId="0" xfId="3"/>
    <xf numFmtId="10" fontId="0" fillId="0" borderId="0" xfId="0" applyNumberFormat="1"/>
    <xf numFmtId="10" fontId="4" fillId="0" borderId="0" xfId="4" applyNumberFormat="1" applyFont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" xfId="2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2" xfId="2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3" fontId="8" fillId="0" borderId="3" xfId="2" applyNumberFormat="1" applyFont="1" applyBorder="1" applyAlignment="1">
      <alignment horizontal="right"/>
    </xf>
    <xf numFmtId="0" fontId="2" fillId="2" borderId="0" xfId="1" applyNumberFormat="1" applyFont="1" applyFill="1" applyAlignment="1">
      <alignment horizontal="center" wrapText="1"/>
    </xf>
    <xf numFmtId="3" fontId="0" fillId="0" borderId="0" xfId="0" applyNumberFormat="1"/>
    <xf numFmtId="0" fontId="0" fillId="0" borderId="0" xfId="0" quotePrefix="1"/>
    <xf numFmtId="10" fontId="10" fillId="0" borderId="0" xfId="4" applyNumberFormat="1" applyFont="1" applyAlignment="1">
      <alignment horizontal="right"/>
    </xf>
    <xf numFmtId="10" fontId="10" fillId="0" borderId="0" xfId="4" applyNumberFormat="1" applyFont="1" applyFill="1" applyAlignment="1">
      <alignment horizontal="right"/>
    </xf>
    <xf numFmtId="10" fontId="4" fillId="0" borderId="0" xfId="4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166" fontId="8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6" fontId="8" fillId="0" borderId="0" xfId="2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0" fillId="0" borderId="0" xfId="0" applyNumberFormat="1"/>
    <xf numFmtId="167" fontId="8" fillId="0" borderId="3" xfId="2" applyNumberFormat="1" applyFont="1" applyBorder="1" applyAlignment="1">
      <alignment horizontal="right"/>
    </xf>
    <xf numFmtId="167" fontId="0" fillId="0" borderId="0" xfId="0" applyNumberFormat="1"/>
    <xf numFmtId="166" fontId="8" fillId="0" borderId="0" xfId="1" applyNumberFormat="1" applyFont="1" applyFill="1" applyAlignment="1">
      <alignment horizontal="right"/>
    </xf>
    <xf numFmtId="166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2" fillId="4" borderId="0" xfId="1" applyNumberFormat="1" applyFont="1" applyFill="1" applyAlignment="1">
      <alignment horizontal="center" wrapText="1"/>
    </xf>
    <xf numFmtId="0" fontId="0" fillId="0" borderId="0" xfId="0" applyAlignment="1">
      <alignment horizontal="right"/>
    </xf>
    <xf numFmtId="166" fontId="8" fillId="0" borderId="3" xfId="2" applyNumberFormat="1" applyFont="1" applyBorder="1" applyAlignment="1">
      <alignment horizontal="right"/>
    </xf>
    <xf numFmtId="0" fontId="0" fillId="0" borderId="0" xfId="0" applyAlignment="1">
      <alignment wrapText="1"/>
    </xf>
    <xf numFmtId="9" fontId="0" fillId="0" borderId="0" xfId="0" applyNumberFormat="1"/>
    <xf numFmtId="9" fontId="0" fillId="0" borderId="0" xfId="5" applyFont="1" applyFill="1"/>
    <xf numFmtId="168" fontId="0" fillId="0" borderId="0" xfId="6" applyNumberFormat="1" applyFont="1"/>
    <xf numFmtId="168" fontId="7" fillId="0" borderId="0" xfId="6" applyNumberFormat="1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2" borderId="0" xfId="7" applyNumberFormat="1" applyFont="1" applyFill="1" applyAlignment="1">
      <alignment horizontal="center" wrapText="1"/>
    </xf>
    <xf numFmtId="0" fontId="2" fillId="2" borderId="0" xfId="1" applyNumberFormat="1" applyFont="1" applyFill="1" applyAlignment="1">
      <alignment horizontal="center" wrapText="1"/>
    </xf>
  </cellXfs>
  <cellStyles count="9">
    <cellStyle name="Comma" xfId="6" builtinId="3"/>
    <cellStyle name="Comma 2" xfId="1" xr:uid="{F9D71AD9-1B0A-48C8-9F3F-74711BAAF8C4}"/>
    <cellStyle name="Comma 2 2" xfId="7" xr:uid="{86C55459-EB4E-45F5-980E-F2A5BC04C6D6}"/>
    <cellStyle name="Comma 3" xfId="8" xr:uid="{2BB251A9-0F98-4897-8AE5-CECBF2FCF819}"/>
    <cellStyle name="Normal" xfId="0" builtinId="0"/>
    <cellStyle name="Normal 2" xfId="2" xr:uid="{3427A63B-11CA-4876-BCAB-19E65F25DF53}"/>
    <cellStyle name="Normal 2 2" xfId="3" xr:uid="{65E49E4A-E88C-4C08-B3E5-AE09EB1DC22B}"/>
    <cellStyle name="Percent" xfId="5" builtinId="5"/>
    <cellStyle name="Percent 2" xfId="4" xr:uid="{A94B2D0F-0D91-4505-943D-DA23259F9629}"/>
  </cellStyles>
  <dxfs count="62"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1038%20OEB%20-%20Enbridge%20Gas%202024%20Rebasing%20Application%20&#8211;%20Depreciation\9.0%20IRs%20on%20IG%20Evidence\N.M1.IGUA-1%20for%20pdf%20prin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1038%20OEB%20-%20Enbridge%20Gas%202024%20Rebasing%20Application%20&#8211;%20Depreciation\10.0%20Hearing\J.17.12%20Attachment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Life"/>
      <sheetName val="45-R2.5 Acc 452 ASL"/>
      <sheetName val="44-R4 Acc 456 ASL"/>
      <sheetName val="40-R2.5 Acc 457 ASL"/>
      <sheetName val="70-R4 Acc 465 ASL"/>
      <sheetName val="61-R3 Acc 475.21 ASL"/>
      <sheetName val="70-R3 Acc 475.21 ASL"/>
      <sheetName val="65-R3 Acc 475.30 ASL"/>
      <sheetName val="70-R4 Acc 475.30 ASL"/>
    </sheetNames>
    <sheetDataSet>
      <sheetData sheetId="0"/>
      <sheetData sheetId="1">
        <row r="97">
          <cell r="H97">
            <v>2.1828675231416472E-2</v>
          </cell>
        </row>
      </sheetData>
      <sheetData sheetId="2">
        <row r="80">
          <cell r="H80">
            <v>2.2394998589104341E-2</v>
          </cell>
        </row>
      </sheetData>
      <sheetData sheetId="3">
        <row r="87">
          <cell r="H87">
            <v>1.7754096633357995E-2</v>
          </cell>
        </row>
      </sheetData>
      <sheetData sheetId="4">
        <row r="135">
          <cell r="H135">
            <v>1.3539906410523337E-2</v>
          </cell>
        </row>
      </sheetData>
      <sheetData sheetId="5">
        <row r="141">
          <cell r="H141">
            <v>2.4706804572597118E-2</v>
          </cell>
        </row>
      </sheetData>
      <sheetData sheetId="6">
        <row r="141">
          <cell r="H141">
            <v>2.0156907453967244E-2</v>
          </cell>
        </row>
      </sheetData>
      <sheetData sheetId="7">
        <row r="135">
          <cell r="H135">
            <v>2.2122687517052538E-2</v>
          </cell>
        </row>
      </sheetData>
      <sheetData sheetId="8">
        <row r="135">
          <cell r="H135">
            <v>2.0355081055432975E-2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52"/>
      <sheetName val="453"/>
      <sheetName val="455"/>
      <sheetName val="456"/>
      <sheetName val="457"/>
      <sheetName val="462"/>
      <sheetName val="463"/>
      <sheetName val="464"/>
      <sheetName val="465"/>
      <sheetName val="466"/>
      <sheetName val="467"/>
      <sheetName val=" 473"/>
      <sheetName val="473.01"/>
      <sheetName val="473.02"/>
      <sheetName val="475.10"/>
      <sheetName val="475.20"/>
      <sheetName val="475.21"/>
      <sheetName val="475.30"/>
      <sheetName val="477"/>
      <sheetName val="CPI Indexes"/>
      <sheetName val="475.21 - 70-R3"/>
      <sheetName val="475.30 - 70-R4"/>
    </sheetNames>
    <sheetDataSet>
      <sheetData sheetId="0">
        <row r="7">
          <cell r="D7">
            <v>431729.43410620478</v>
          </cell>
        </row>
        <row r="8">
          <cell r="D8">
            <v>1402423.5369763388</v>
          </cell>
        </row>
        <row r="9">
          <cell r="D9">
            <v>389253.17851021147</v>
          </cell>
        </row>
        <row r="10">
          <cell r="D10">
            <v>1130162.3600546755</v>
          </cell>
        </row>
        <row r="11">
          <cell r="D11">
            <v>448029.41294725158</v>
          </cell>
        </row>
        <row r="12">
          <cell r="D12">
            <v>203252.15174062407</v>
          </cell>
        </row>
        <row r="13">
          <cell r="D13">
            <v>20482.360271333768</v>
          </cell>
        </row>
        <row r="14">
          <cell r="D14">
            <v>3387.0894520019356</v>
          </cell>
        </row>
        <row r="15">
          <cell r="D15">
            <v>2926999.9298635405</v>
          </cell>
        </row>
        <row r="16">
          <cell r="D16">
            <v>1408304.2159775419</v>
          </cell>
        </row>
        <row r="17">
          <cell r="D17">
            <v>771184.77292880067</v>
          </cell>
        </row>
        <row r="18">
          <cell r="D18">
            <v>5230939.7478056122</v>
          </cell>
        </row>
        <row r="19">
          <cell r="D19">
            <v>22276372.312418334</v>
          </cell>
        </row>
        <row r="20">
          <cell r="D20">
            <v>14045873.141336111</v>
          </cell>
        </row>
        <row r="21">
          <cell r="D21">
            <v>6746083.4948755251</v>
          </cell>
        </row>
        <row r="22">
          <cell r="D22">
            <v>2337087.7039444661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7">
          <cell r="M127">
            <v>10059254.202616274</v>
          </cell>
        </row>
      </sheetData>
      <sheetData sheetId="22">
        <row r="68">
          <cell r="M68">
            <v>5703420.9845946524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D0A5-27AF-458A-B9A2-FB4A9ED386D4}">
  <dimension ref="B2:AM93"/>
  <sheetViews>
    <sheetView tabSelected="1" zoomScale="70" zoomScaleNormal="70" workbookViewId="0">
      <selection activeCell="V3" sqref="V3"/>
    </sheetView>
  </sheetViews>
  <sheetFormatPr defaultRowHeight="14.4" outlineLevelCol="1" x14ac:dyDescent="0.3"/>
  <cols>
    <col min="2" max="2" width="12.88671875" customWidth="1"/>
    <col min="3" max="3" width="12.33203125" customWidth="1"/>
    <col min="5" max="5" width="13.33203125" customWidth="1"/>
    <col min="6" max="6" width="3.109375" customWidth="1"/>
    <col min="7" max="7" width="67.88671875" bestFit="1" customWidth="1"/>
    <col min="8" max="8" width="13.109375" bestFit="1" customWidth="1"/>
    <col min="9" max="9" width="19.88671875" customWidth="1"/>
    <col min="10" max="10" width="1.5546875" customWidth="1"/>
    <col min="11" max="11" width="13" customWidth="1"/>
    <col min="12" max="12" width="17.44140625" customWidth="1"/>
    <col min="13" max="14" width="16" customWidth="1"/>
    <col min="15" max="15" width="1.5546875" customWidth="1"/>
    <col min="16" max="16" width="13" customWidth="1"/>
    <col min="17" max="19" width="15" customWidth="1"/>
    <col min="21" max="21" width="16.109375" customWidth="1" outlineLevel="1"/>
    <col min="22" max="22" width="14" customWidth="1" outlineLevel="1"/>
    <col min="23" max="23" width="16.44140625" customWidth="1" outlineLevel="1"/>
    <col min="24" max="24" width="15.6640625" customWidth="1" outlineLevel="1"/>
    <col min="25" max="25" width="9.109375" customWidth="1" outlineLevel="1"/>
    <col min="26" max="26" width="29.33203125" customWidth="1" outlineLevel="1"/>
    <col min="27" max="27" width="13" customWidth="1" outlineLevel="1"/>
    <col min="28" max="28" width="15.88671875" customWidth="1" outlineLevel="1"/>
    <col min="29" max="29" width="16" customWidth="1" outlineLevel="1"/>
    <col min="30" max="30" width="9.109375" customWidth="1" outlineLevel="1"/>
    <col min="31" max="31" width="37.33203125" bestFit="1" customWidth="1"/>
    <col min="32" max="32" width="13" customWidth="1"/>
    <col min="33" max="33" width="16.44140625" bestFit="1" customWidth="1"/>
    <col min="34" max="34" width="15.6640625" bestFit="1" customWidth="1"/>
    <col min="36" max="36" width="22.5546875" customWidth="1"/>
    <col min="37" max="37" width="13" customWidth="1"/>
    <col min="38" max="38" width="16.44140625" bestFit="1" customWidth="1"/>
    <col min="39" max="39" width="15.6640625" bestFit="1" customWidth="1"/>
    <col min="41" max="42" width="12.44140625" bestFit="1" customWidth="1"/>
  </cols>
  <sheetData>
    <row r="2" spans="2:39" ht="46.5" customHeight="1" x14ac:dyDescent="0.3">
      <c r="I2" s="1"/>
      <c r="K2" s="49" t="s">
        <v>114</v>
      </c>
      <c r="L2" s="49"/>
      <c r="M2" s="20"/>
      <c r="N2" s="20"/>
      <c r="P2" s="49" t="s">
        <v>116</v>
      </c>
      <c r="Q2" s="49"/>
      <c r="R2" s="38"/>
      <c r="S2" s="38"/>
      <c r="V2" s="49" t="s">
        <v>132</v>
      </c>
      <c r="W2" s="49"/>
      <c r="AA2" s="49" t="s">
        <v>126</v>
      </c>
      <c r="AB2" s="49"/>
      <c r="AF2" s="49" t="s">
        <v>128</v>
      </c>
      <c r="AG2" s="49"/>
      <c r="AK2" s="49" t="s">
        <v>130</v>
      </c>
      <c r="AL2" s="49"/>
    </row>
    <row r="3" spans="2:39" ht="76.95" customHeight="1" x14ac:dyDescent="0.3">
      <c r="B3" s="1" t="s">
        <v>100</v>
      </c>
      <c r="C3" s="1" t="s">
        <v>90</v>
      </c>
      <c r="D3" s="41"/>
      <c r="E3" s="1" t="s">
        <v>0</v>
      </c>
      <c r="F3" s="1"/>
      <c r="G3" s="1" t="s">
        <v>1</v>
      </c>
      <c r="I3" s="1" t="s">
        <v>65</v>
      </c>
      <c r="K3" s="20" t="s">
        <v>66</v>
      </c>
      <c r="L3" s="20" t="s">
        <v>97</v>
      </c>
      <c r="M3" s="20" t="s">
        <v>99</v>
      </c>
      <c r="N3" s="20" t="s">
        <v>98</v>
      </c>
      <c r="P3" s="20" t="s">
        <v>66</v>
      </c>
      <c r="Q3" s="20" t="s">
        <v>67</v>
      </c>
      <c r="R3" s="38" t="s">
        <v>99</v>
      </c>
      <c r="S3" s="38" t="s">
        <v>98</v>
      </c>
      <c r="U3" s="20" t="s">
        <v>68</v>
      </c>
      <c r="V3" s="20" t="s">
        <v>115</v>
      </c>
      <c r="W3" s="20" t="s">
        <v>67</v>
      </c>
      <c r="X3" s="48" t="s">
        <v>125</v>
      </c>
      <c r="Z3" s="20" t="s">
        <v>75</v>
      </c>
      <c r="AA3" s="20" t="s">
        <v>66</v>
      </c>
      <c r="AB3" s="20" t="s">
        <v>67</v>
      </c>
      <c r="AC3" s="48" t="s">
        <v>127</v>
      </c>
      <c r="AE3" s="20" t="s">
        <v>82</v>
      </c>
      <c r="AF3" s="20" t="s">
        <v>66</v>
      </c>
      <c r="AG3" s="20" t="s">
        <v>67</v>
      </c>
      <c r="AH3" s="48" t="s">
        <v>129</v>
      </c>
      <c r="AJ3" s="20" t="s">
        <v>89</v>
      </c>
      <c r="AK3" s="20" t="s">
        <v>66</v>
      </c>
      <c r="AL3" s="20" t="s">
        <v>67</v>
      </c>
      <c r="AM3" s="48" t="s">
        <v>131</v>
      </c>
    </row>
    <row r="4" spans="2:39" x14ac:dyDescent="0.3">
      <c r="E4" s="2"/>
      <c r="F4" s="3"/>
      <c r="G4" s="2"/>
      <c r="Q4" s="46" t="s">
        <v>117</v>
      </c>
      <c r="W4" s="46" t="s">
        <v>118</v>
      </c>
      <c r="X4" s="47" t="s">
        <v>119</v>
      </c>
      <c r="AB4" s="46" t="s">
        <v>120</v>
      </c>
      <c r="AC4" s="47" t="s">
        <v>121</v>
      </c>
      <c r="AG4" s="46" t="s">
        <v>120</v>
      </c>
      <c r="AH4" s="47" t="s">
        <v>122</v>
      </c>
      <c r="AL4" s="46" t="s">
        <v>123</v>
      </c>
      <c r="AM4" s="47" t="s">
        <v>124</v>
      </c>
    </row>
    <row r="5" spans="2:39" x14ac:dyDescent="0.3">
      <c r="E5" s="4"/>
      <c r="F5" s="5"/>
      <c r="G5" s="5"/>
    </row>
    <row r="6" spans="2:39" x14ac:dyDescent="0.3">
      <c r="E6" s="6" t="s">
        <v>2</v>
      </c>
      <c r="F6" s="5"/>
      <c r="G6" s="5"/>
    </row>
    <row r="7" spans="2:39" x14ac:dyDescent="0.3">
      <c r="E7" s="7">
        <v>442</v>
      </c>
      <c r="F7" s="5"/>
      <c r="G7" s="4" t="s">
        <v>3</v>
      </c>
      <c r="H7" s="45">
        <v>8.5</v>
      </c>
      <c r="I7" s="12">
        <f>H7*1000000</f>
        <v>8500000</v>
      </c>
      <c r="K7" s="25">
        <v>1.68616597456283E-2</v>
      </c>
      <c r="L7" s="12">
        <f>I7*K7</f>
        <v>143324.10783784054</v>
      </c>
      <c r="M7" s="27">
        <v>0.1</v>
      </c>
      <c r="N7" s="27">
        <f>ROUND(L7/1000000,1)-M7</f>
        <v>0</v>
      </c>
      <c r="P7" s="11">
        <v>1.66E-2</v>
      </c>
      <c r="Q7" s="12">
        <f>I7*P7</f>
        <v>141100</v>
      </c>
      <c r="R7" s="27">
        <v>0.1</v>
      </c>
      <c r="S7" s="27">
        <f>ROUND(Q7/1000000,1)-R7</f>
        <v>0</v>
      </c>
      <c r="V7" s="11">
        <f>P7</f>
        <v>1.66E-2</v>
      </c>
      <c r="W7" s="12">
        <f>I7*V7</f>
        <v>141100</v>
      </c>
      <c r="X7" s="12">
        <f t="shared" ref="X7:X9" si="0">W7-Q7</f>
        <v>0</v>
      </c>
      <c r="AA7" s="11">
        <f>V7</f>
        <v>1.66E-2</v>
      </c>
      <c r="AB7" s="12">
        <f>I7*AA7</f>
        <v>141100</v>
      </c>
      <c r="AC7" s="12">
        <f>AB7-W7</f>
        <v>0</v>
      </c>
      <c r="AF7" s="11">
        <f t="shared" ref="AF7:AF9" si="1">P7</f>
        <v>1.66E-2</v>
      </c>
      <c r="AG7" s="12">
        <f>I7*AF7</f>
        <v>141100</v>
      </c>
      <c r="AH7" s="12">
        <f>AG7-Q7</f>
        <v>0</v>
      </c>
      <c r="AK7" s="11">
        <f>P7</f>
        <v>1.66E-2</v>
      </c>
      <c r="AL7" s="12">
        <f>I7*AK7</f>
        <v>141100</v>
      </c>
      <c r="AM7" s="12">
        <f>AL7-Q7</f>
        <v>0</v>
      </c>
    </row>
    <row r="8" spans="2:39" x14ac:dyDescent="0.3">
      <c r="E8" s="7">
        <v>443.01</v>
      </c>
      <c r="F8" s="5"/>
      <c r="G8" s="4" t="s">
        <v>4</v>
      </c>
      <c r="H8" s="45">
        <v>7.3</v>
      </c>
      <c r="I8" s="12">
        <f t="shared" ref="I8:I66" si="2">H8*1000000</f>
        <v>7300000</v>
      </c>
      <c r="K8" s="25">
        <v>9.5778858554789893E-3</v>
      </c>
      <c r="L8" s="12">
        <f t="shared" ref="L8:L9" si="3">I8*K8</f>
        <v>69918.566744996628</v>
      </c>
      <c r="M8" s="27">
        <v>0.1</v>
      </c>
      <c r="N8" s="27">
        <f t="shared" ref="N8:N71" si="4">ROUND(L8/1000000,1)-M8</f>
        <v>0</v>
      </c>
      <c r="P8" s="11">
        <v>8.8999999999999999E-3</v>
      </c>
      <c r="Q8" s="12">
        <f t="shared" ref="Q8:Q9" si="5">I8*P8</f>
        <v>64970</v>
      </c>
      <c r="R8" s="27">
        <v>0.1</v>
      </c>
      <c r="S8" s="27">
        <f t="shared" ref="S8:S71" si="6">ROUND(Q8/1000000,1)-R8</f>
        <v>0</v>
      </c>
      <c r="V8" s="11">
        <f t="shared" ref="V8:V13" si="7">P8</f>
        <v>8.8999999999999999E-3</v>
      </c>
      <c r="W8" s="12">
        <f t="shared" ref="W8:W71" si="8">I8*V8</f>
        <v>64970</v>
      </c>
      <c r="X8" s="12">
        <f t="shared" si="0"/>
        <v>0</v>
      </c>
      <c r="AA8" s="11">
        <f t="shared" ref="AA8:AA9" si="9">V8</f>
        <v>8.8999999999999999E-3</v>
      </c>
      <c r="AB8" s="12">
        <f t="shared" ref="AB8:AB9" si="10">I8*AA8</f>
        <v>64970</v>
      </c>
      <c r="AC8" s="12">
        <f t="shared" ref="AC8:AC9" si="11">AB8-W8</f>
        <v>0</v>
      </c>
      <c r="AF8" s="11">
        <f t="shared" si="1"/>
        <v>8.8999999999999999E-3</v>
      </c>
      <c r="AG8" s="12">
        <f t="shared" ref="AG8:AG9" si="12">I8*AF8</f>
        <v>64970</v>
      </c>
      <c r="AH8" s="12">
        <f t="shared" ref="AH8:AH9" si="13">AG8-Q8</f>
        <v>0</v>
      </c>
      <c r="AK8" s="11">
        <f>P8</f>
        <v>8.8999999999999999E-3</v>
      </c>
      <c r="AL8" s="12">
        <f t="shared" ref="AL8:AL9" si="14">I8*AK8</f>
        <v>64970</v>
      </c>
      <c r="AM8" s="12">
        <f>AL8-Q8</f>
        <v>0</v>
      </c>
    </row>
    <row r="9" spans="2:39" x14ac:dyDescent="0.3">
      <c r="E9" s="7">
        <v>443.02</v>
      </c>
      <c r="F9" s="5"/>
      <c r="G9" s="4" t="s">
        <v>5</v>
      </c>
      <c r="H9" s="45">
        <v>24.8</v>
      </c>
      <c r="I9" s="13">
        <f t="shared" si="2"/>
        <v>24800000</v>
      </c>
      <c r="K9" s="25">
        <v>1.0632710887501499E-2</v>
      </c>
      <c r="L9" s="12">
        <f t="shared" si="3"/>
        <v>263691.23001003719</v>
      </c>
      <c r="M9" s="27">
        <v>0.3</v>
      </c>
      <c r="N9" s="27">
        <f t="shared" si="4"/>
        <v>0</v>
      </c>
      <c r="P9" s="11">
        <v>9.9000000000000008E-3</v>
      </c>
      <c r="Q9" s="12">
        <f t="shared" si="5"/>
        <v>245520.00000000003</v>
      </c>
      <c r="R9" s="27">
        <v>0.2</v>
      </c>
      <c r="S9" s="27">
        <f t="shared" si="6"/>
        <v>0</v>
      </c>
      <c r="V9" s="11">
        <f t="shared" si="7"/>
        <v>9.9000000000000008E-3</v>
      </c>
      <c r="W9" s="12">
        <f t="shared" si="8"/>
        <v>245520.00000000003</v>
      </c>
      <c r="X9" s="12">
        <f t="shared" si="0"/>
        <v>0</v>
      </c>
      <c r="AA9" s="11">
        <f t="shared" si="9"/>
        <v>9.9000000000000008E-3</v>
      </c>
      <c r="AB9" s="12">
        <f t="shared" si="10"/>
        <v>245520.00000000003</v>
      </c>
      <c r="AC9" s="12">
        <f t="shared" si="11"/>
        <v>0</v>
      </c>
      <c r="AF9" s="11">
        <f t="shared" si="1"/>
        <v>9.9000000000000008E-3</v>
      </c>
      <c r="AG9" s="12">
        <f t="shared" si="12"/>
        <v>245520.00000000003</v>
      </c>
      <c r="AH9" s="12">
        <f t="shared" si="13"/>
        <v>0</v>
      </c>
      <c r="AK9" s="11">
        <f>P9</f>
        <v>9.9000000000000008E-3</v>
      </c>
      <c r="AL9" s="12">
        <f t="shared" si="14"/>
        <v>245520.00000000003</v>
      </c>
      <c r="AM9" s="12">
        <f>AL9-Q9</f>
        <v>0</v>
      </c>
    </row>
    <row r="10" spans="2:39" x14ac:dyDescent="0.3">
      <c r="E10" s="6" t="s">
        <v>6</v>
      </c>
      <c r="F10" s="5"/>
      <c r="G10" s="5"/>
      <c r="H10" s="45"/>
      <c r="I10" s="14"/>
      <c r="K10" s="25"/>
      <c r="L10" s="14"/>
      <c r="M10" s="28"/>
      <c r="N10" s="27">
        <f t="shared" si="4"/>
        <v>0</v>
      </c>
      <c r="P10" s="11"/>
      <c r="Q10" s="14"/>
      <c r="R10" s="35"/>
      <c r="S10" s="27"/>
      <c r="V10" s="11"/>
      <c r="W10" s="12"/>
      <c r="X10" s="12"/>
      <c r="AA10" s="11"/>
      <c r="AB10" s="12"/>
      <c r="AC10" s="12"/>
      <c r="AF10" s="11"/>
      <c r="AG10" s="12"/>
      <c r="AH10" s="12"/>
      <c r="AK10" s="11"/>
      <c r="AL10" s="12"/>
      <c r="AM10" s="12"/>
    </row>
    <row r="11" spans="2:39" x14ac:dyDescent="0.3">
      <c r="E11" s="4"/>
      <c r="F11" s="5"/>
      <c r="G11" s="5"/>
      <c r="H11" s="45"/>
      <c r="I11" s="15">
        <f t="shared" si="2"/>
        <v>0</v>
      </c>
      <c r="K11" s="10"/>
      <c r="L11" s="15"/>
      <c r="M11" s="29"/>
      <c r="N11" s="27">
        <f t="shared" si="4"/>
        <v>0</v>
      </c>
      <c r="P11" s="10"/>
      <c r="Q11" s="15"/>
      <c r="R11" s="36"/>
      <c r="S11" s="27"/>
      <c r="V11" s="11"/>
      <c r="W11" s="12"/>
      <c r="X11" s="12"/>
      <c r="AA11" s="10"/>
      <c r="AB11" s="12"/>
      <c r="AC11" s="12"/>
      <c r="AF11" s="10"/>
      <c r="AG11" s="12"/>
      <c r="AH11" s="12"/>
      <c r="AK11" s="10"/>
      <c r="AL11" s="12"/>
      <c r="AM11" s="12"/>
    </row>
    <row r="12" spans="2:39" x14ac:dyDescent="0.3">
      <c r="E12" s="6" t="s">
        <v>7</v>
      </c>
      <c r="F12" s="5"/>
      <c r="G12" s="5"/>
      <c r="H12" s="45"/>
      <c r="I12" s="15">
        <f t="shared" si="2"/>
        <v>0</v>
      </c>
      <c r="K12" s="10"/>
      <c r="L12" s="15"/>
      <c r="M12" s="29"/>
      <c r="N12" s="27">
        <f t="shared" si="4"/>
        <v>0</v>
      </c>
      <c r="P12" s="10"/>
      <c r="Q12" s="15"/>
      <c r="R12" s="36"/>
      <c r="S12" s="27"/>
      <c r="V12" s="11"/>
      <c r="W12" s="12"/>
      <c r="X12" s="12"/>
      <c r="AA12" s="10"/>
      <c r="AB12" s="12"/>
      <c r="AC12" s="12"/>
      <c r="AF12" s="10"/>
      <c r="AG12" s="12"/>
      <c r="AH12" s="12"/>
      <c r="AK12" s="10"/>
      <c r="AL12" s="12"/>
      <c r="AM12" s="12"/>
    </row>
    <row r="13" spans="2:39" x14ac:dyDescent="0.3">
      <c r="E13" s="7">
        <v>451</v>
      </c>
      <c r="F13" s="5"/>
      <c r="G13" s="4" t="s">
        <v>8</v>
      </c>
      <c r="H13" s="45">
        <f>42.8+33.7</f>
        <v>76.5</v>
      </c>
      <c r="I13" s="12">
        <f t="shared" si="2"/>
        <v>76500000</v>
      </c>
      <c r="K13" s="24">
        <v>1.4800000000000001E-2</v>
      </c>
      <c r="L13" s="12">
        <f t="shared" ref="L13:L19" si="15">I13*K13</f>
        <v>1132200</v>
      </c>
      <c r="M13" s="27">
        <v>1.1000000000000001</v>
      </c>
      <c r="N13" s="27">
        <f t="shared" si="4"/>
        <v>0</v>
      </c>
      <c r="P13" s="11">
        <v>1.43E-2</v>
      </c>
      <c r="Q13" s="12">
        <f t="shared" ref="Q13:Q19" si="16">I13*P13</f>
        <v>1093950</v>
      </c>
      <c r="R13" s="27">
        <v>1.1000000000000001</v>
      </c>
      <c r="S13" s="27">
        <f t="shared" si="6"/>
        <v>0</v>
      </c>
      <c r="V13" s="11">
        <f t="shared" si="7"/>
        <v>1.43E-2</v>
      </c>
      <c r="W13" s="12">
        <f t="shared" si="8"/>
        <v>1093950</v>
      </c>
      <c r="X13" s="12">
        <f t="shared" ref="X13:X19" si="17">W13-Q13</f>
        <v>0</v>
      </c>
      <c r="AA13" s="11">
        <f t="shared" ref="AA13" si="18">V13</f>
        <v>1.43E-2</v>
      </c>
      <c r="AB13" s="12">
        <f t="shared" ref="AB13" si="19">I13*AA13</f>
        <v>1093950</v>
      </c>
      <c r="AC13" s="12">
        <f t="shared" ref="AC13:AC19" si="20">AB13-W13</f>
        <v>0</v>
      </c>
      <c r="AF13" s="11">
        <f>P13</f>
        <v>1.43E-2</v>
      </c>
      <c r="AG13" s="12">
        <f t="shared" ref="AG13:AG19" si="21">I13*AF13</f>
        <v>1093950</v>
      </c>
      <c r="AH13" s="12">
        <f t="shared" ref="AH13:AH19" si="22">AG13-Q13</f>
        <v>0</v>
      </c>
      <c r="AK13" s="11">
        <v>1.43E-2</v>
      </c>
      <c r="AL13" s="12">
        <f t="shared" ref="AL13" si="23">I13*AK13</f>
        <v>1093950</v>
      </c>
      <c r="AM13" s="12">
        <f t="shared" ref="AM13:AM19" si="24">AL13-Q13</f>
        <v>0</v>
      </c>
    </row>
    <row r="14" spans="2:39" x14ac:dyDescent="0.3">
      <c r="B14" s="42">
        <v>-0.1</v>
      </c>
      <c r="C14" s="42">
        <v>-0.15</v>
      </c>
      <c r="D14" s="42"/>
      <c r="E14" s="7">
        <v>452</v>
      </c>
      <c r="F14" s="5"/>
      <c r="G14" s="8" t="s">
        <v>3</v>
      </c>
      <c r="H14" s="45">
        <f>32.3+83.5</f>
        <v>115.8</v>
      </c>
      <c r="I14" s="12">
        <f t="shared" si="2"/>
        <v>115800000</v>
      </c>
      <c r="K14" s="25">
        <v>3.9399999999999998E-2</v>
      </c>
      <c r="L14" s="12">
        <f t="shared" si="15"/>
        <v>4562520</v>
      </c>
      <c r="M14" s="27">
        <v>4.5</v>
      </c>
      <c r="N14" s="27">
        <f t="shared" si="4"/>
        <v>9.9999999999999645E-2</v>
      </c>
      <c r="P14" s="23">
        <v>3.2000000000000001E-2</v>
      </c>
      <c r="Q14" s="12">
        <f t="shared" si="16"/>
        <v>3705600</v>
      </c>
      <c r="R14" s="27">
        <v>3.7</v>
      </c>
      <c r="S14" s="27">
        <f t="shared" si="6"/>
        <v>0</v>
      </c>
      <c r="U14" t="s">
        <v>69</v>
      </c>
      <c r="V14" s="11">
        <f>'[1]45-R2.5 Acc 452 ASL'!$H$97</f>
        <v>2.1828675231416472E-2</v>
      </c>
      <c r="W14" s="12">
        <f>I14*V14</f>
        <v>2527760.5917980275</v>
      </c>
      <c r="X14" s="12">
        <f t="shared" si="17"/>
        <v>-1177839.4082019725</v>
      </c>
      <c r="Z14" t="s">
        <v>76</v>
      </c>
      <c r="AA14" s="11">
        <f>AB14/I14</f>
        <v>2.3572483665527184E-2</v>
      </c>
      <c r="AB14" s="12">
        <f>W14/(1-B14)+[2]Summary!D7</f>
        <v>2729693.6084680478</v>
      </c>
      <c r="AC14" s="12">
        <f>AB14-W14</f>
        <v>201933.0166700203</v>
      </c>
      <c r="AE14" t="s">
        <v>83</v>
      </c>
      <c r="AF14" s="11">
        <f>AA14</f>
        <v>2.3572483665527184E-2</v>
      </c>
      <c r="AG14" s="12">
        <f t="shared" si="21"/>
        <v>2729693.6084680478</v>
      </c>
      <c r="AH14" s="12">
        <f>AG14-Q14</f>
        <v>-975906.39153195219</v>
      </c>
      <c r="AJ14" t="s">
        <v>69</v>
      </c>
      <c r="AK14" s="11">
        <f>AL14/I14</f>
        <v>2.28208877419354E-2</v>
      </c>
      <c r="AL14" s="12">
        <f>W14/(1-B14)*(1-C14)</f>
        <v>2642658.8005161192</v>
      </c>
      <c r="AM14" s="12">
        <f t="shared" si="24"/>
        <v>-1062941.1994838808</v>
      </c>
    </row>
    <row r="15" spans="2:39" x14ac:dyDescent="0.3">
      <c r="B15" s="42">
        <v>-0.3</v>
      </c>
      <c r="C15" s="42">
        <v>-0.5</v>
      </c>
      <c r="D15" s="42"/>
      <c r="E15" s="7">
        <v>453</v>
      </c>
      <c r="F15" s="5"/>
      <c r="G15" s="4" t="s">
        <v>9</v>
      </c>
      <c r="H15" s="45">
        <f>111.3+82.6</f>
        <v>193.89999999999998</v>
      </c>
      <c r="I15" s="12">
        <f t="shared" si="2"/>
        <v>193899999.99999997</v>
      </c>
      <c r="K15" s="25">
        <v>3.8531379548483499E-2</v>
      </c>
      <c r="L15" s="12">
        <f>I15*K15</f>
        <v>7471234.4944509491</v>
      </c>
      <c r="M15" s="27">
        <v>7.3</v>
      </c>
      <c r="N15" s="27">
        <f t="shared" si="4"/>
        <v>0.20000000000000018</v>
      </c>
      <c r="P15" s="11">
        <v>3.1699999999999999E-2</v>
      </c>
      <c r="Q15" s="12">
        <f t="shared" si="16"/>
        <v>6146629.9999999991</v>
      </c>
      <c r="R15" s="27">
        <v>6</v>
      </c>
      <c r="S15" s="27">
        <f t="shared" si="6"/>
        <v>9.9999999999999645E-2</v>
      </c>
      <c r="V15" s="11">
        <f>P15</f>
        <v>3.1699999999999999E-2</v>
      </c>
      <c r="W15" s="12">
        <f t="shared" si="8"/>
        <v>6146629.9999999991</v>
      </c>
      <c r="X15" s="12">
        <f t="shared" si="17"/>
        <v>0</v>
      </c>
      <c r="Z15" t="s">
        <v>76</v>
      </c>
      <c r="AA15" s="11">
        <f>AB15/I15</f>
        <v>3.1617330892487173E-2</v>
      </c>
      <c r="AB15" s="12">
        <f>W15/(1-B15)+[2]Summary!D8</f>
        <v>6130600.4600532614</v>
      </c>
      <c r="AC15" s="12">
        <f t="shared" si="20"/>
        <v>-16029.539946737699</v>
      </c>
      <c r="AE15" t="s">
        <v>76</v>
      </c>
      <c r="AF15" s="11">
        <f>AA15</f>
        <v>3.1617330892487173E-2</v>
      </c>
      <c r="AG15" s="12">
        <f t="shared" si="21"/>
        <v>6130600.4600532623</v>
      </c>
      <c r="AH15" s="12">
        <f t="shared" si="22"/>
        <v>-16029.539946736768</v>
      </c>
      <c r="AK15" s="11">
        <f>AL15/I15</f>
        <v>3.6576923076923076E-2</v>
      </c>
      <c r="AL15" s="12">
        <f>W15/(1-B15)*(1-C15)</f>
        <v>7092265.3846153831</v>
      </c>
      <c r="AM15" s="12">
        <f t="shared" si="24"/>
        <v>945635.38461538404</v>
      </c>
    </row>
    <row r="16" spans="2:39" x14ac:dyDescent="0.3">
      <c r="E16" s="7">
        <v>454</v>
      </c>
      <c r="F16" s="5"/>
      <c r="G16" s="4" t="s">
        <v>10</v>
      </c>
      <c r="H16" s="45">
        <v>17.3</v>
      </c>
      <c r="I16" s="12">
        <f t="shared" si="2"/>
        <v>17300000</v>
      </c>
      <c r="K16" s="24">
        <v>1.32E-2</v>
      </c>
      <c r="L16" s="12">
        <f t="shared" si="15"/>
        <v>228360</v>
      </c>
      <c r="M16" s="27">
        <v>0.2</v>
      </c>
      <c r="N16" s="27">
        <f t="shared" si="4"/>
        <v>0</v>
      </c>
      <c r="P16" s="23">
        <v>1.01E-2</v>
      </c>
      <c r="Q16" s="12">
        <f t="shared" si="16"/>
        <v>174730</v>
      </c>
      <c r="R16" s="27">
        <v>0.2</v>
      </c>
      <c r="S16" s="27">
        <f t="shared" si="6"/>
        <v>0</v>
      </c>
      <c r="V16" s="11">
        <f>P16</f>
        <v>1.01E-2</v>
      </c>
      <c r="W16" s="12">
        <f t="shared" si="8"/>
        <v>174730</v>
      </c>
      <c r="X16" s="12">
        <f t="shared" si="17"/>
        <v>0</v>
      </c>
      <c r="AA16" s="11">
        <f t="shared" ref="AA16" si="25">V16</f>
        <v>1.01E-2</v>
      </c>
      <c r="AB16" s="12">
        <f t="shared" ref="AB16" si="26">I16*AA16</f>
        <v>174730</v>
      </c>
      <c r="AC16" s="12">
        <f t="shared" si="20"/>
        <v>0</v>
      </c>
      <c r="AF16" s="11">
        <f>P16</f>
        <v>1.01E-2</v>
      </c>
      <c r="AG16" s="12">
        <f t="shared" si="21"/>
        <v>174730</v>
      </c>
      <c r="AH16" s="12">
        <f t="shared" si="22"/>
        <v>0</v>
      </c>
      <c r="AK16" s="11">
        <f>P16</f>
        <v>1.01E-2</v>
      </c>
      <c r="AL16" s="12">
        <f t="shared" ref="AL16" si="27">I16*AK16</f>
        <v>174730</v>
      </c>
      <c r="AM16" s="12">
        <f t="shared" si="24"/>
        <v>0</v>
      </c>
    </row>
    <row r="17" spans="2:39" x14ac:dyDescent="0.3">
      <c r="B17" s="42">
        <v>-0.08</v>
      </c>
      <c r="C17" s="42">
        <v>-0.15</v>
      </c>
      <c r="D17" s="42"/>
      <c r="E17" s="7">
        <v>455</v>
      </c>
      <c r="F17" s="5"/>
      <c r="G17" s="4" t="s">
        <v>11</v>
      </c>
      <c r="H17" s="45">
        <f>211.1+47.8</f>
        <v>258.89999999999998</v>
      </c>
      <c r="I17" s="12">
        <f t="shared" si="2"/>
        <v>258899999.99999997</v>
      </c>
      <c r="K17" s="24">
        <v>2.5399999999999999E-2</v>
      </c>
      <c r="L17" s="12">
        <f t="shared" si="15"/>
        <v>6576059.9999999991</v>
      </c>
      <c r="M17" s="27">
        <v>6.4</v>
      </c>
      <c r="N17" s="27">
        <f t="shared" si="4"/>
        <v>0.19999999999999929</v>
      </c>
      <c r="P17" s="23">
        <v>2.23E-2</v>
      </c>
      <c r="Q17" s="12">
        <f t="shared" si="16"/>
        <v>5773469.9999999991</v>
      </c>
      <c r="R17" s="27">
        <v>5.6</v>
      </c>
      <c r="S17" s="27">
        <f t="shared" si="6"/>
        <v>0.20000000000000018</v>
      </c>
      <c r="V17" s="11">
        <f>P17</f>
        <v>2.23E-2</v>
      </c>
      <c r="W17" s="12">
        <f t="shared" si="8"/>
        <v>5773469.9999999991</v>
      </c>
      <c r="X17" s="12">
        <f t="shared" si="17"/>
        <v>0</v>
      </c>
      <c r="Z17" t="s">
        <v>76</v>
      </c>
      <c r="AA17" s="11">
        <f t="shared" ref="AA17:AA19" si="28">AB17/I17</f>
        <v>2.2151636670783185E-2</v>
      </c>
      <c r="AB17" s="12">
        <f>W17/(1-B17)+[2]Summary!D9</f>
        <v>5735058.7340657655</v>
      </c>
      <c r="AC17" s="12">
        <f t="shared" si="20"/>
        <v>-38411.265934233554</v>
      </c>
      <c r="AE17" t="s">
        <v>76</v>
      </c>
      <c r="AF17" s="11">
        <f t="shared" ref="AF17:AF19" si="29">AA17</f>
        <v>2.2151636670783185E-2</v>
      </c>
      <c r="AG17" s="12">
        <f t="shared" si="21"/>
        <v>5735058.7340657655</v>
      </c>
      <c r="AH17" s="12">
        <f t="shared" si="22"/>
        <v>-38411.265934233554</v>
      </c>
      <c r="AK17" s="11">
        <f>AL17/I17</f>
        <v>2.3745370370370365E-2</v>
      </c>
      <c r="AL17" s="12">
        <f>W17/(1-B17)*(1-C17)</f>
        <v>6147676.3888888871</v>
      </c>
      <c r="AM17" s="12">
        <f t="shared" si="24"/>
        <v>374206.38888888806</v>
      </c>
    </row>
    <row r="18" spans="2:39" x14ac:dyDescent="0.3">
      <c r="B18" s="42">
        <v>-0.06</v>
      </c>
      <c r="C18" s="42">
        <v>-0.1</v>
      </c>
      <c r="D18" s="42"/>
      <c r="E18" s="7">
        <v>456</v>
      </c>
      <c r="F18" s="5"/>
      <c r="G18" s="4" t="s">
        <v>12</v>
      </c>
      <c r="H18" s="45">
        <f>234.2+491.6</f>
        <v>725.8</v>
      </c>
      <c r="I18" s="12">
        <f t="shared" si="2"/>
        <v>725800000</v>
      </c>
      <c r="K18" s="24">
        <v>2.8799999999999999E-2</v>
      </c>
      <c r="L18" s="12">
        <f t="shared" si="15"/>
        <v>20903040</v>
      </c>
      <c r="M18" s="27">
        <v>20.9</v>
      </c>
      <c r="N18" s="27">
        <f t="shared" si="4"/>
        <v>0</v>
      </c>
      <c r="P18" s="23">
        <v>2.6499999999999999E-2</v>
      </c>
      <c r="Q18" s="12">
        <f t="shared" si="16"/>
        <v>19233700</v>
      </c>
      <c r="R18" s="27">
        <v>19.2</v>
      </c>
      <c r="S18" s="27">
        <f t="shared" si="6"/>
        <v>0</v>
      </c>
      <c r="U18" t="s">
        <v>70</v>
      </c>
      <c r="V18" s="11">
        <f>'[1]44-R4 Acc 456 ASL'!$H$80</f>
        <v>2.2394998589104341E-2</v>
      </c>
      <c r="W18" s="12">
        <f t="shared" si="8"/>
        <v>16254289.975971932</v>
      </c>
      <c r="X18" s="12">
        <f t="shared" si="17"/>
        <v>-2979410.0240280684</v>
      </c>
      <c r="Z18" t="s">
        <v>76</v>
      </c>
      <c r="AA18" s="11">
        <f t="shared" si="28"/>
        <v>2.2684483585620405E-2</v>
      </c>
      <c r="AB18" s="12">
        <f>W18/(1-B18)+[2]Summary!D10</f>
        <v>16464398.18644329</v>
      </c>
      <c r="AC18" s="12">
        <f t="shared" si="20"/>
        <v>210108.21047135815</v>
      </c>
      <c r="AE18" t="s">
        <v>84</v>
      </c>
      <c r="AF18" s="11">
        <f t="shared" si="29"/>
        <v>2.2684483585620405E-2</v>
      </c>
      <c r="AG18" s="12">
        <f t="shared" si="21"/>
        <v>16464398.18644329</v>
      </c>
      <c r="AH18" s="12">
        <f t="shared" si="22"/>
        <v>-2769301.8135567103</v>
      </c>
      <c r="AJ18" t="s">
        <v>70</v>
      </c>
      <c r="AK18" s="11">
        <f>AL18/I18</f>
        <v>2.3240092875485639E-2</v>
      </c>
      <c r="AL18" s="12">
        <f>W18/(1-B18)*(1-C18)</f>
        <v>16867659.409027476</v>
      </c>
      <c r="AM18" s="12">
        <f t="shared" si="24"/>
        <v>-2366040.5909725241</v>
      </c>
    </row>
    <row r="19" spans="2:39" x14ac:dyDescent="0.3">
      <c r="B19" s="42">
        <v>-0.14000000000000001</v>
      </c>
      <c r="C19" s="42">
        <v>-0.2</v>
      </c>
      <c r="D19" s="42"/>
      <c r="E19" s="7">
        <v>457</v>
      </c>
      <c r="F19" s="5"/>
      <c r="G19" s="4" t="s">
        <v>13</v>
      </c>
      <c r="H19" s="45">
        <f>11.2+97.7</f>
        <v>108.9</v>
      </c>
      <c r="I19" s="13">
        <f t="shared" si="2"/>
        <v>108900000</v>
      </c>
      <c r="K19" s="24">
        <v>2.5999999999999999E-2</v>
      </c>
      <c r="L19" s="12">
        <f t="shared" si="15"/>
        <v>2831400</v>
      </c>
      <c r="M19" s="27">
        <v>2.8</v>
      </c>
      <c r="N19" s="27">
        <f t="shared" si="4"/>
        <v>0</v>
      </c>
      <c r="P19" s="23">
        <v>2.2700000000000001E-2</v>
      </c>
      <c r="Q19" s="12">
        <f t="shared" si="16"/>
        <v>2472030</v>
      </c>
      <c r="R19" s="27">
        <v>2.4</v>
      </c>
      <c r="S19" s="27">
        <f t="shared" si="6"/>
        <v>0.10000000000000009</v>
      </c>
      <c r="U19" t="s">
        <v>71</v>
      </c>
      <c r="V19" s="11">
        <f>'[1]40-R2.5 Acc 457 ASL'!$H$87</f>
        <v>1.7754096633357995E-2</v>
      </c>
      <c r="W19" s="12">
        <f t="shared" si="8"/>
        <v>1933421.1233726856</v>
      </c>
      <c r="X19" s="12">
        <f t="shared" si="17"/>
        <v>-538608.87662731437</v>
      </c>
      <c r="Z19" t="s">
        <v>76</v>
      </c>
      <c r="AA19" s="11">
        <f t="shared" si="28"/>
        <v>1.9687905000020559E-2</v>
      </c>
      <c r="AB19" s="12">
        <f>W19/(1-B19)+[2]Summary!D11</f>
        <v>2144012.8545022388</v>
      </c>
      <c r="AC19" s="12">
        <f t="shared" si="20"/>
        <v>210591.73112955317</v>
      </c>
      <c r="AE19" t="s">
        <v>85</v>
      </c>
      <c r="AF19" s="11">
        <f t="shared" si="29"/>
        <v>1.9687905000020559E-2</v>
      </c>
      <c r="AG19" s="12">
        <f t="shared" si="21"/>
        <v>2144012.8545022388</v>
      </c>
      <c r="AH19" s="12">
        <f t="shared" si="22"/>
        <v>-328017.1454977612</v>
      </c>
      <c r="AJ19" t="s">
        <v>71</v>
      </c>
      <c r="AK19" s="11">
        <f>AL19/I19</f>
        <v>1.868852277195578E-2</v>
      </c>
      <c r="AL19" s="12">
        <f>W19/(1-B19)*(1-C19)</f>
        <v>2035180.1298659844</v>
      </c>
      <c r="AM19" s="12">
        <f t="shared" si="24"/>
        <v>-436849.87013401557</v>
      </c>
    </row>
    <row r="20" spans="2:39" x14ac:dyDescent="0.3">
      <c r="E20" s="6" t="s">
        <v>14</v>
      </c>
      <c r="F20" s="5"/>
      <c r="G20" s="4"/>
      <c r="H20" s="45"/>
      <c r="I20" s="16"/>
      <c r="K20" s="10"/>
      <c r="L20" s="16"/>
      <c r="M20" s="30"/>
      <c r="N20" s="27"/>
      <c r="P20" s="10"/>
      <c r="Q20" s="16"/>
      <c r="R20" s="30"/>
      <c r="S20" s="27"/>
      <c r="V20" s="10"/>
      <c r="W20" s="12"/>
      <c r="X20" s="12"/>
      <c r="AA20" s="10"/>
      <c r="AB20" s="12"/>
      <c r="AC20" s="12"/>
      <c r="AF20" s="10"/>
      <c r="AG20" s="12"/>
      <c r="AH20" s="12"/>
      <c r="AK20" s="10"/>
      <c r="AL20" s="12"/>
      <c r="AM20" s="12"/>
    </row>
    <row r="21" spans="2:39" x14ac:dyDescent="0.3">
      <c r="E21" s="6"/>
      <c r="F21" s="5"/>
      <c r="G21" s="4"/>
      <c r="H21" s="45"/>
      <c r="I21" s="15">
        <f t="shared" si="2"/>
        <v>0</v>
      </c>
      <c r="K21" s="10"/>
      <c r="L21" s="15"/>
      <c r="M21" s="29"/>
      <c r="N21" s="27"/>
      <c r="P21" s="10"/>
      <c r="Q21" s="15"/>
      <c r="R21" s="36"/>
      <c r="S21" s="27"/>
      <c r="V21" s="10"/>
      <c r="W21" s="12"/>
      <c r="X21" s="12"/>
      <c r="AA21" s="10"/>
      <c r="AB21" s="12"/>
      <c r="AC21" s="12"/>
      <c r="AF21" s="10"/>
      <c r="AG21" s="12"/>
      <c r="AH21" s="12"/>
      <c r="AK21" s="10"/>
      <c r="AL21" s="12"/>
      <c r="AM21" s="12"/>
    </row>
    <row r="22" spans="2:39" x14ac:dyDescent="0.3">
      <c r="E22" s="6" t="s">
        <v>15</v>
      </c>
      <c r="F22" s="5"/>
      <c r="G22" s="4"/>
      <c r="H22" s="45"/>
      <c r="I22" s="15">
        <f t="shared" si="2"/>
        <v>0</v>
      </c>
      <c r="K22" s="10"/>
      <c r="L22" s="15"/>
      <c r="M22" s="29"/>
      <c r="N22" s="27"/>
      <c r="P22" s="10"/>
      <c r="Q22" s="15"/>
      <c r="R22" s="36"/>
      <c r="S22" s="27"/>
      <c r="V22" s="10"/>
      <c r="W22" s="12"/>
      <c r="X22" s="12"/>
      <c r="AA22" s="10"/>
      <c r="AB22" s="12"/>
      <c r="AC22" s="12"/>
      <c r="AF22" s="10"/>
      <c r="AG22" s="12"/>
      <c r="AH22" s="12"/>
      <c r="AK22" s="10"/>
      <c r="AL22" s="12"/>
      <c r="AM22" s="12"/>
    </row>
    <row r="23" spans="2:39" x14ac:dyDescent="0.3">
      <c r="E23" s="7">
        <v>461</v>
      </c>
      <c r="F23" s="5"/>
      <c r="G23" s="4" t="s">
        <v>8</v>
      </c>
      <c r="H23" s="45">
        <f>19.9+71.9</f>
        <v>91.800000000000011</v>
      </c>
      <c r="I23" s="12">
        <f t="shared" si="2"/>
        <v>91800000.000000015</v>
      </c>
      <c r="K23" s="25">
        <v>1.70984919154923E-2</v>
      </c>
      <c r="L23" s="12">
        <f t="shared" ref="L23:L29" si="30">I23*K23</f>
        <v>1569641.5578421934</v>
      </c>
      <c r="M23" s="27">
        <v>1.6</v>
      </c>
      <c r="N23" s="27">
        <f t="shared" si="4"/>
        <v>0</v>
      </c>
      <c r="P23" s="11">
        <v>1.6E-2</v>
      </c>
      <c r="Q23" s="12">
        <f t="shared" ref="Q23:Q29" si="31">I23*P23</f>
        <v>1468800.0000000002</v>
      </c>
      <c r="R23" s="27">
        <v>1.5</v>
      </c>
      <c r="S23" s="27">
        <f t="shared" si="6"/>
        <v>0</v>
      </c>
      <c r="V23" s="11">
        <f>P23</f>
        <v>1.6E-2</v>
      </c>
      <c r="W23" s="12">
        <f t="shared" si="8"/>
        <v>1468800.0000000002</v>
      </c>
      <c r="X23" s="12">
        <f t="shared" ref="X23:X29" si="32">W23-Q23</f>
        <v>0</v>
      </c>
      <c r="AA23" s="11">
        <f t="shared" ref="AA23" si="33">V23</f>
        <v>1.6E-2</v>
      </c>
      <c r="AB23" s="12">
        <f t="shared" ref="AB23" si="34">I23*AA23</f>
        <v>1468800.0000000002</v>
      </c>
      <c r="AC23" s="12">
        <f t="shared" ref="AC23:AC29" si="35">AB23-W23</f>
        <v>0</v>
      </c>
      <c r="AF23" s="11">
        <f>P23</f>
        <v>1.6E-2</v>
      </c>
      <c r="AG23" s="12">
        <f t="shared" ref="AG23:AG29" si="36">I23*AF23</f>
        <v>1468800.0000000002</v>
      </c>
      <c r="AH23" s="12">
        <f t="shared" ref="AH23:AH29" si="37">AG23-Q23</f>
        <v>0</v>
      </c>
      <c r="AK23" s="11">
        <f>P23</f>
        <v>1.6E-2</v>
      </c>
      <c r="AL23" s="12">
        <f t="shared" ref="AL23" si="38">I23*AK23</f>
        <v>1468800.0000000002</v>
      </c>
      <c r="AM23" s="12">
        <f t="shared" ref="AM23:AM29" si="39">AL23-Q23</f>
        <v>0</v>
      </c>
    </row>
    <row r="24" spans="2:39" x14ac:dyDescent="0.3">
      <c r="B24" s="43">
        <v>-0.05</v>
      </c>
      <c r="C24" s="43">
        <v>-0.1</v>
      </c>
      <c r="D24" s="43"/>
      <c r="E24" s="7">
        <v>462</v>
      </c>
      <c r="F24" s="5"/>
      <c r="G24" s="4" t="s">
        <v>16</v>
      </c>
      <c r="H24" s="45">
        <v>167.5</v>
      </c>
      <c r="I24" s="12">
        <f t="shared" si="2"/>
        <v>167500000</v>
      </c>
      <c r="K24" s="25">
        <v>2.0678748163199302E-2</v>
      </c>
      <c r="L24" s="12">
        <f t="shared" si="30"/>
        <v>3463690.3173358832</v>
      </c>
      <c r="M24" s="27">
        <v>3.5</v>
      </c>
      <c r="N24" s="27">
        <f t="shared" si="4"/>
        <v>0</v>
      </c>
      <c r="P24" s="11">
        <v>2.01E-2</v>
      </c>
      <c r="Q24" s="12">
        <f t="shared" si="31"/>
        <v>3366750</v>
      </c>
      <c r="R24" s="27">
        <v>3.4</v>
      </c>
      <c r="S24" s="27">
        <f t="shared" si="6"/>
        <v>0</v>
      </c>
      <c r="V24" s="11">
        <f t="shared" ref="V24:V26" si="40">P24</f>
        <v>2.01E-2</v>
      </c>
      <c r="W24" s="12">
        <f t="shared" si="8"/>
        <v>3366750</v>
      </c>
      <c r="X24" s="12">
        <f t="shared" si="32"/>
        <v>0</v>
      </c>
      <c r="Z24" t="s">
        <v>76</v>
      </c>
      <c r="AA24" s="11">
        <f t="shared" ref="AA24:AA26" si="41">AB24/I24</f>
        <v>2.0356302824890718E-2</v>
      </c>
      <c r="AB24" s="12">
        <f>W24/(1-B24)+[2]Summary!D12</f>
        <v>3409680.7231691955</v>
      </c>
      <c r="AC24" s="12">
        <f t="shared" si="35"/>
        <v>42930.723169195466</v>
      </c>
      <c r="AE24" t="s">
        <v>76</v>
      </c>
      <c r="AF24" s="11">
        <f t="shared" ref="AF24:AF29" si="42">AA24</f>
        <v>2.0356302824890718E-2</v>
      </c>
      <c r="AG24" s="12">
        <f t="shared" si="36"/>
        <v>3409680.7231691955</v>
      </c>
      <c r="AH24" s="12">
        <f t="shared" si="37"/>
        <v>42930.723169195466</v>
      </c>
      <c r="AK24" s="11">
        <f t="shared" ref="AK24:AK29" si="43">AL24/I24</f>
        <v>2.1057142857142858E-2</v>
      </c>
      <c r="AL24" s="12">
        <f t="shared" ref="AL24:AL29" si="44">W24/(1-B24)*(1-C24)</f>
        <v>3527071.4285714286</v>
      </c>
      <c r="AM24" s="12">
        <f t="shared" si="39"/>
        <v>160321.42857142864</v>
      </c>
    </row>
    <row r="25" spans="2:39" x14ac:dyDescent="0.3">
      <c r="B25" s="43">
        <v>-0.06</v>
      </c>
      <c r="C25" s="43">
        <v>-0.1</v>
      </c>
      <c r="D25" s="43"/>
      <c r="E25" s="7">
        <v>463</v>
      </c>
      <c r="F25" s="5"/>
      <c r="G25" s="4" t="s">
        <v>17</v>
      </c>
      <c r="H25" s="45">
        <v>11.5</v>
      </c>
      <c r="I25" s="12">
        <f t="shared" si="2"/>
        <v>11500000</v>
      </c>
      <c r="K25" s="25">
        <v>1.40101335338686E-2</v>
      </c>
      <c r="L25" s="12">
        <f t="shared" si="30"/>
        <v>161116.53563948889</v>
      </c>
      <c r="M25" s="27">
        <v>0.2</v>
      </c>
      <c r="N25" s="27">
        <f t="shared" si="4"/>
        <v>0</v>
      </c>
      <c r="P25" s="11">
        <v>1.32E-2</v>
      </c>
      <c r="Q25" s="12">
        <f t="shared" si="31"/>
        <v>151800</v>
      </c>
      <c r="R25" s="27">
        <v>0.2</v>
      </c>
      <c r="S25" s="27">
        <f t="shared" si="6"/>
        <v>0</v>
      </c>
      <c r="V25" s="11">
        <f t="shared" si="40"/>
        <v>1.32E-2</v>
      </c>
      <c r="W25" s="12">
        <f t="shared" si="8"/>
        <v>151800</v>
      </c>
      <c r="X25" s="12">
        <f t="shared" si="32"/>
        <v>0</v>
      </c>
      <c r="Z25" t="s">
        <v>76</v>
      </c>
      <c r="AA25" s="11">
        <f t="shared" si="41"/>
        <v>1.4233904994882182E-2</v>
      </c>
      <c r="AB25" s="12">
        <f>W25/(1-B25)+[2]Summary!D13</f>
        <v>163689.9074411451</v>
      </c>
      <c r="AC25" s="12">
        <f t="shared" si="35"/>
        <v>11889.9074411451</v>
      </c>
      <c r="AE25" t="s">
        <v>76</v>
      </c>
      <c r="AF25" s="11">
        <f t="shared" si="42"/>
        <v>1.4233904994882182E-2</v>
      </c>
      <c r="AG25" s="12">
        <f t="shared" si="36"/>
        <v>163689.9074411451</v>
      </c>
      <c r="AH25" s="12">
        <f t="shared" si="37"/>
        <v>11889.9074411451</v>
      </c>
      <c r="AK25" s="11">
        <f t="shared" si="43"/>
        <v>1.3698113207547172E-2</v>
      </c>
      <c r="AL25" s="12">
        <f t="shared" si="44"/>
        <v>157528.30188679247</v>
      </c>
      <c r="AM25" s="12">
        <f t="shared" si="39"/>
        <v>5728.3018867924693</v>
      </c>
    </row>
    <row r="26" spans="2:39" x14ac:dyDescent="0.3">
      <c r="B26" s="43">
        <v>-0.05</v>
      </c>
      <c r="C26" s="43">
        <v>-0.1</v>
      </c>
      <c r="D26" s="43"/>
      <c r="E26" s="7">
        <v>464</v>
      </c>
      <c r="F26" s="5"/>
      <c r="G26" s="8" t="s">
        <v>18</v>
      </c>
      <c r="H26" s="45">
        <v>3</v>
      </c>
      <c r="I26" s="12">
        <f t="shared" si="2"/>
        <v>3000000</v>
      </c>
      <c r="K26" s="25">
        <v>2.23E-2</v>
      </c>
      <c r="L26" s="12">
        <f t="shared" si="30"/>
        <v>66900</v>
      </c>
      <c r="M26" s="27">
        <v>0.1</v>
      </c>
      <c r="N26" s="27">
        <f t="shared" si="4"/>
        <v>0</v>
      </c>
      <c r="P26" s="11">
        <v>2.1399999999999999E-2</v>
      </c>
      <c r="Q26" s="12">
        <f t="shared" si="31"/>
        <v>64200</v>
      </c>
      <c r="R26" s="27">
        <v>0.1</v>
      </c>
      <c r="S26" s="27">
        <f t="shared" si="6"/>
        <v>0</v>
      </c>
      <c r="V26" s="11">
        <f t="shared" si="40"/>
        <v>2.1399999999999999E-2</v>
      </c>
      <c r="W26" s="12">
        <f t="shared" si="8"/>
        <v>64200</v>
      </c>
      <c r="X26" s="12">
        <f t="shared" si="32"/>
        <v>0</v>
      </c>
      <c r="Z26" t="s">
        <v>76</v>
      </c>
      <c r="AA26" s="11">
        <f t="shared" si="41"/>
        <v>2.1509982198286356E-2</v>
      </c>
      <c r="AB26" s="12">
        <f>W26/(1-B26)+[2]Summary!D14</f>
        <v>64529.946594859073</v>
      </c>
      <c r="AC26" s="12">
        <f t="shared" si="35"/>
        <v>329.94659485907323</v>
      </c>
      <c r="AE26" t="s">
        <v>76</v>
      </c>
      <c r="AF26" s="11">
        <f t="shared" si="42"/>
        <v>2.1509982198286356E-2</v>
      </c>
      <c r="AG26" s="12">
        <f t="shared" si="36"/>
        <v>64529.946594859066</v>
      </c>
      <c r="AH26" s="12">
        <f t="shared" si="37"/>
        <v>329.94659485906595</v>
      </c>
      <c r="AK26" s="11">
        <f t="shared" si="43"/>
        <v>2.241904761904762E-2</v>
      </c>
      <c r="AL26" s="12">
        <f t="shared" si="44"/>
        <v>67257.142857142855</v>
      </c>
      <c r="AM26" s="12">
        <f t="shared" si="39"/>
        <v>3057.1428571428551</v>
      </c>
    </row>
    <row r="27" spans="2:39" x14ac:dyDescent="0.3">
      <c r="B27" s="43">
        <v>-0.12</v>
      </c>
      <c r="C27" s="43">
        <v>-0.15</v>
      </c>
      <c r="D27" s="43"/>
      <c r="E27" s="7">
        <v>465</v>
      </c>
      <c r="F27" s="5"/>
      <c r="G27" s="4" t="s">
        <v>19</v>
      </c>
      <c r="H27" s="45">
        <f>414.9+2713.7</f>
        <v>3128.6</v>
      </c>
      <c r="I27" s="12">
        <f t="shared" si="2"/>
        <v>3128600000</v>
      </c>
      <c r="K27" s="25">
        <v>1.7677766003575599E-2</v>
      </c>
      <c r="L27" s="12">
        <f t="shared" si="30"/>
        <v>55306658.71878662</v>
      </c>
      <c r="M27" s="27">
        <v>54.9</v>
      </c>
      <c r="N27" s="27">
        <f t="shared" si="4"/>
        <v>0.39999999999999858</v>
      </c>
      <c r="P27" s="11">
        <v>1.6400000000000001E-2</v>
      </c>
      <c r="Q27" s="12">
        <f t="shared" si="31"/>
        <v>51309040.000000007</v>
      </c>
      <c r="R27" s="27">
        <v>51</v>
      </c>
      <c r="S27" s="27">
        <f t="shared" si="6"/>
        <v>0.29999999999999716</v>
      </c>
      <c r="U27" t="s">
        <v>72</v>
      </c>
      <c r="V27" s="11">
        <f>'[1]70-R4 Acc 465 ASL'!$H$135</f>
        <v>1.3539906410523337E-2</v>
      </c>
      <c r="W27" s="12">
        <f t="shared" si="8"/>
        <v>42360951.195963308</v>
      </c>
      <c r="X27" s="12">
        <f t="shared" si="32"/>
        <v>-8948088.8040366992</v>
      </c>
      <c r="Z27" s="22" t="s">
        <v>77</v>
      </c>
      <c r="AA27" s="11">
        <f t="shared" ref="AA27:AA29" si="45">AB27/I27</f>
        <v>1.3024764362143516E-2</v>
      </c>
      <c r="AB27" s="12">
        <f>W27/(1-B27)+[2]Summary!D15</f>
        <v>40749277.783402205</v>
      </c>
      <c r="AC27" s="12">
        <f t="shared" si="35"/>
        <v>-1611673.4125611037</v>
      </c>
      <c r="AE27" t="s">
        <v>86</v>
      </c>
      <c r="AF27" s="11">
        <f t="shared" si="42"/>
        <v>1.3024764362143516E-2</v>
      </c>
      <c r="AG27" s="12">
        <f t="shared" si="36"/>
        <v>40749277.783402205</v>
      </c>
      <c r="AH27" s="12">
        <f t="shared" si="37"/>
        <v>-10559762.216597803</v>
      </c>
      <c r="AJ27" t="s">
        <v>91</v>
      </c>
      <c r="AK27" s="11">
        <f t="shared" si="43"/>
        <v>1.3902582475090922E-2</v>
      </c>
      <c r="AL27" s="12">
        <f t="shared" si="44"/>
        <v>43495619.531569459</v>
      </c>
      <c r="AM27" s="12">
        <f t="shared" si="39"/>
        <v>-7813420.4684305489</v>
      </c>
    </row>
    <row r="28" spans="2:39" x14ac:dyDescent="0.3">
      <c r="B28" s="43">
        <v>-7.0000000000000007E-2</v>
      </c>
      <c r="C28" s="43">
        <v>-0.05</v>
      </c>
      <c r="D28" s="43"/>
      <c r="E28" s="7">
        <v>466</v>
      </c>
      <c r="F28" s="5"/>
      <c r="G28" s="4" t="s">
        <v>12</v>
      </c>
      <c r="H28" s="45">
        <v>1031.8</v>
      </c>
      <c r="I28" s="12">
        <f t="shared" si="2"/>
        <v>1031800000</v>
      </c>
      <c r="K28" s="25">
        <v>3.7229075435298402E-2</v>
      </c>
      <c r="L28" s="12">
        <f t="shared" si="30"/>
        <v>38412960.034140892</v>
      </c>
      <c r="M28" s="27">
        <v>38.4</v>
      </c>
      <c r="N28" s="27">
        <f t="shared" si="4"/>
        <v>0</v>
      </c>
      <c r="P28" s="11">
        <v>3.4200000000000001E-2</v>
      </c>
      <c r="Q28" s="12">
        <f t="shared" si="31"/>
        <v>35287560</v>
      </c>
      <c r="R28" s="27">
        <v>35.299999999999997</v>
      </c>
      <c r="S28" s="27">
        <f t="shared" si="6"/>
        <v>0</v>
      </c>
      <c r="V28" s="11">
        <f>P28</f>
        <v>3.4200000000000001E-2</v>
      </c>
      <c r="W28" s="12">
        <f t="shared" si="8"/>
        <v>35287560</v>
      </c>
      <c r="X28" s="12">
        <f t="shared" si="32"/>
        <v>0</v>
      </c>
      <c r="Z28" s="22" t="s">
        <v>78</v>
      </c>
      <c r="AA28" s="11">
        <f t="shared" si="45"/>
        <v>3.3327517206203451E-2</v>
      </c>
      <c r="AB28" s="12">
        <f>W28/(1-B28)+[2]Summary!D16</f>
        <v>34387332.253360718</v>
      </c>
      <c r="AC28" s="12">
        <f t="shared" si="35"/>
        <v>-900227.74663928151</v>
      </c>
      <c r="AE28" s="22" t="s">
        <v>78</v>
      </c>
      <c r="AF28" s="11">
        <f t="shared" si="42"/>
        <v>3.3327517206203451E-2</v>
      </c>
      <c r="AG28" s="12">
        <f t="shared" si="36"/>
        <v>34387332.253360718</v>
      </c>
      <c r="AH28" s="12">
        <f t="shared" si="37"/>
        <v>-900227.74663928151</v>
      </c>
      <c r="AJ28" s="22" t="s">
        <v>92</v>
      </c>
      <c r="AK28" s="11">
        <f t="shared" si="43"/>
        <v>3.3560747663551403E-2</v>
      </c>
      <c r="AL28" s="12">
        <f t="shared" si="44"/>
        <v>34627979.439252339</v>
      </c>
      <c r="AM28" s="12">
        <f t="shared" si="39"/>
        <v>-659580.5607476607</v>
      </c>
    </row>
    <row r="29" spans="2:39" x14ac:dyDescent="0.3">
      <c r="B29" s="43">
        <v>-0.15</v>
      </c>
      <c r="C29" s="43">
        <v>-0.1</v>
      </c>
      <c r="D29" s="43"/>
      <c r="E29" s="7">
        <v>467</v>
      </c>
      <c r="F29" s="5"/>
      <c r="G29" s="4" t="s">
        <v>20</v>
      </c>
      <c r="H29" s="45">
        <f>3.5+522.9</f>
        <v>526.4</v>
      </c>
      <c r="I29" s="13">
        <f t="shared" si="2"/>
        <v>526400000</v>
      </c>
      <c r="K29" s="24">
        <v>3.0599999999999999E-2</v>
      </c>
      <c r="L29" s="12">
        <f t="shared" si="30"/>
        <v>16107840</v>
      </c>
      <c r="M29" s="27">
        <v>15.8</v>
      </c>
      <c r="N29" s="27">
        <f t="shared" si="4"/>
        <v>0.30000000000000071</v>
      </c>
      <c r="P29" s="23">
        <v>2.8400000000000002E-2</v>
      </c>
      <c r="Q29" s="12">
        <f t="shared" si="31"/>
        <v>14949760</v>
      </c>
      <c r="R29" s="27">
        <v>14.7</v>
      </c>
      <c r="S29" s="27">
        <f t="shared" si="6"/>
        <v>0.20000000000000107</v>
      </c>
      <c r="V29" s="11">
        <f>P29</f>
        <v>2.8400000000000002E-2</v>
      </c>
      <c r="W29" s="12">
        <f t="shared" si="8"/>
        <v>14949760</v>
      </c>
      <c r="X29" s="12">
        <f t="shared" si="32"/>
        <v>0</v>
      </c>
      <c r="Z29" s="22" t="s">
        <v>79</v>
      </c>
      <c r="AA29" s="11">
        <f t="shared" si="45"/>
        <v>2.6160668839811222E-2</v>
      </c>
      <c r="AB29" s="12">
        <f>W29/(1-B29)+[2]Summary!D17</f>
        <v>13770976.077276627</v>
      </c>
      <c r="AC29" s="12">
        <f t="shared" si="35"/>
        <v>-1178783.9227233734</v>
      </c>
      <c r="AE29" s="22" t="s">
        <v>79</v>
      </c>
      <c r="AF29" s="11">
        <f t="shared" si="42"/>
        <v>2.6160668839811222E-2</v>
      </c>
      <c r="AG29" s="12">
        <f t="shared" si="36"/>
        <v>13770976.077276627</v>
      </c>
      <c r="AH29" s="12">
        <f t="shared" si="37"/>
        <v>-1178783.9227233734</v>
      </c>
      <c r="AJ29" s="22" t="s">
        <v>93</v>
      </c>
      <c r="AK29" s="11">
        <f t="shared" si="43"/>
        <v>2.7165217391304348E-2</v>
      </c>
      <c r="AL29" s="12">
        <f t="shared" si="44"/>
        <v>14299770.434782609</v>
      </c>
      <c r="AM29" s="12">
        <f t="shared" si="39"/>
        <v>-649989.56521739066</v>
      </c>
    </row>
    <row r="30" spans="2:39" x14ac:dyDescent="0.3">
      <c r="E30" s="6" t="s">
        <v>21</v>
      </c>
      <c r="F30" s="5"/>
      <c r="G30" s="4"/>
      <c r="H30" s="45"/>
      <c r="I30" s="14"/>
      <c r="K30" s="10"/>
      <c r="L30" s="14"/>
      <c r="M30" s="28"/>
      <c r="N30" s="27"/>
      <c r="P30" s="10"/>
      <c r="Q30" s="14"/>
      <c r="R30" s="35"/>
      <c r="S30" s="27">
        <f t="shared" si="6"/>
        <v>0</v>
      </c>
      <c r="V30" s="10"/>
      <c r="W30" s="12"/>
      <c r="X30" s="12"/>
      <c r="AA30" s="10"/>
      <c r="AB30" s="12"/>
      <c r="AC30" s="12"/>
      <c r="AF30" s="10"/>
      <c r="AG30" s="12"/>
      <c r="AH30" s="12"/>
      <c r="AK30" s="10"/>
      <c r="AL30" s="12"/>
      <c r="AM30" s="12"/>
    </row>
    <row r="31" spans="2:39" x14ac:dyDescent="0.3">
      <c r="E31" s="4"/>
      <c r="F31" s="5"/>
      <c r="G31" s="4"/>
      <c r="H31" s="45"/>
      <c r="I31" s="15">
        <f t="shared" si="2"/>
        <v>0</v>
      </c>
      <c r="K31" s="10"/>
      <c r="L31" s="15"/>
      <c r="M31" s="29"/>
      <c r="N31" s="27"/>
      <c r="P31" s="10"/>
      <c r="Q31" s="15"/>
      <c r="R31" s="36"/>
      <c r="S31" s="27">
        <f t="shared" si="6"/>
        <v>0</v>
      </c>
      <c r="V31" s="10"/>
      <c r="W31" s="12"/>
      <c r="X31" s="12"/>
      <c r="AA31" s="10"/>
      <c r="AB31" s="12"/>
      <c r="AC31" s="12"/>
      <c r="AF31" s="10"/>
      <c r="AG31" s="12"/>
      <c r="AH31" s="12"/>
      <c r="AK31" s="10"/>
      <c r="AL31" s="12"/>
      <c r="AM31" s="12"/>
    </row>
    <row r="32" spans="2:39" x14ac:dyDescent="0.3">
      <c r="E32" s="6" t="s">
        <v>22</v>
      </c>
      <c r="F32" s="5"/>
      <c r="G32" s="4"/>
      <c r="H32" s="45"/>
      <c r="I32" s="15">
        <f t="shared" si="2"/>
        <v>0</v>
      </c>
      <c r="K32" s="10"/>
      <c r="L32" s="15"/>
      <c r="M32" s="29"/>
      <c r="N32" s="27"/>
      <c r="P32" s="10"/>
      <c r="Q32" s="15"/>
      <c r="R32" s="36"/>
      <c r="S32" s="27">
        <f t="shared" si="6"/>
        <v>0</v>
      </c>
      <c r="V32" s="10"/>
      <c r="W32" s="12"/>
      <c r="X32" s="12"/>
      <c r="AA32" s="10"/>
      <c r="AB32" s="12"/>
      <c r="AC32" s="12"/>
      <c r="AF32" s="10"/>
      <c r="AG32" s="12"/>
      <c r="AH32" s="12"/>
      <c r="AK32" s="10"/>
      <c r="AL32" s="12"/>
      <c r="AM32" s="12"/>
    </row>
    <row r="33" spans="2:39" x14ac:dyDescent="0.3">
      <c r="E33" s="7">
        <v>471</v>
      </c>
      <c r="F33" s="5"/>
      <c r="G33" s="4" t="s">
        <v>8</v>
      </c>
      <c r="H33" s="45">
        <f>45.7+22.2</f>
        <v>67.900000000000006</v>
      </c>
      <c r="I33" s="12">
        <f t="shared" si="2"/>
        <v>67900000</v>
      </c>
      <c r="K33" s="25">
        <v>1.80065238964261E-2</v>
      </c>
      <c r="L33" s="12">
        <f t="shared" ref="L33:L49" si="46">I33*K33</f>
        <v>1222642.9725673322</v>
      </c>
      <c r="M33" s="27">
        <v>1.2</v>
      </c>
      <c r="N33" s="27">
        <f t="shared" si="4"/>
        <v>0</v>
      </c>
      <c r="P33" s="11">
        <v>1.6799999999999999E-2</v>
      </c>
      <c r="Q33" s="12">
        <f t="shared" ref="Q33:Q49" si="47">I33*P33</f>
        <v>1140720</v>
      </c>
      <c r="R33" s="27">
        <v>1.1000000000000001</v>
      </c>
      <c r="S33" s="27">
        <f t="shared" si="6"/>
        <v>0</v>
      </c>
      <c r="V33" s="11">
        <f>P33</f>
        <v>1.6799999999999999E-2</v>
      </c>
      <c r="W33" s="12">
        <f t="shared" si="8"/>
        <v>1140720</v>
      </c>
      <c r="X33" s="12">
        <f t="shared" ref="X33:X49" si="48">W33-Q33</f>
        <v>0</v>
      </c>
      <c r="AA33" s="11">
        <f t="shared" ref="AA33:AA39" si="49">V33</f>
        <v>1.6799999999999999E-2</v>
      </c>
      <c r="AB33" s="12">
        <f t="shared" ref="AB33:AB38" si="50">I33*AA33</f>
        <v>1140720</v>
      </c>
      <c r="AC33" s="12">
        <f t="shared" ref="AC33:AC49" si="51">AB33-W33</f>
        <v>0</v>
      </c>
      <c r="AF33" s="11">
        <f t="shared" ref="AF33:AF39" si="52">P33</f>
        <v>1.6799999999999999E-2</v>
      </c>
      <c r="AG33" s="12">
        <f t="shared" ref="AG33:AG49" si="53">I33*AF33</f>
        <v>1140720</v>
      </c>
      <c r="AH33" s="12">
        <f t="shared" ref="AH33:AH49" si="54">AG33-Q33</f>
        <v>0</v>
      </c>
      <c r="AK33" s="11">
        <f t="shared" ref="AK33:AK39" si="55">P33</f>
        <v>1.6799999999999999E-2</v>
      </c>
      <c r="AL33" s="12">
        <f t="shared" ref="AL33:AL38" si="56">I33*AK33</f>
        <v>1140720</v>
      </c>
      <c r="AM33" s="12">
        <f t="shared" ref="AM33:AM49" si="57">AL33-Q33</f>
        <v>0</v>
      </c>
    </row>
    <row r="34" spans="2:39" x14ac:dyDescent="0.3">
      <c r="E34" s="7">
        <v>472</v>
      </c>
      <c r="F34" s="5" t="s">
        <v>23</v>
      </c>
      <c r="G34" s="4" t="s">
        <v>24</v>
      </c>
      <c r="H34" s="45">
        <f>110.1+148.7</f>
        <v>258.79999999999995</v>
      </c>
      <c r="I34" s="12">
        <f t="shared" si="2"/>
        <v>258799999.99999994</v>
      </c>
      <c r="K34" s="25">
        <v>3.1723064613329702E-2</v>
      </c>
      <c r="L34" s="12">
        <f t="shared" si="46"/>
        <v>8209929.1219297247</v>
      </c>
      <c r="M34" s="27">
        <v>7</v>
      </c>
      <c r="N34" s="27">
        <f t="shared" si="4"/>
        <v>1.1999999999999993</v>
      </c>
      <c r="P34" s="11">
        <v>2.3400000000000001E-2</v>
      </c>
      <c r="Q34" s="12">
        <f t="shared" si="47"/>
        <v>6055919.9999999991</v>
      </c>
      <c r="R34" s="27">
        <v>6.3</v>
      </c>
      <c r="S34" s="27">
        <f t="shared" si="6"/>
        <v>-0.20000000000000018</v>
      </c>
      <c r="V34" s="11">
        <f t="shared" ref="V34:V43" si="58">P34</f>
        <v>2.3400000000000001E-2</v>
      </c>
      <c r="W34" s="12">
        <f t="shared" si="8"/>
        <v>6055919.9999999991</v>
      </c>
      <c r="X34" s="12">
        <f t="shared" si="48"/>
        <v>0</v>
      </c>
      <c r="AA34" s="11">
        <f t="shared" si="49"/>
        <v>2.3400000000000001E-2</v>
      </c>
      <c r="AB34" s="12">
        <f t="shared" si="50"/>
        <v>6055919.9999999991</v>
      </c>
      <c r="AC34" s="12">
        <f t="shared" si="51"/>
        <v>0</v>
      </c>
      <c r="AF34" s="11">
        <f t="shared" si="52"/>
        <v>2.3400000000000001E-2</v>
      </c>
      <c r="AG34" s="12">
        <f t="shared" si="53"/>
        <v>6055919.9999999991</v>
      </c>
      <c r="AH34" s="12">
        <f t="shared" si="54"/>
        <v>0</v>
      </c>
      <c r="AK34" s="11">
        <f t="shared" si="55"/>
        <v>2.3400000000000001E-2</v>
      </c>
      <c r="AL34" s="12">
        <f t="shared" si="56"/>
        <v>6055919.9999999991</v>
      </c>
      <c r="AM34" s="12">
        <f t="shared" si="57"/>
        <v>0</v>
      </c>
    </row>
    <row r="35" spans="2:39" x14ac:dyDescent="0.3">
      <c r="E35" s="7">
        <v>472.31</v>
      </c>
      <c r="F35" s="5"/>
      <c r="G35" s="4" t="s">
        <v>25</v>
      </c>
      <c r="H35" s="45">
        <v>33.5</v>
      </c>
      <c r="I35" s="12">
        <f t="shared" si="2"/>
        <v>33500000</v>
      </c>
      <c r="K35" s="25">
        <v>4.4684204362702998E-2</v>
      </c>
      <c r="L35" s="12">
        <f t="shared" si="46"/>
        <v>1496920.8461505505</v>
      </c>
      <c r="M35" s="27">
        <v>1.5</v>
      </c>
      <c r="N35" s="27">
        <f t="shared" si="4"/>
        <v>0</v>
      </c>
      <c r="P35" s="11">
        <v>3.9800000000000002E-2</v>
      </c>
      <c r="Q35" s="12">
        <f t="shared" si="47"/>
        <v>1333300</v>
      </c>
      <c r="R35" s="27">
        <v>1.3</v>
      </c>
      <c r="S35" s="27">
        <f t="shared" si="6"/>
        <v>0</v>
      </c>
      <c r="V35" s="11">
        <f t="shared" si="58"/>
        <v>3.9800000000000002E-2</v>
      </c>
      <c r="W35" s="12">
        <f t="shared" si="8"/>
        <v>1333300</v>
      </c>
      <c r="X35" s="12">
        <f t="shared" si="48"/>
        <v>0</v>
      </c>
      <c r="AA35" s="11">
        <f t="shared" si="49"/>
        <v>3.9800000000000002E-2</v>
      </c>
      <c r="AB35" s="12">
        <f t="shared" si="50"/>
        <v>1333300</v>
      </c>
      <c r="AC35" s="12">
        <f t="shared" si="51"/>
        <v>0</v>
      </c>
      <c r="AF35" s="11">
        <f t="shared" si="52"/>
        <v>3.9800000000000002E-2</v>
      </c>
      <c r="AG35" s="12">
        <f t="shared" si="53"/>
        <v>1333300</v>
      </c>
      <c r="AH35" s="12">
        <f t="shared" si="54"/>
        <v>0</v>
      </c>
      <c r="AK35" s="11">
        <f t="shared" si="55"/>
        <v>3.9800000000000002E-2</v>
      </c>
      <c r="AL35" s="12">
        <f t="shared" si="56"/>
        <v>1333300</v>
      </c>
      <c r="AM35" s="12">
        <f t="shared" si="57"/>
        <v>0</v>
      </c>
    </row>
    <row r="36" spans="2:39" x14ac:dyDescent="0.3">
      <c r="E36" s="7">
        <v>472.32</v>
      </c>
      <c r="F36" s="5"/>
      <c r="G36" s="4" t="s">
        <v>26</v>
      </c>
      <c r="H36" s="45">
        <v>26.2</v>
      </c>
      <c r="I36" s="12">
        <f t="shared" si="2"/>
        <v>26200000</v>
      </c>
      <c r="K36" s="25">
        <v>4.2716733254076801E-2</v>
      </c>
      <c r="L36" s="12">
        <f t="shared" si="46"/>
        <v>1119178.4112568123</v>
      </c>
      <c r="M36" s="27">
        <v>1.1000000000000001</v>
      </c>
      <c r="N36" s="27">
        <f t="shared" si="4"/>
        <v>0</v>
      </c>
      <c r="P36" s="11">
        <v>3.8100000000000002E-2</v>
      </c>
      <c r="Q36" s="12">
        <f t="shared" si="47"/>
        <v>998220</v>
      </c>
      <c r="R36" s="27">
        <v>1</v>
      </c>
      <c r="S36" s="27">
        <f t="shared" si="6"/>
        <v>0</v>
      </c>
      <c r="V36" s="11">
        <f t="shared" si="58"/>
        <v>3.8100000000000002E-2</v>
      </c>
      <c r="W36" s="12">
        <f t="shared" si="8"/>
        <v>998220</v>
      </c>
      <c r="X36" s="12">
        <f t="shared" si="48"/>
        <v>0</v>
      </c>
      <c r="AA36" s="11">
        <f t="shared" si="49"/>
        <v>3.8100000000000002E-2</v>
      </c>
      <c r="AB36" s="12">
        <f t="shared" si="50"/>
        <v>998220</v>
      </c>
      <c r="AC36" s="12">
        <f t="shared" si="51"/>
        <v>0</v>
      </c>
      <c r="AF36" s="11">
        <f t="shared" si="52"/>
        <v>3.8100000000000002E-2</v>
      </c>
      <c r="AG36" s="12">
        <f t="shared" si="53"/>
        <v>998220</v>
      </c>
      <c r="AH36" s="12">
        <f t="shared" si="54"/>
        <v>0</v>
      </c>
      <c r="AK36" s="11">
        <f t="shared" si="55"/>
        <v>3.8100000000000002E-2</v>
      </c>
      <c r="AL36" s="12">
        <f t="shared" si="56"/>
        <v>998220</v>
      </c>
      <c r="AM36" s="12">
        <f t="shared" si="57"/>
        <v>0</v>
      </c>
    </row>
    <row r="37" spans="2:39" x14ac:dyDescent="0.3">
      <c r="E37" s="7">
        <v>472.33</v>
      </c>
      <c r="F37" s="5"/>
      <c r="G37" s="4" t="s">
        <v>27</v>
      </c>
      <c r="H37" s="45">
        <v>22.4</v>
      </c>
      <c r="I37" s="12">
        <f t="shared" si="2"/>
        <v>22400000</v>
      </c>
      <c r="K37" s="25">
        <v>0.119525250565616</v>
      </c>
      <c r="L37" s="12">
        <f t="shared" si="46"/>
        <v>2677365.6126697985</v>
      </c>
      <c r="M37" s="27">
        <v>2.7</v>
      </c>
      <c r="N37" s="27">
        <f t="shared" si="4"/>
        <v>0</v>
      </c>
      <c r="P37" s="11">
        <v>0.11890000000000001</v>
      </c>
      <c r="Q37" s="12">
        <f t="shared" si="47"/>
        <v>2663360</v>
      </c>
      <c r="R37" s="27">
        <v>2.7</v>
      </c>
      <c r="S37" s="27">
        <f t="shared" si="6"/>
        <v>0</v>
      </c>
      <c r="V37" s="11">
        <f t="shared" si="58"/>
        <v>0.11890000000000001</v>
      </c>
      <c r="W37" s="12">
        <f t="shared" si="8"/>
        <v>2663360</v>
      </c>
      <c r="X37" s="12">
        <f t="shared" si="48"/>
        <v>0</v>
      </c>
      <c r="AA37" s="11">
        <f t="shared" si="49"/>
        <v>0.11890000000000001</v>
      </c>
      <c r="AB37" s="12">
        <f t="shared" si="50"/>
        <v>2663360</v>
      </c>
      <c r="AC37" s="12">
        <f t="shared" si="51"/>
        <v>0</v>
      </c>
      <c r="AF37" s="11">
        <f t="shared" si="52"/>
        <v>0.11890000000000001</v>
      </c>
      <c r="AG37" s="12">
        <f t="shared" si="53"/>
        <v>2663360</v>
      </c>
      <c r="AH37" s="12">
        <f t="shared" si="54"/>
        <v>0</v>
      </c>
      <c r="AK37" s="11">
        <f t="shared" si="55"/>
        <v>0.11890000000000001</v>
      </c>
      <c r="AL37" s="12">
        <f t="shared" si="56"/>
        <v>2663360</v>
      </c>
      <c r="AM37" s="12">
        <f t="shared" si="57"/>
        <v>0</v>
      </c>
    </row>
    <row r="38" spans="2:39" x14ac:dyDescent="0.3">
      <c r="E38" s="7">
        <v>472.34</v>
      </c>
      <c r="F38" s="5"/>
      <c r="G38" s="4" t="s">
        <v>28</v>
      </c>
      <c r="H38" s="45">
        <v>18.899999999999999</v>
      </c>
      <c r="I38" s="12">
        <f t="shared" si="2"/>
        <v>18900000</v>
      </c>
      <c r="K38" s="25">
        <v>4.21006603408422E-2</v>
      </c>
      <c r="L38" s="12">
        <f t="shared" si="46"/>
        <v>795702.48044191755</v>
      </c>
      <c r="M38" s="27">
        <v>0.8</v>
      </c>
      <c r="N38" s="27">
        <f t="shared" si="4"/>
        <v>0</v>
      </c>
      <c r="P38" s="11">
        <v>3.7600000000000001E-2</v>
      </c>
      <c r="Q38" s="12">
        <f t="shared" si="47"/>
        <v>710640</v>
      </c>
      <c r="R38" s="27">
        <v>0.7</v>
      </c>
      <c r="S38" s="27">
        <f t="shared" si="6"/>
        <v>0</v>
      </c>
      <c r="V38" s="11">
        <f t="shared" si="58"/>
        <v>3.7600000000000001E-2</v>
      </c>
      <c r="W38" s="12">
        <f t="shared" si="8"/>
        <v>710640</v>
      </c>
      <c r="X38" s="12">
        <f t="shared" si="48"/>
        <v>0</v>
      </c>
      <c r="AA38" s="11">
        <f t="shared" si="49"/>
        <v>3.7600000000000001E-2</v>
      </c>
      <c r="AB38" s="12">
        <f t="shared" si="50"/>
        <v>710640</v>
      </c>
      <c r="AC38" s="12">
        <f t="shared" si="51"/>
        <v>0</v>
      </c>
      <c r="AF38" s="11">
        <f t="shared" si="52"/>
        <v>3.7600000000000001E-2</v>
      </c>
      <c r="AG38" s="12">
        <f t="shared" si="53"/>
        <v>710640</v>
      </c>
      <c r="AH38" s="12">
        <f t="shared" si="54"/>
        <v>0</v>
      </c>
      <c r="AK38" s="11">
        <f t="shared" si="55"/>
        <v>3.7600000000000001E-2</v>
      </c>
      <c r="AL38" s="12">
        <f t="shared" si="56"/>
        <v>710640</v>
      </c>
      <c r="AM38" s="12">
        <f t="shared" si="57"/>
        <v>0</v>
      </c>
    </row>
    <row r="39" spans="2:39" x14ac:dyDescent="0.3">
      <c r="E39" s="7">
        <v>472.34999999999997</v>
      </c>
      <c r="F39" s="5"/>
      <c r="G39" s="4" t="s">
        <v>29</v>
      </c>
      <c r="H39" s="45">
        <v>9</v>
      </c>
      <c r="I39" s="12">
        <f t="shared" si="2"/>
        <v>9000000</v>
      </c>
      <c r="K39" s="25">
        <v>0.50480000000000003</v>
      </c>
      <c r="L39" s="26">
        <v>9100000</v>
      </c>
      <c r="M39" s="31">
        <v>9.1</v>
      </c>
      <c r="N39" s="27">
        <f t="shared" si="4"/>
        <v>0</v>
      </c>
      <c r="P39" s="11">
        <v>0.50460000000000005</v>
      </c>
      <c r="Q39" s="26">
        <f>L39</f>
        <v>9100000</v>
      </c>
      <c r="R39" s="27">
        <v>9.1</v>
      </c>
      <c r="S39" s="27">
        <f t="shared" si="6"/>
        <v>0</v>
      </c>
      <c r="V39" s="11">
        <f t="shared" si="58"/>
        <v>0.50460000000000005</v>
      </c>
      <c r="W39" s="26">
        <f>L39</f>
        <v>9100000</v>
      </c>
      <c r="X39" s="12">
        <f t="shared" si="48"/>
        <v>0</v>
      </c>
      <c r="AA39" s="11">
        <f t="shared" si="49"/>
        <v>0.50460000000000005</v>
      </c>
      <c r="AB39" s="12">
        <f>W39</f>
        <v>9100000</v>
      </c>
      <c r="AC39" s="12">
        <f t="shared" si="51"/>
        <v>0</v>
      </c>
      <c r="AF39" s="11">
        <f t="shared" si="52"/>
        <v>0.50460000000000005</v>
      </c>
      <c r="AG39" s="12">
        <f t="shared" ref="AG39" si="59">AB39</f>
        <v>9100000</v>
      </c>
      <c r="AH39" s="12">
        <f t="shared" si="54"/>
        <v>0</v>
      </c>
      <c r="AK39" s="11">
        <f t="shared" si="55"/>
        <v>0.50460000000000005</v>
      </c>
      <c r="AL39" s="12">
        <f>AG39</f>
        <v>9100000</v>
      </c>
      <c r="AM39" s="12">
        <f t="shared" si="57"/>
        <v>0</v>
      </c>
    </row>
    <row r="40" spans="2:39" x14ac:dyDescent="0.3">
      <c r="B40" s="43">
        <v>-0.32</v>
      </c>
      <c r="C40" s="43">
        <v>-0.5</v>
      </c>
      <c r="D40" s="43"/>
      <c r="E40" s="7">
        <v>473.01</v>
      </c>
      <c r="F40" s="5"/>
      <c r="G40" s="8" t="s">
        <v>30</v>
      </c>
      <c r="H40" s="45">
        <f>320.6+290.8</f>
        <v>611.40000000000009</v>
      </c>
      <c r="I40" s="12">
        <f t="shared" si="2"/>
        <v>611400000.00000012</v>
      </c>
      <c r="K40" s="25">
        <v>3.6299999999999999E-2</v>
      </c>
      <c r="L40" s="12">
        <f t="shared" si="46"/>
        <v>22193820.000000004</v>
      </c>
      <c r="M40" s="27">
        <v>22</v>
      </c>
      <c r="N40" s="27">
        <f t="shared" si="4"/>
        <v>0.19999999999999929</v>
      </c>
      <c r="P40" s="11">
        <v>2.8799999999999999E-2</v>
      </c>
      <c r="Q40" s="12">
        <f t="shared" si="47"/>
        <v>17608320.000000004</v>
      </c>
      <c r="R40" s="27">
        <v>17.5</v>
      </c>
      <c r="S40" s="27">
        <f t="shared" si="6"/>
        <v>0.10000000000000142</v>
      </c>
      <c r="V40" s="11">
        <f t="shared" si="58"/>
        <v>2.8799999999999999E-2</v>
      </c>
      <c r="W40" s="12">
        <f t="shared" si="8"/>
        <v>17608320.000000004</v>
      </c>
      <c r="X40" s="12">
        <f t="shared" si="48"/>
        <v>0</v>
      </c>
      <c r="Z40" t="s">
        <v>76</v>
      </c>
      <c r="AA40" s="11">
        <f t="shared" ref="AA40:AA41" si="60">AB40/I40</f>
        <v>3.0373856904550169E-2</v>
      </c>
      <c r="AB40" s="12">
        <f>W40/(1-B40)+[2]Summary!D18</f>
        <v>18570576.111441977</v>
      </c>
      <c r="AC40" s="12">
        <f t="shared" si="51"/>
        <v>962256.1114419736</v>
      </c>
      <c r="AE40" t="s">
        <v>76</v>
      </c>
      <c r="AF40" s="11">
        <f t="shared" ref="AF40:AF41" si="61">AA40</f>
        <v>3.0373856904550169E-2</v>
      </c>
      <c r="AG40" s="12">
        <f t="shared" si="53"/>
        <v>18570576.111441977</v>
      </c>
      <c r="AH40" s="12">
        <f t="shared" si="54"/>
        <v>962256.1114419736</v>
      </c>
      <c r="AK40" s="11">
        <f>AL40/I40</f>
        <v>3.2727272727272723E-2</v>
      </c>
      <c r="AL40" s="12">
        <f>W40/(1-B40)*(1-C40)</f>
        <v>20009454.545454547</v>
      </c>
      <c r="AM40" s="12">
        <f t="shared" si="57"/>
        <v>2401134.5454545431</v>
      </c>
    </row>
    <row r="41" spans="2:39" x14ac:dyDescent="0.3">
      <c r="B41" s="43">
        <v>-0.26</v>
      </c>
      <c r="C41" s="43">
        <v>-0.4</v>
      </c>
      <c r="D41" s="43"/>
      <c r="E41" s="7">
        <v>473.02</v>
      </c>
      <c r="F41" s="5"/>
      <c r="G41" s="4" t="s">
        <v>31</v>
      </c>
      <c r="H41" s="45">
        <f>3180.6+1855.6</f>
        <v>5036.2</v>
      </c>
      <c r="I41" s="12">
        <f t="shared" si="2"/>
        <v>5036200000</v>
      </c>
      <c r="K41" s="25">
        <v>2.7264143684661599E-2</v>
      </c>
      <c r="L41" s="12">
        <f t="shared" si="46"/>
        <v>137307680.42469275</v>
      </c>
      <c r="M41" s="27">
        <v>136.30000000000001</v>
      </c>
      <c r="N41" s="27">
        <f t="shared" si="4"/>
        <v>1</v>
      </c>
      <c r="P41" s="11">
        <v>2.47E-2</v>
      </c>
      <c r="Q41" s="12">
        <f t="shared" si="47"/>
        <v>124394140</v>
      </c>
      <c r="R41" s="27">
        <v>123.6</v>
      </c>
      <c r="S41" s="27">
        <f t="shared" si="6"/>
        <v>0.80000000000001137</v>
      </c>
      <c r="V41" s="11">
        <f t="shared" si="58"/>
        <v>2.47E-2</v>
      </c>
      <c r="W41" s="12">
        <f t="shared" si="8"/>
        <v>124394140</v>
      </c>
      <c r="X41" s="12">
        <f t="shared" si="48"/>
        <v>0</v>
      </c>
      <c r="Z41" s="22" t="s">
        <v>80</v>
      </c>
      <c r="AA41" s="11">
        <f t="shared" si="60"/>
        <v>2.4026424734705985E-2</v>
      </c>
      <c r="AB41" s="12">
        <f>W41/(1-B41)+[2]Summary!D19</f>
        <v>121001880.24892628</v>
      </c>
      <c r="AC41" s="12">
        <f t="shared" si="51"/>
        <v>-3392259.7510737181</v>
      </c>
      <c r="AE41" s="22" t="s">
        <v>80</v>
      </c>
      <c r="AF41" s="11">
        <f t="shared" si="61"/>
        <v>2.4026424734705985E-2</v>
      </c>
      <c r="AG41" s="12">
        <f t="shared" si="53"/>
        <v>121001880.24892628</v>
      </c>
      <c r="AH41" s="12">
        <f t="shared" si="54"/>
        <v>-3392259.7510737181</v>
      </c>
      <c r="AJ41" s="22" t="s">
        <v>94</v>
      </c>
      <c r="AK41" s="11">
        <f>AL41/I41</f>
        <v>2.7444444444444441E-2</v>
      </c>
      <c r="AL41" s="12">
        <f>W41/(1-B41)*(1-C41)</f>
        <v>138215711.1111111</v>
      </c>
      <c r="AM41" s="12">
        <f t="shared" si="57"/>
        <v>13821571.111111104</v>
      </c>
    </row>
    <row r="42" spans="2:39" x14ac:dyDescent="0.3">
      <c r="E42" s="7">
        <v>474</v>
      </c>
      <c r="F42" s="5"/>
      <c r="G42" s="4" t="s">
        <v>32</v>
      </c>
      <c r="H42" s="45">
        <f>315.9+192.5</f>
        <v>508.4</v>
      </c>
      <c r="I42" s="12">
        <f t="shared" si="2"/>
        <v>508400000</v>
      </c>
      <c r="K42" s="25">
        <v>8.8632351101877296E-2</v>
      </c>
      <c r="L42" s="12">
        <f t="shared" si="46"/>
        <v>45060687.30019442</v>
      </c>
      <c r="M42" s="27">
        <v>44.7</v>
      </c>
      <c r="N42" s="27">
        <f t="shared" si="4"/>
        <v>0.39999999999999858</v>
      </c>
      <c r="P42" s="11">
        <v>8.8599999999999998E-2</v>
      </c>
      <c r="Q42" s="12">
        <f t="shared" si="47"/>
        <v>45044240</v>
      </c>
      <c r="R42" s="27">
        <v>44.7</v>
      </c>
      <c r="S42" s="27">
        <f t="shared" si="6"/>
        <v>0.29999999999999716</v>
      </c>
      <c r="V42" s="11">
        <f t="shared" si="58"/>
        <v>8.8599999999999998E-2</v>
      </c>
      <c r="W42" s="12">
        <f t="shared" si="8"/>
        <v>45044240</v>
      </c>
      <c r="X42" s="12">
        <f t="shared" si="48"/>
        <v>0</v>
      </c>
      <c r="AA42" s="11">
        <f t="shared" ref="AA42:AA43" si="62">V42</f>
        <v>8.8599999999999998E-2</v>
      </c>
      <c r="AB42" s="12">
        <f t="shared" ref="AB42:AB43" si="63">I42*AA42</f>
        <v>45044240</v>
      </c>
      <c r="AC42" s="12">
        <f t="shared" si="51"/>
        <v>0</v>
      </c>
      <c r="AF42" s="11">
        <f t="shared" ref="AF42:AF43" si="64">P42</f>
        <v>8.8599999999999998E-2</v>
      </c>
      <c r="AG42" s="12">
        <f t="shared" si="53"/>
        <v>45044240</v>
      </c>
      <c r="AH42" s="12">
        <f t="shared" si="54"/>
        <v>0</v>
      </c>
      <c r="AK42" s="11">
        <f>P42</f>
        <v>8.8599999999999998E-2</v>
      </c>
      <c r="AL42" s="12">
        <f t="shared" ref="AL42:AL43" si="65">I42*AK42</f>
        <v>45044240</v>
      </c>
      <c r="AM42" s="12">
        <f t="shared" si="57"/>
        <v>0</v>
      </c>
    </row>
    <row r="43" spans="2:39" x14ac:dyDescent="0.3">
      <c r="E43" s="7">
        <v>475</v>
      </c>
      <c r="F43" s="5"/>
      <c r="G43" s="4" t="s">
        <v>33</v>
      </c>
      <c r="H43" s="45">
        <v>222.2</v>
      </c>
      <c r="I43" s="12">
        <f t="shared" si="2"/>
        <v>222200000</v>
      </c>
      <c r="K43" s="25">
        <v>5.7757524558959501E-2</v>
      </c>
      <c r="L43" s="12">
        <f t="shared" si="46"/>
        <v>12833721.957000801</v>
      </c>
      <c r="M43" s="27">
        <v>12.6</v>
      </c>
      <c r="N43" s="27">
        <f t="shared" si="4"/>
        <v>0.20000000000000107</v>
      </c>
      <c r="P43" s="11">
        <v>5.7799999999999997E-2</v>
      </c>
      <c r="Q43" s="12">
        <f t="shared" si="47"/>
        <v>12843160</v>
      </c>
      <c r="R43" s="27">
        <v>12.6</v>
      </c>
      <c r="S43" s="27">
        <f t="shared" si="6"/>
        <v>0.20000000000000107</v>
      </c>
      <c r="V43" s="11">
        <f t="shared" si="58"/>
        <v>5.7799999999999997E-2</v>
      </c>
      <c r="W43" s="12">
        <f t="shared" si="8"/>
        <v>12843160</v>
      </c>
      <c r="X43" s="12">
        <f t="shared" si="48"/>
        <v>0</v>
      </c>
      <c r="AA43" s="11">
        <f t="shared" si="62"/>
        <v>5.7799999999999997E-2</v>
      </c>
      <c r="AB43" s="12">
        <f t="shared" si="63"/>
        <v>12843160</v>
      </c>
      <c r="AC43" s="12">
        <f t="shared" si="51"/>
        <v>0</v>
      </c>
      <c r="AF43" s="11">
        <f t="shared" si="64"/>
        <v>5.7799999999999997E-2</v>
      </c>
      <c r="AG43" s="12">
        <f t="shared" si="53"/>
        <v>12843160</v>
      </c>
      <c r="AH43" s="12">
        <f t="shared" si="54"/>
        <v>0</v>
      </c>
      <c r="AK43" s="11">
        <f>P43</f>
        <v>5.7799999999999997E-2</v>
      </c>
      <c r="AL43" s="12">
        <f t="shared" si="65"/>
        <v>12843160</v>
      </c>
      <c r="AM43" s="12">
        <f t="shared" si="57"/>
        <v>0</v>
      </c>
    </row>
    <row r="44" spans="2:39" x14ac:dyDescent="0.3">
      <c r="B44" s="43">
        <v>-0.42</v>
      </c>
      <c r="C44" s="43">
        <v>-0.4</v>
      </c>
      <c r="D44" s="43"/>
      <c r="E44" s="7">
        <v>475.21</v>
      </c>
      <c r="F44" s="5"/>
      <c r="G44" s="4" t="s">
        <v>34</v>
      </c>
      <c r="H44" s="45">
        <f>2163.5+1845.3</f>
        <v>4008.8</v>
      </c>
      <c r="I44" s="12">
        <f t="shared" si="2"/>
        <v>4008800000</v>
      </c>
      <c r="K44" s="25">
        <v>3.3805909345000898E-2</v>
      </c>
      <c r="L44" s="12">
        <f t="shared" si="46"/>
        <v>135521129.38223961</v>
      </c>
      <c r="M44" s="27">
        <v>134.69999999999999</v>
      </c>
      <c r="N44" s="27">
        <f t="shared" si="4"/>
        <v>0.80000000000001137</v>
      </c>
      <c r="P44" s="23">
        <v>2.9499999999999998E-2</v>
      </c>
      <c r="Q44" s="12">
        <f t="shared" si="47"/>
        <v>118259600</v>
      </c>
      <c r="R44" s="27">
        <v>117.5</v>
      </c>
      <c r="S44" s="27">
        <f t="shared" si="6"/>
        <v>0.79999999999999716</v>
      </c>
      <c r="U44" t="s">
        <v>73</v>
      </c>
      <c r="V44" s="11">
        <f>'[1]61-R3 Acc 475.21 ASL'!$H$141</f>
        <v>2.4706804572597118E-2</v>
      </c>
      <c r="W44" s="12">
        <f t="shared" si="8"/>
        <v>99044638.170627326</v>
      </c>
      <c r="X44" s="12">
        <f t="shared" si="48"/>
        <v>-19214961.829372674</v>
      </c>
      <c r="Z44" s="22" t="s">
        <v>80</v>
      </c>
      <c r="AA44" s="11">
        <f t="shared" ref="AA44:AA47" si="66">AB44/I44</f>
        <v>2.0902918163021041E-2</v>
      </c>
      <c r="AB44" s="12">
        <f>W44/(1-B44)+[2]Summary!D20</f>
        <v>83795618.331918746</v>
      </c>
      <c r="AC44" s="12">
        <f t="shared" si="51"/>
        <v>-15249019.83870858</v>
      </c>
      <c r="AE44" t="s">
        <v>87</v>
      </c>
      <c r="AF44" s="11">
        <f t="shared" ref="AF44:AF45" si="67">AA44</f>
        <v>2.0902918163021041E-2</v>
      </c>
      <c r="AG44" s="12">
        <f t="shared" si="53"/>
        <v>83795618.331918746</v>
      </c>
      <c r="AH44" s="12">
        <f t="shared" si="54"/>
        <v>-34463981.668081254</v>
      </c>
      <c r="AJ44" t="s">
        <v>95</v>
      </c>
      <c r="AK44" s="11">
        <f>AL44/I44</f>
        <v>2.4358821409602792E-2</v>
      </c>
      <c r="AL44" s="12">
        <f>W44/(1-B44)*(1-C44)</f>
        <v>97649643.266815677</v>
      </c>
      <c r="AM44" s="12">
        <f t="shared" si="57"/>
        <v>-20609956.733184323</v>
      </c>
    </row>
    <row r="45" spans="2:39" x14ac:dyDescent="0.3">
      <c r="B45" s="43">
        <v>-0.38</v>
      </c>
      <c r="C45" s="43">
        <v>-0.25</v>
      </c>
      <c r="D45" s="43"/>
      <c r="E45" s="7">
        <v>475.3</v>
      </c>
      <c r="F45" s="5"/>
      <c r="G45" s="4" t="s">
        <v>35</v>
      </c>
      <c r="H45" s="45">
        <f>2738+1101.1</f>
        <v>3839.1</v>
      </c>
      <c r="I45" s="12">
        <f t="shared" si="2"/>
        <v>3839100000</v>
      </c>
      <c r="K45" s="25">
        <v>2.7172318094920701E-2</v>
      </c>
      <c r="L45" s="12">
        <f t="shared" si="46"/>
        <v>104317246.39821006</v>
      </c>
      <c r="M45" s="27">
        <v>103.5</v>
      </c>
      <c r="N45" s="27">
        <f t="shared" si="4"/>
        <v>0.79999999999999716</v>
      </c>
      <c r="P45" s="11">
        <v>2.52E-2</v>
      </c>
      <c r="Q45" s="12">
        <f t="shared" si="47"/>
        <v>96745320</v>
      </c>
      <c r="R45" s="27">
        <v>96.1</v>
      </c>
      <c r="S45" s="27">
        <f t="shared" si="6"/>
        <v>0.60000000000000853</v>
      </c>
      <c r="U45" t="s">
        <v>74</v>
      </c>
      <c r="V45" s="11">
        <f>'[1]65-R3 Acc 475.30 ASL'!$H$135</f>
        <v>2.2122687517052538E-2</v>
      </c>
      <c r="W45" s="12">
        <f t="shared" si="8"/>
        <v>84931209.646716401</v>
      </c>
      <c r="X45" s="12">
        <f t="shared" si="48"/>
        <v>-11814110.353283599</v>
      </c>
      <c r="Z45" s="22" t="s">
        <v>81</v>
      </c>
      <c r="AA45" s="11">
        <f t="shared" si="66"/>
        <v>1.7788137404948216E-2</v>
      </c>
      <c r="AB45" s="12">
        <f>W45/(1-B45)+[2]Summary!D21</f>
        <v>68290438.311336696</v>
      </c>
      <c r="AC45" s="12">
        <f t="shared" si="51"/>
        <v>-16640771.335379705</v>
      </c>
      <c r="AE45" t="s">
        <v>88</v>
      </c>
      <c r="AF45" s="11">
        <f t="shared" si="67"/>
        <v>1.7788137404948216E-2</v>
      </c>
      <c r="AG45" s="12">
        <f t="shared" si="53"/>
        <v>68290438.311336696</v>
      </c>
      <c r="AH45" s="12">
        <f t="shared" si="54"/>
        <v>-28454881.688663304</v>
      </c>
      <c r="AJ45" t="s">
        <v>96</v>
      </c>
      <c r="AK45" s="11">
        <f>AL45/I45</f>
        <v>2.0038666229214259E-2</v>
      </c>
      <c r="AL45" s="12">
        <f>W45/(1-B45)*(1-C45)</f>
        <v>76930443.520576462</v>
      </c>
      <c r="AM45" s="12">
        <f t="shared" si="57"/>
        <v>-19814876.479423538</v>
      </c>
    </row>
    <row r="46" spans="2:39" x14ac:dyDescent="0.3">
      <c r="E46" s="7">
        <v>476</v>
      </c>
      <c r="F46" s="5"/>
      <c r="G46" s="4" t="s">
        <v>36</v>
      </c>
      <c r="H46" s="45">
        <f>6.5+6</f>
        <v>12.5</v>
      </c>
      <c r="I46" s="12">
        <f t="shared" si="2"/>
        <v>12500000</v>
      </c>
      <c r="K46" s="24">
        <v>3.6999999999999998E-2</v>
      </c>
      <c r="L46" s="12">
        <f t="shared" si="46"/>
        <v>462500</v>
      </c>
      <c r="M46" s="27">
        <v>0.5</v>
      </c>
      <c r="N46" s="27">
        <f t="shared" si="4"/>
        <v>0</v>
      </c>
      <c r="P46" s="11">
        <v>3.2899999999999999E-2</v>
      </c>
      <c r="Q46" s="12">
        <f t="shared" si="47"/>
        <v>411250</v>
      </c>
      <c r="R46" s="27">
        <v>0.4</v>
      </c>
      <c r="S46" s="27">
        <f t="shared" si="6"/>
        <v>0</v>
      </c>
      <c r="V46" s="11">
        <f>P46</f>
        <v>3.2899999999999999E-2</v>
      </c>
      <c r="W46" s="12">
        <f t="shared" si="8"/>
        <v>411250</v>
      </c>
      <c r="X46" s="12">
        <f t="shared" si="48"/>
        <v>0</v>
      </c>
      <c r="AA46" s="11">
        <f t="shared" ref="AA46" si="68">V46</f>
        <v>3.2899999999999999E-2</v>
      </c>
      <c r="AB46" s="12">
        <f t="shared" ref="AB46" si="69">I46*AA46</f>
        <v>411250</v>
      </c>
      <c r="AC46" s="12">
        <f t="shared" si="51"/>
        <v>0</v>
      </c>
      <c r="AF46" s="11">
        <f>P46</f>
        <v>3.2899999999999999E-2</v>
      </c>
      <c r="AG46" s="12">
        <f t="shared" si="53"/>
        <v>411250</v>
      </c>
      <c r="AH46" s="12">
        <f t="shared" si="54"/>
        <v>0</v>
      </c>
      <c r="AK46" s="11">
        <f>P46</f>
        <v>3.2899999999999999E-2</v>
      </c>
      <c r="AL46" s="12">
        <f t="shared" ref="AL46" si="70">I46*AK46</f>
        <v>411250</v>
      </c>
      <c r="AM46" s="12">
        <f t="shared" si="57"/>
        <v>0</v>
      </c>
    </row>
    <row r="47" spans="2:39" x14ac:dyDescent="0.3">
      <c r="B47" s="43">
        <v>-0.09</v>
      </c>
      <c r="C47" s="43">
        <v>-0.15</v>
      </c>
      <c r="D47" s="43"/>
      <c r="E47" s="7">
        <v>477</v>
      </c>
      <c r="F47" s="5"/>
      <c r="G47" s="4" t="s">
        <v>20</v>
      </c>
      <c r="H47" s="45">
        <f>802.7+329.9</f>
        <v>1132.5999999999999</v>
      </c>
      <c r="I47" s="12">
        <f t="shared" si="2"/>
        <v>1132600000</v>
      </c>
      <c r="K47" s="24">
        <v>2.8899999999999999E-2</v>
      </c>
      <c r="L47" s="12">
        <f t="shared" si="46"/>
        <v>32732140</v>
      </c>
      <c r="M47" s="27">
        <v>32.4</v>
      </c>
      <c r="N47" s="27">
        <f t="shared" si="4"/>
        <v>0.30000000000000426</v>
      </c>
      <c r="P47" s="23">
        <v>2.2599999999999999E-2</v>
      </c>
      <c r="Q47" s="12">
        <f t="shared" si="47"/>
        <v>25596760</v>
      </c>
      <c r="R47" s="27">
        <v>25.4</v>
      </c>
      <c r="S47" s="27">
        <f t="shared" si="6"/>
        <v>0.20000000000000284</v>
      </c>
      <c r="V47" s="11">
        <f t="shared" ref="V47:V49" si="71">P47</f>
        <v>2.2599999999999999E-2</v>
      </c>
      <c r="W47" s="12">
        <f t="shared" si="8"/>
        <v>25596760</v>
      </c>
      <c r="X47" s="12">
        <f t="shared" si="48"/>
        <v>0</v>
      </c>
      <c r="Z47" t="s">
        <v>76</v>
      </c>
      <c r="AA47" s="11">
        <f t="shared" si="66"/>
        <v>2.2797416350865563E-2</v>
      </c>
      <c r="AB47" s="12">
        <f>W47/(1-B47)+[2]Summary!D22</f>
        <v>25820353.758990336</v>
      </c>
      <c r="AC47" s="12">
        <f t="shared" si="51"/>
        <v>223593.75899033621</v>
      </c>
      <c r="AE47" t="s">
        <v>76</v>
      </c>
      <c r="AF47" s="11">
        <f>AA47</f>
        <v>2.2797416350865563E-2</v>
      </c>
      <c r="AG47" s="12">
        <f t="shared" si="53"/>
        <v>25820353.758990336</v>
      </c>
      <c r="AH47" s="12">
        <f t="shared" si="54"/>
        <v>223593.75899033621</v>
      </c>
      <c r="AK47" s="11">
        <f>AL47/I47</f>
        <v>2.38440366972477E-2</v>
      </c>
      <c r="AL47" s="12">
        <f>W47/(1-B47)*(1-C47)</f>
        <v>27005755.963302746</v>
      </c>
      <c r="AM47" s="12">
        <f t="shared" si="57"/>
        <v>1408995.9633027464</v>
      </c>
    </row>
    <row r="48" spans="2:39" x14ac:dyDescent="0.3">
      <c r="E48" s="7">
        <v>477.01</v>
      </c>
      <c r="F48" s="5"/>
      <c r="G48" s="4" t="s">
        <v>37</v>
      </c>
      <c r="H48" s="45">
        <v>174.4</v>
      </c>
      <c r="I48" s="12">
        <f t="shared" si="2"/>
        <v>174400000</v>
      </c>
      <c r="K48" s="24">
        <v>3.3399999999999999E-2</v>
      </c>
      <c r="L48" s="12">
        <f t="shared" si="46"/>
        <v>5824960</v>
      </c>
      <c r="M48" s="27">
        <v>5.7</v>
      </c>
      <c r="N48" s="27">
        <f t="shared" si="4"/>
        <v>9.9999999999999645E-2</v>
      </c>
      <c r="P48" s="23">
        <v>2.9100000000000001E-2</v>
      </c>
      <c r="Q48" s="12">
        <f t="shared" si="47"/>
        <v>5075040</v>
      </c>
      <c r="R48" s="27">
        <v>5</v>
      </c>
      <c r="S48" s="27">
        <f t="shared" si="6"/>
        <v>9.9999999999999645E-2</v>
      </c>
      <c r="V48" s="11">
        <f t="shared" si="71"/>
        <v>2.9100000000000001E-2</v>
      </c>
      <c r="W48" s="12">
        <f t="shared" si="8"/>
        <v>5075040</v>
      </c>
      <c r="X48" s="12">
        <f t="shared" si="48"/>
        <v>0</v>
      </c>
      <c r="AA48" s="11">
        <f t="shared" ref="AA48:AA49" si="72">V48</f>
        <v>2.9100000000000001E-2</v>
      </c>
      <c r="AB48" s="12">
        <f t="shared" ref="AB48:AB49" si="73">I48*AA48</f>
        <v>5075040</v>
      </c>
      <c r="AC48" s="12">
        <f t="shared" si="51"/>
        <v>0</v>
      </c>
      <c r="AF48" s="11">
        <f t="shared" ref="AF48:AF49" si="74">P48</f>
        <v>2.9100000000000001E-2</v>
      </c>
      <c r="AG48" s="12">
        <f t="shared" si="53"/>
        <v>5075040</v>
      </c>
      <c r="AH48" s="12">
        <f t="shared" si="54"/>
        <v>0</v>
      </c>
      <c r="AK48" s="11">
        <f>P48</f>
        <v>2.9100000000000001E-2</v>
      </c>
      <c r="AL48" s="12">
        <f t="shared" ref="AL48:AL49" si="75">I48*AK48</f>
        <v>5075040</v>
      </c>
      <c r="AM48" s="12">
        <f t="shared" si="57"/>
        <v>0</v>
      </c>
    </row>
    <row r="49" spans="5:39" x14ac:dyDescent="0.3">
      <c r="E49" s="7">
        <v>478</v>
      </c>
      <c r="F49" s="5"/>
      <c r="G49" s="4" t="s">
        <v>38</v>
      </c>
      <c r="H49" s="45">
        <f>583.8+580.7</f>
        <v>1164.5</v>
      </c>
      <c r="I49" s="13">
        <f t="shared" si="2"/>
        <v>1164500000</v>
      </c>
      <c r="K49" s="25">
        <v>0.102542125514617</v>
      </c>
      <c r="L49" s="12">
        <f t="shared" si="46"/>
        <v>119410305.16177149</v>
      </c>
      <c r="M49" s="27">
        <v>118.5</v>
      </c>
      <c r="N49" s="27">
        <f t="shared" si="4"/>
        <v>0.90000000000000568</v>
      </c>
      <c r="P49" s="11">
        <v>8.9599999999999999E-2</v>
      </c>
      <c r="Q49" s="12">
        <f t="shared" si="47"/>
        <v>104339200</v>
      </c>
      <c r="R49" s="27">
        <v>103.4</v>
      </c>
      <c r="S49" s="27">
        <f t="shared" si="6"/>
        <v>0.89999999999999147</v>
      </c>
      <c r="V49" s="11">
        <f t="shared" si="71"/>
        <v>8.9599999999999999E-2</v>
      </c>
      <c r="W49" s="12">
        <f t="shared" si="8"/>
        <v>104339200</v>
      </c>
      <c r="X49" s="12">
        <f t="shared" si="48"/>
        <v>0</v>
      </c>
      <c r="AA49" s="11">
        <f t="shared" si="72"/>
        <v>8.9599999999999999E-2</v>
      </c>
      <c r="AB49" s="12">
        <f t="shared" si="73"/>
        <v>104339200</v>
      </c>
      <c r="AC49" s="12">
        <f t="shared" si="51"/>
        <v>0</v>
      </c>
      <c r="AF49" s="11">
        <f t="shared" si="74"/>
        <v>8.9599999999999999E-2</v>
      </c>
      <c r="AG49" s="12">
        <f t="shared" si="53"/>
        <v>104339200</v>
      </c>
      <c r="AH49" s="12">
        <f t="shared" si="54"/>
        <v>0</v>
      </c>
      <c r="AK49" s="11">
        <f>P49</f>
        <v>8.9599999999999999E-2</v>
      </c>
      <c r="AL49" s="12">
        <f t="shared" si="75"/>
        <v>104339200</v>
      </c>
      <c r="AM49" s="12">
        <f t="shared" si="57"/>
        <v>0</v>
      </c>
    </row>
    <row r="50" spans="5:39" x14ac:dyDescent="0.3">
      <c r="E50" s="6" t="s">
        <v>39</v>
      </c>
      <c r="F50" s="5"/>
      <c r="G50" s="4"/>
      <c r="H50" s="45"/>
      <c r="I50" s="16"/>
      <c r="K50" s="10"/>
      <c r="L50" s="16"/>
      <c r="M50" s="30"/>
      <c r="N50" s="27"/>
      <c r="P50" s="10"/>
      <c r="Q50" s="16"/>
      <c r="R50" s="30"/>
      <c r="S50" s="27"/>
      <c r="V50" s="10"/>
      <c r="W50" s="12"/>
      <c r="X50" s="12"/>
      <c r="AA50" s="10"/>
      <c r="AB50" s="12"/>
      <c r="AC50" s="12"/>
      <c r="AF50" s="10"/>
      <c r="AG50" s="12"/>
      <c r="AH50" s="12"/>
      <c r="AK50" s="10"/>
      <c r="AL50" s="12"/>
      <c r="AM50" s="12"/>
    </row>
    <row r="51" spans="5:39" x14ac:dyDescent="0.3">
      <c r="E51" s="4"/>
      <c r="F51" s="5"/>
      <c r="G51" s="4"/>
      <c r="H51" s="45"/>
      <c r="I51" s="15">
        <f t="shared" si="2"/>
        <v>0</v>
      </c>
      <c r="K51" s="10"/>
      <c r="L51" s="15"/>
      <c r="M51" s="29"/>
      <c r="N51" s="27"/>
      <c r="P51" s="10"/>
      <c r="Q51" s="15"/>
      <c r="R51" s="36"/>
      <c r="S51" s="27"/>
      <c r="V51" s="10"/>
      <c r="W51" s="12"/>
      <c r="X51" s="12"/>
      <c r="AA51" s="10"/>
      <c r="AB51" s="12"/>
      <c r="AC51" s="12"/>
      <c r="AF51" s="10"/>
      <c r="AG51" s="12"/>
      <c r="AH51" s="12"/>
      <c r="AK51" s="10"/>
      <c r="AL51" s="12"/>
      <c r="AM51" s="12"/>
    </row>
    <row r="52" spans="5:39" x14ac:dyDescent="0.3">
      <c r="E52" s="6" t="s">
        <v>40</v>
      </c>
      <c r="F52" s="5"/>
      <c r="G52" s="4"/>
      <c r="H52" s="45"/>
      <c r="I52" s="15">
        <f t="shared" si="2"/>
        <v>0</v>
      </c>
      <c r="K52" s="10"/>
      <c r="L52" s="15"/>
      <c r="M52" s="29"/>
      <c r="N52" s="27"/>
      <c r="P52" s="10"/>
      <c r="Q52" s="15"/>
      <c r="R52" s="36"/>
      <c r="S52" s="27"/>
      <c r="V52" s="10"/>
      <c r="W52" s="12"/>
      <c r="X52" s="12"/>
      <c r="AA52" s="10"/>
      <c r="AB52" s="12"/>
      <c r="AC52" s="12"/>
      <c r="AF52" s="10"/>
      <c r="AG52" s="12"/>
      <c r="AH52" s="12"/>
      <c r="AK52" s="10"/>
      <c r="AL52" s="12"/>
      <c r="AM52" s="12"/>
    </row>
    <row r="53" spans="5:39" x14ac:dyDescent="0.3">
      <c r="E53" s="7">
        <v>482</v>
      </c>
      <c r="F53" s="5"/>
      <c r="G53" s="4" t="s">
        <v>24</v>
      </c>
      <c r="H53" s="45">
        <f>9+29</f>
        <v>38</v>
      </c>
      <c r="I53" s="12">
        <f t="shared" si="2"/>
        <v>38000000</v>
      </c>
      <c r="K53" s="24">
        <v>1.44E-2</v>
      </c>
      <c r="L53" s="12">
        <f t="shared" ref="L53:L75" si="76">I53*K53</f>
        <v>547200</v>
      </c>
      <c r="M53" s="27">
        <v>0.5</v>
      </c>
      <c r="N53" s="27">
        <f t="shared" si="4"/>
        <v>0</v>
      </c>
      <c r="P53" s="23">
        <v>8.9999999999999993E-3</v>
      </c>
      <c r="Q53" s="12">
        <f t="shared" ref="Q53:Q75" si="77">I53*P53</f>
        <v>342000</v>
      </c>
      <c r="R53" s="27">
        <v>0.3</v>
      </c>
      <c r="S53" s="27">
        <f t="shared" si="6"/>
        <v>0</v>
      </c>
      <c r="V53" s="11">
        <f>P53</f>
        <v>8.9999999999999993E-3</v>
      </c>
      <c r="W53" s="12">
        <f t="shared" si="8"/>
        <v>342000</v>
      </c>
      <c r="X53" s="12">
        <f t="shared" ref="X53:X75" si="78">W53-Q53</f>
        <v>0</v>
      </c>
      <c r="AA53" s="11">
        <f t="shared" ref="AA53:AA75" si="79">V53</f>
        <v>8.9999999999999993E-3</v>
      </c>
      <c r="AB53" s="12">
        <f t="shared" ref="AB53:AB75" si="80">I53*AA53</f>
        <v>342000</v>
      </c>
      <c r="AC53" s="12">
        <f t="shared" ref="AC53:AC75" si="81">AB53-W53</f>
        <v>0</v>
      </c>
      <c r="AF53" s="11">
        <f>P53</f>
        <v>8.9999999999999993E-3</v>
      </c>
      <c r="AG53" s="12">
        <f t="shared" ref="AG53:AG75" si="82">I53*AF53</f>
        <v>342000</v>
      </c>
      <c r="AH53" s="12">
        <f t="shared" ref="AH53:AH75" si="83">AG53-Q53</f>
        <v>0</v>
      </c>
      <c r="AK53" s="11">
        <f>P53</f>
        <v>8.9999999999999993E-3</v>
      </c>
      <c r="AL53" s="12">
        <f t="shared" ref="AL53:AL75" si="84">I53*AK53</f>
        <v>342000</v>
      </c>
      <c r="AM53" s="12">
        <f t="shared" ref="AM53:AM75" si="85">AL53-Q53</f>
        <v>0</v>
      </c>
    </row>
    <row r="54" spans="5:39" x14ac:dyDescent="0.3">
      <c r="E54" s="7">
        <v>482.01</v>
      </c>
      <c r="F54" s="5"/>
      <c r="G54" s="4" t="s">
        <v>41</v>
      </c>
      <c r="H54" s="45">
        <f>119.4</f>
        <v>119.4</v>
      </c>
      <c r="I54" s="12">
        <f t="shared" si="2"/>
        <v>119400000</v>
      </c>
      <c r="K54" s="25">
        <v>6.3606727287211506E-2</v>
      </c>
      <c r="L54" s="12">
        <f t="shared" si="76"/>
        <v>7594643.2380930539</v>
      </c>
      <c r="M54" s="27">
        <v>7.6</v>
      </c>
      <c r="N54" s="27">
        <f t="shared" si="4"/>
        <v>0</v>
      </c>
      <c r="P54" s="11">
        <v>6.1499999999999999E-2</v>
      </c>
      <c r="Q54" s="12">
        <f t="shared" si="77"/>
        <v>7343100</v>
      </c>
      <c r="R54" s="27">
        <v>7.3</v>
      </c>
      <c r="S54" s="27">
        <f t="shared" si="6"/>
        <v>0</v>
      </c>
      <c r="V54" s="11">
        <f t="shared" ref="V54:V75" si="86">P54</f>
        <v>6.1499999999999999E-2</v>
      </c>
      <c r="W54" s="12">
        <f t="shared" si="8"/>
        <v>7343100</v>
      </c>
      <c r="X54" s="12">
        <f t="shared" si="78"/>
        <v>0</v>
      </c>
      <c r="AA54" s="11">
        <f t="shared" si="79"/>
        <v>6.1499999999999999E-2</v>
      </c>
      <c r="AB54" s="12">
        <f t="shared" si="80"/>
        <v>7343100</v>
      </c>
      <c r="AC54" s="12">
        <f t="shared" si="81"/>
        <v>0</v>
      </c>
      <c r="AF54" s="11">
        <f t="shared" ref="AF54:AF75" si="87">P54</f>
        <v>6.1499999999999999E-2</v>
      </c>
      <c r="AG54" s="12">
        <f t="shared" si="82"/>
        <v>7343100</v>
      </c>
      <c r="AH54" s="12">
        <f t="shared" si="83"/>
        <v>0</v>
      </c>
      <c r="AK54" s="11">
        <f t="shared" ref="AK54:AK75" si="88">P54</f>
        <v>6.1499999999999999E-2</v>
      </c>
      <c r="AL54" s="12">
        <f t="shared" si="84"/>
        <v>7343100</v>
      </c>
      <c r="AM54" s="12">
        <f t="shared" si="85"/>
        <v>0</v>
      </c>
    </row>
    <row r="55" spans="5:39" x14ac:dyDescent="0.3">
      <c r="E55" s="7">
        <v>482.04</v>
      </c>
      <c r="F55" s="5"/>
      <c r="G55" s="4" t="s">
        <v>42</v>
      </c>
      <c r="H55" s="45"/>
      <c r="I55" s="12">
        <f t="shared" si="2"/>
        <v>0</v>
      </c>
      <c r="K55" s="25">
        <v>0.592313045764573</v>
      </c>
      <c r="L55" s="12">
        <f t="shared" si="76"/>
        <v>0</v>
      </c>
      <c r="M55" s="27">
        <v>0</v>
      </c>
      <c r="N55" s="27">
        <f t="shared" si="4"/>
        <v>0</v>
      </c>
      <c r="P55" s="11">
        <v>0.59230000000000005</v>
      </c>
      <c r="Q55" s="12">
        <f t="shared" si="77"/>
        <v>0</v>
      </c>
      <c r="R55" s="27">
        <v>0</v>
      </c>
      <c r="S55" s="27">
        <f t="shared" si="6"/>
        <v>0</v>
      </c>
      <c r="V55" s="11">
        <f t="shared" si="86"/>
        <v>0.59230000000000005</v>
      </c>
      <c r="W55" s="12">
        <f t="shared" si="8"/>
        <v>0</v>
      </c>
      <c r="X55" s="12">
        <f t="shared" si="78"/>
        <v>0</v>
      </c>
      <c r="AA55" s="11">
        <f t="shared" si="79"/>
        <v>0.59230000000000005</v>
      </c>
      <c r="AB55" s="12">
        <f t="shared" si="80"/>
        <v>0</v>
      </c>
      <c r="AC55" s="12">
        <f t="shared" si="81"/>
        <v>0</v>
      </c>
      <c r="AF55" s="11">
        <f t="shared" si="87"/>
        <v>0.59230000000000005</v>
      </c>
      <c r="AG55" s="12">
        <f t="shared" si="82"/>
        <v>0</v>
      </c>
      <c r="AH55" s="12">
        <f t="shared" si="83"/>
        <v>0</v>
      </c>
      <c r="AK55" s="11">
        <f t="shared" si="88"/>
        <v>0.59230000000000005</v>
      </c>
      <c r="AL55" s="12">
        <f t="shared" si="84"/>
        <v>0</v>
      </c>
      <c r="AM55" s="12">
        <f t="shared" si="85"/>
        <v>0</v>
      </c>
    </row>
    <row r="56" spans="5:39" x14ac:dyDescent="0.3">
      <c r="E56" s="7">
        <v>482.05</v>
      </c>
      <c r="F56" s="5"/>
      <c r="G56" s="4" t="s">
        <v>43</v>
      </c>
      <c r="H56" s="45">
        <v>37.1</v>
      </c>
      <c r="I56" s="12">
        <f t="shared" si="2"/>
        <v>37100000</v>
      </c>
      <c r="K56" s="25">
        <v>4.2126299475038598E-2</v>
      </c>
      <c r="L56" s="12">
        <f t="shared" si="76"/>
        <v>1562885.710523932</v>
      </c>
      <c r="M56" s="27">
        <v>1.6</v>
      </c>
      <c r="N56" s="27">
        <f t="shared" si="4"/>
        <v>0</v>
      </c>
      <c r="P56" s="11">
        <v>3.7900000000000003E-2</v>
      </c>
      <c r="Q56" s="12">
        <f t="shared" si="77"/>
        <v>1406090</v>
      </c>
      <c r="R56" s="27">
        <v>1.4</v>
      </c>
      <c r="S56" s="27">
        <f t="shared" si="6"/>
        <v>0</v>
      </c>
      <c r="V56" s="11">
        <f t="shared" si="86"/>
        <v>3.7900000000000003E-2</v>
      </c>
      <c r="W56" s="12">
        <f t="shared" si="8"/>
        <v>1406090</v>
      </c>
      <c r="X56" s="12">
        <f t="shared" si="78"/>
        <v>0</v>
      </c>
      <c r="AA56" s="11">
        <f t="shared" si="79"/>
        <v>3.7900000000000003E-2</v>
      </c>
      <c r="AB56" s="12">
        <f t="shared" si="80"/>
        <v>1406090</v>
      </c>
      <c r="AC56" s="12">
        <f t="shared" si="81"/>
        <v>0</v>
      </c>
      <c r="AF56" s="11">
        <f t="shared" si="87"/>
        <v>3.7900000000000003E-2</v>
      </c>
      <c r="AG56" s="12">
        <f t="shared" si="82"/>
        <v>1406090</v>
      </c>
      <c r="AH56" s="12">
        <f t="shared" si="83"/>
        <v>0</v>
      </c>
      <c r="AK56" s="11">
        <f t="shared" si="88"/>
        <v>3.7900000000000003E-2</v>
      </c>
      <c r="AL56" s="12">
        <f t="shared" si="84"/>
        <v>1406090</v>
      </c>
      <c r="AM56" s="12">
        <f t="shared" si="85"/>
        <v>0</v>
      </c>
    </row>
    <row r="57" spans="5:39" x14ac:dyDescent="0.3">
      <c r="E57" s="7">
        <v>482.51</v>
      </c>
      <c r="F57" s="5"/>
      <c r="G57" s="4" t="s">
        <v>44</v>
      </c>
      <c r="H57" s="45">
        <v>78.2</v>
      </c>
      <c r="I57" s="12">
        <f t="shared" si="2"/>
        <v>78200000</v>
      </c>
      <c r="K57" s="25">
        <v>5.61677460218033E-2</v>
      </c>
      <c r="L57" s="12">
        <f t="shared" si="76"/>
        <v>4392317.7389050182</v>
      </c>
      <c r="M57" s="27">
        <v>4.4000000000000004</v>
      </c>
      <c r="N57" s="27">
        <f t="shared" si="4"/>
        <v>0</v>
      </c>
      <c r="P57" s="11">
        <v>4.8399999999999999E-2</v>
      </c>
      <c r="Q57" s="12">
        <f t="shared" si="77"/>
        <v>3784880</v>
      </c>
      <c r="R57" s="27">
        <v>3.8</v>
      </c>
      <c r="S57" s="27">
        <f t="shared" si="6"/>
        <v>0</v>
      </c>
      <c r="V57" s="11">
        <f t="shared" si="86"/>
        <v>4.8399999999999999E-2</v>
      </c>
      <c r="W57" s="12">
        <f t="shared" si="8"/>
        <v>3784880</v>
      </c>
      <c r="X57" s="12">
        <f t="shared" si="78"/>
        <v>0</v>
      </c>
      <c r="AA57" s="11">
        <f t="shared" si="79"/>
        <v>4.8399999999999999E-2</v>
      </c>
      <c r="AB57" s="12">
        <f t="shared" si="80"/>
        <v>3784880</v>
      </c>
      <c r="AC57" s="12">
        <f t="shared" si="81"/>
        <v>0</v>
      </c>
      <c r="AF57" s="11">
        <f t="shared" si="87"/>
        <v>4.8399999999999999E-2</v>
      </c>
      <c r="AG57" s="12">
        <f t="shared" si="82"/>
        <v>3784880</v>
      </c>
      <c r="AH57" s="12">
        <f t="shared" si="83"/>
        <v>0</v>
      </c>
      <c r="AK57" s="11">
        <f t="shared" si="88"/>
        <v>4.8399999999999999E-2</v>
      </c>
      <c r="AL57" s="12">
        <f t="shared" si="84"/>
        <v>3784880</v>
      </c>
      <c r="AM57" s="12">
        <f t="shared" si="85"/>
        <v>0</v>
      </c>
    </row>
    <row r="58" spans="5:39" x14ac:dyDescent="0.3">
      <c r="E58" s="7">
        <v>482.52</v>
      </c>
      <c r="F58" s="5"/>
      <c r="G58" s="4" t="s">
        <v>45</v>
      </c>
      <c r="H58" s="45">
        <v>21.6</v>
      </c>
      <c r="I58" s="12">
        <f t="shared" si="2"/>
        <v>21600000</v>
      </c>
      <c r="K58" s="25">
        <v>0.14631178004595499</v>
      </c>
      <c r="L58" s="12">
        <f t="shared" si="76"/>
        <v>3160334.4489926277</v>
      </c>
      <c r="M58" s="27">
        <v>3.2</v>
      </c>
      <c r="N58" s="27">
        <f t="shared" si="4"/>
        <v>0</v>
      </c>
      <c r="P58" s="11">
        <v>0.1447</v>
      </c>
      <c r="Q58" s="12">
        <f t="shared" si="77"/>
        <v>3125520</v>
      </c>
      <c r="R58" s="27">
        <v>3.1</v>
      </c>
      <c r="S58" s="27">
        <f t="shared" si="6"/>
        <v>0</v>
      </c>
      <c r="V58" s="11">
        <f t="shared" si="86"/>
        <v>0.1447</v>
      </c>
      <c r="W58" s="12">
        <f t="shared" si="8"/>
        <v>3125520</v>
      </c>
      <c r="X58" s="12">
        <f t="shared" si="78"/>
        <v>0</v>
      </c>
      <c r="AA58" s="11">
        <f t="shared" si="79"/>
        <v>0.1447</v>
      </c>
      <c r="AB58" s="12">
        <f t="shared" si="80"/>
        <v>3125520</v>
      </c>
      <c r="AC58" s="12">
        <f t="shared" si="81"/>
        <v>0</v>
      </c>
      <c r="AF58" s="11">
        <f t="shared" si="87"/>
        <v>0.1447</v>
      </c>
      <c r="AG58" s="12">
        <f t="shared" si="82"/>
        <v>3125520</v>
      </c>
      <c r="AH58" s="12">
        <f t="shared" si="83"/>
        <v>0</v>
      </c>
      <c r="AK58" s="11">
        <f t="shared" si="88"/>
        <v>0.1447</v>
      </c>
      <c r="AL58" s="12">
        <f t="shared" si="84"/>
        <v>3125520</v>
      </c>
      <c r="AM58" s="12">
        <f t="shared" si="85"/>
        <v>0</v>
      </c>
    </row>
    <row r="59" spans="5:39" x14ac:dyDescent="0.3">
      <c r="E59" s="7">
        <v>483</v>
      </c>
      <c r="F59" s="5"/>
      <c r="G59" s="4" t="s">
        <v>46</v>
      </c>
      <c r="H59" s="45">
        <f>28.6+9.4</f>
        <v>38</v>
      </c>
      <c r="I59" s="12">
        <f t="shared" si="2"/>
        <v>38000000</v>
      </c>
      <c r="K59" s="25">
        <v>4.0330417479552703E-2</v>
      </c>
      <c r="L59" s="12">
        <f t="shared" si="76"/>
        <v>1532555.8642230027</v>
      </c>
      <c r="M59" s="27">
        <v>1.5</v>
      </c>
      <c r="N59" s="27">
        <f t="shared" si="4"/>
        <v>0</v>
      </c>
      <c r="P59" s="11">
        <v>4.3999999999999997E-2</v>
      </c>
      <c r="Q59" s="12">
        <f t="shared" si="77"/>
        <v>1672000</v>
      </c>
      <c r="R59" s="27">
        <v>1.7</v>
      </c>
      <c r="S59" s="27">
        <f t="shared" si="6"/>
        <v>0</v>
      </c>
      <c r="V59" s="11">
        <f t="shared" si="86"/>
        <v>4.3999999999999997E-2</v>
      </c>
      <c r="W59" s="12">
        <f t="shared" si="8"/>
        <v>1672000</v>
      </c>
      <c r="X59" s="12">
        <f t="shared" si="78"/>
        <v>0</v>
      </c>
      <c r="AA59" s="11">
        <f t="shared" si="79"/>
        <v>4.3999999999999997E-2</v>
      </c>
      <c r="AB59" s="12">
        <f t="shared" si="80"/>
        <v>1672000</v>
      </c>
      <c r="AC59" s="12">
        <f t="shared" si="81"/>
        <v>0</v>
      </c>
      <c r="AF59" s="11">
        <f t="shared" si="87"/>
        <v>4.3999999999999997E-2</v>
      </c>
      <c r="AG59" s="12">
        <f t="shared" si="82"/>
        <v>1672000</v>
      </c>
      <c r="AH59" s="12">
        <f t="shared" si="83"/>
        <v>0</v>
      </c>
      <c r="AK59" s="11">
        <f t="shared" si="88"/>
        <v>4.3999999999999997E-2</v>
      </c>
      <c r="AL59" s="12">
        <f t="shared" si="84"/>
        <v>1672000</v>
      </c>
      <c r="AM59" s="12">
        <f t="shared" si="85"/>
        <v>0</v>
      </c>
    </row>
    <row r="60" spans="5:39" x14ac:dyDescent="0.3">
      <c r="E60" s="7">
        <v>484</v>
      </c>
      <c r="F60" s="5"/>
      <c r="G60" s="4" t="s">
        <v>47</v>
      </c>
      <c r="H60" s="45">
        <f>82.5+73.6</f>
        <v>156.1</v>
      </c>
      <c r="I60" s="12">
        <f t="shared" si="2"/>
        <v>156100000</v>
      </c>
      <c r="K60" s="25">
        <v>4.6530955487568401E-2</v>
      </c>
      <c r="L60" s="12">
        <f t="shared" si="76"/>
        <v>7263482.1516094273</v>
      </c>
      <c r="M60" s="27">
        <v>7.2</v>
      </c>
      <c r="N60" s="27">
        <f t="shared" si="4"/>
        <v>9.9999999999999645E-2</v>
      </c>
      <c r="P60" s="11">
        <v>3.7699999999999997E-2</v>
      </c>
      <c r="Q60" s="12">
        <f t="shared" si="77"/>
        <v>5884970</v>
      </c>
      <c r="R60" s="27">
        <v>5.8</v>
      </c>
      <c r="S60" s="27">
        <f t="shared" si="6"/>
        <v>0.10000000000000053</v>
      </c>
      <c r="V60" s="11">
        <f t="shared" si="86"/>
        <v>3.7699999999999997E-2</v>
      </c>
      <c r="W60" s="12">
        <f t="shared" si="8"/>
        <v>5884970</v>
      </c>
      <c r="X60" s="12">
        <f t="shared" si="78"/>
        <v>0</v>
      </c>
      <c r="AA60" s="11">
        <f t="shared" si="79"/>
        <v>3.7699999999999997E-2</v>
      </c>
      <c r="AB60" s="12">
        <f t="shared" si="80"/>
        <v>5884970</v>
      </c>
      <c r="AC60" s="12">
        <f t="shared" si="81"/>
        <v>0</v>
      </c>
      <c r="AF60" s="11">
        <f t="shared" si="87"/>
        <v>3.7699999999999997E-2</v>
      </c>
      <c r="AG60" s="12">
        <f t="shared" si="82"/>
        <v>5884970</v>
      </c>
      <c r="AH60" s="12">
        <f t="shared" si="83"/>
        <v>0</v>
      </c>
      <c r="AK60" s="11">
        <f t="shared" si="88"/>
        <v>3.7699999999999997E-2</v>
      </c>
      <c r="AL60" s="12">
        <f t="shared" si="84"/>
        <v>5884970</v>
      </c>
      <c r="AM60" s="12">
        <f t="shared" si="85"/>
        <v>0</v>
      </c>
    </row>
    <row r="61" spans="5:39" x14ac:dyDescent="0.3">
      <c r="E61" s="7">
        <v>485</v>
      </c>
      <c r="F61" s="5"/>
      <c r="G61" s="4" t="s">
        <v>48</v>
      </c>
      <c r="H61" s="45">
        <f>29.4+23</f>
        <v>52.4</v>
      </c>
      <c r="I61" s="12">
        <f t="shared" si="2"/>
        <v>52400000</v>
      </c>
      <c r="K61" s="24">
        <v>8.2900000000000001E-2</v>
      </c>
      <c r="L61" s="12">
        <f t="shared" si="76"/>
        <v>4343960</v>
      </c>
      <c r="M61" s="27">
        <v>4.3</v>
      </c>
      <c r="N61" s="27">
        <f t="shared" si="4"/>
        <v>0</v>
      </c>
      <c r="P61" s="23">
        <v>6.3299999999999995E-2</v>
      </c>
      <c r="Q61" s="12">
        <f t="shared" si="77"/>
        <v>3316919.9999999995</v>
      </c>
      <c r="R61" s="27">
        <v>3.3</v>
      </c>
      <c r="S61" s="27">
        <f t="shared" si="6"/>
        <v>0</v>
      </c>
      <c r="V61" s="11">
        <f t="shared" si="86"/>
        <v>6.3299999999999995E-2</v>
      </c>
      <c r="W61" s="12">
        <f t="shared" si="8"/>
        <v>3316919.9999999995</v>
      </c>
      <c r="X61" s="12">
        <f t="shared" si="78"/>
        <v>0</v>
      </c>
      <c r="AA61" s="11">
        <f t="shared" si="79"/>
        <v>6.3299999999999995E-2</v>
      </c>
      <c r="AB61" s="12">
        <f t="shared" si="80"/>
        <v>3316919.9999999995</v>
      </c>
      <c r="AC61" s="12">
        <f t="shared" si="81"/>
        <v>0</v>
      </c>
      <c r="AF61" s="11">
        <f t="shared" si="87"/>
        <v>6.3299999999999995E-2</v>
      </c>
      <c r="AG61" s="12">
        <f t="shared" si="82"/>
        <v>3316919.9999999995</v>
      </c>
      <c r="AH61" s="12">
        <f t="shared" si="83"/>
        <v>0</v>
      </c>
      <c r="AK61" s="11">
        <f t="shared" si="88"/>
        <v>6.3299999999999995E-2</v>
      </c>
      <c r="AL61" s="12">
        <f t="shared" si="84"/>
        <v>3316919.9999999995</v>
      </c>
      <c r="AM61" s="12">
        <f t="shared" si="85"/>
        <v>0</v>
      </c>
    </row>
    <row r="62" spans="5:39" x14ac:dyDescent="0.3">
      <c r="E62" s="7">
        <v>486</v>
      </c>
      <c r="F62" s="5"/>
      <c r="G62" s="4" t="s">
        <v>49</v>
      </c>
      <c r="H62" s="45">
        <f>53.3+38.6</f>
        <v>91.9</v>
      </c>
      <c r="I62" s="12">
        <f t="shared" si="2"/>
        <v>91900000</v>
      </c>
      <c r="K62" s="24">
        <v>0.1192</v>
      </c>
      <c r="L62" s="12">
        <f t="shared" si="76"/>
        <v>10954480</v>
      </c>
      <c r="M62" s="27">
        <v>10.9</v>
      </c>
      <c r="N62" s="27">
        <f t="shared" si="4"/>
        <v>9.9999999999999645E-2</v>
      </c>
      <c r="P62" s="23">
        <v>0.1192</v>
      </c>
      <c r="Q62" s="12">
        <f t="shared" si="77"/>
        <v>10954480</v>
      </c>
      <c r="R62" s="27">
        <v>10.9</v>
      </c>
      <c r="S62" s="27">
        <f t="shared" si="6"/>
        <v>9.9999999999999645E-2</v>
      </c>
      <c r="V62" s="11">
        <f t="shared" si="86"/>
        <v>0.1192</v>
      </c>
      <c r="W62" s="12">
        <f t="shared" si="8"/>
        <v>10954480</v>
      </c>
      <c r="X62" s="12">
        <f t="shared" si="78"/>
        <v>0</v>
      </c>
      <c r="AA62" s="11">
        <f t="shared" si="79"/>
        <v>0.1192</v>
      </c>
      <c r="AB62" s="12">
        <f t="shared" si="80"/>
        <v>10954480</v>
      </c>
      <c r="AC62" s="12">
        <f t="shared" si="81"/>
        <v>0</v>
      </c>
      <c r="AF62" s="11">
        <f t="shared" si="87"/>
        <v>0.1192</v>
      </c>
      <c r="AG62" s="12">
        <f t="shared" si="82"/>
        <v>10954480</v>
      </c>
      <c r="AH62" s="12">
        <f t="shared" si="83"/>
        <v>0</v>
      </c>
      <c r="AK62" s="11">
        <f t="shared" si="88"/>
        <v>0.1192</v>
      </c>
      <c r="AL62" s="12">
        <f t="shared" si="84"/>
        <v>10954480</v>
      </c>
      <c r="AM62" s="12">
        <f t="shared" si="85"/>
        <v>0</v>
      </c>
    </row>
    <row r="63" spans="5:39" x14ac:dyDescent="0.3">
      <c r="E63" s="7">
        <v>487.7</v>
      </c>
      <c r="F63" s="5"/>
      <c r="G63" s="4" t="s">
        <v>50</v>
      </c>
      <c r="H63" s="45">
        <v>0.8</v>
      </c>
      <c r="I63" s="12">
        <f t="shared" si="2"/>
        <v>800000</v>
      </c>
      <c r="K63" s="25">
        <v>0.100485154084482</v>
      </c>
      <c r="L63" s="12">
        <f t="shared" si="76"/>
        <v>80388.123267585601</v>
      </c>
      <c r="M63" s="27">
        <v>0.1</v>
      </c>
      <c r="N63" s="27">
        <f t="shared" si="4"/>
        <v>0</v>
      </c>
      <c r="P63" s="11">
        <v>0.100485154084482</v>
      </c>
      <c r="Q63" s="12">
        <f t="shared" si="77"/>
        <v>80388.123267585601</v>
      </c>
      <c r="R63" s="27">
        <v>0.1</v>
      </c>
      <c r="S63" s="27">
        <f t="shared" si="6"/>
        <v>0</v>
      </c>
      <c r="V63" s="11">
        <f t="shared" si="86"/>
        <v>0.100485154084482</v>
      </c>
      <c r="W63" s="12">
        <f t="shared" si="8"/>
        <v>80388.123267585601</v>
      </c>
      <c r="X63" s="12">
        <f t="shared" si="78"/>
        <v>0</v>
      </c>
      <c r="AA63" s="11">
        <f t="shared" si="79"/>
        <v>0.100485154084482</v>
      </c>
      <c r="AB63" s="12">
        <f t="shared" si="80"/>
        <v>80388.123267585601</v>
      </c>
      <c r="AC63" s="12">
        <f t="shared" si="81"/>
        <v>0</v>
      </c>
      <c r="AF63" s="11">
        <f t="shared" si="87"/>
        <v>0.100485154084482</v>
      </c>
      <c r="AG63" s="12">
        <f t="shared" si="82"/>
        <v>80388.123267585601</v>
      </c>
      <c r="AH63" s="12">
        <f t="shared" si="83"/>
        <v>0</v>
      </c>
      <c r="AK63" s="11">
        <f t="shared" si="88"/>
        <v>0.100485154084482</v>
      </c>
      <c r="AL63" s="12">
        <f t="shared" si="84"/>
        <v>80388.123267585601</v>
      </c>
      <c r="AM63" s="12">
        <f t="shared" si="85"/>
        <v>0</v>
      </c>
    </row>
    <row r="64" spans="5:39" x14ac:dyDescent="0.3">
      <c r="E64" s="7">
        <v>487.8</v>
      </c>
      <c r="F64" s="5"/>
      <c r="G64" s="4" t="s">
        <v>51</v>
      </c>
      <c r="H64" s="45">
        <v>8.1</v>
      </c>
      <c r="I64" s="12">
        <f t="shared" si="2"/>
        <v>8100000</v>
      </c>
      <c r="K64" s="25">
        <v>3.7079819447635998E-2</v>
      </c>
      <c r="L64" s="12">
        <f t="shared" si="76"/>
        <v>300346.53752585157</v>
      </c>
      <c r="M64" s="27">
        <v>0.3</v>
      </c>
      <c r="N64" s="27">
        <f t="shared" si="4"/>
        <v>0</v>
      </c>
      <c r="P64" s="23">
        <v>3.7499999999999999E-2</v>
      </c>
      <c r="Q64" s="12">
        <f t="shared" si="77"/>
        <v>303750</v>
      </c>
      <c r="R64" s="27">
        <v>0.3</v>
      </c>
      <c r="S64" s="27">
        <f t="shared" si="6"/>
        <v>0</v>
      </c>
      <c r="V64" s="11">
        <f t="shared" si="86"/>
        <v>3.7499999999999999E-2</v>
      </c>
      <c r="W64" s="12">
        <f t="shared" si="8"/>
        <v>303750</v>
      </c>
      <c r="X64" s="12">
        <f t="shared" si="78"/>
        <v>0</v>
      </c>
      <c r="AA64" s="11">
        <f t="shared" si="79"/>
        <v>3.7499999999999999E-2</v>
      </c>
      <c r="AB64" s="12">
        <f t="shared" si="80"/>
        <v>303750</v>
      </c>
      <c r="AC64" s="12">
        <f t="shared" si="81"/>
        <v>0</v>
      </c>
      <c r="AF64" s="11">
        <f t="shared" si="87"/>
        <v>3.7499999999999999E-2</v>
      </c>
      <c r="AG64" s="12">
        <f t="shared" si="82"/>
        <v>303750</v>
      </c>
      <c r="AH64" s="12">
        <f t="shared" si="83"/>
        <v>0</v>
      </c>
      <c r="AK64" s="11">
        <f t="shared" si="88"/>
        <v>3.7499999999999999E-2</v>
      </c>
      <c r="AL64" s="12">
        <f t="shared" si="84"/>
        <v>303750</v>
      </c>
      <c r="AM64" s="12">
        <f t="shared" si="85"/>
        <v>0</v>
      </c>
    </row>
    <row r="65" spans="5:39" x14ac:dyDescent="0.3">
      <c r="E65" s="7">
        <v>488</v>
      </c>
      <c r="F65" s="5"/>
      <c r="G65" s="4" t="s">
        <v>52</v>
      </c>
      <c r="H65" s="45">
        <f>2+7.5</f>
        <v>9.5</v>
      </c>
      <c r="I65" s="12">
        <f t="shared" si="2"/>
        <v>9500000</v>
      </c>
      <c r="K65" s="24">
        <v>0.26250000000000001</v>
      </c>
      <c r="L65" s="12">
        <f t="shared" si="76"/>
        <v>2493750</v>
      </c>
      <c r="M65" s="27">
        <v>2.6</v>
      </c>
      <c r="N65" s="27">
        <f t="shared" si="4"/>
        <v>-0.10000000000000009</v>
      </c>
      <c r="P65" s="23">
        <v>0.26250000000000001</v>
      </c>
      <c r="Q65" s="12">
        <f t="shared" si="77"/>
        <v>2493750</v>
      </c>
      <c r="R65" s="27">
        <v>2.6</v>
      </c>
      <c r="S65" s="27">
        <f t="shared" si="6"/>
        <v>-0.10000000000000009</v>
      </c>
      <c r="V65" s="11">
        <f t="shared" si="86"/>
        <v>0.26250000000000001</v>
      </c>
      <c r="W65" s="12">
        <f t="shared" si="8"/>
        <v>2493750</v>
      </c>
      <c r="X65" s="12">
        <f t="shared" si="78"/>
        <v>0</v>
      </c>
      <c r="AA65" s="11">
        <f t="shared" si="79"/>
        <v>0.26250000000000001</v>
      </c>
      <c r="AB65" s="12">
        <f t="shared" si="80"/>
        <v>2493750</v>
      </c>
      <c r="AC65" s="12">
        <f t="shared" si="81"/>
        <v>0</v>
      </c>
      <c r="AF65" s="11">
        <f t="shared" si="87"/>
        <v>0.26250000000000001</v>
      </c>
      <c r="AG65" s="12">
        <f t="shared" si="82"/>
        <v>2493750</v>
      </c>
      <c r="AH65" s="12">
        <f t="shared" si="83"/>
        <v>0</v>
      </c>
      <c r="AK65" s="11">
        <f t="shared" si="88"/>
        <v>0.26250000000000001</v>
      </c>
      <c r="AL65" s="12">
        <f t="shared" si="84"/>
        <v>2493750</v>
      </c>
      <c r="AM65" s="12">
        <f t="shared" si="85"/>
        <v>0</v>
      </c>
    </row>
    <row r="66" spans="5:39" x14ac:dyDescent="0.3">
      <c r="E66" s="7">
        <v>490</v>
      </c>
      <c r="F66" s="5"/>
      <c r="G66" s="4" t="s">
        <v>53</v>
      </c>
      <c r="H66" s="45">
        <f>18.9+17.1</f>
        <v>36</v>
      </c>
      <c r="I66" s="12">
        <f t="shared" si="2"/>
        <v>36000000</v>
      </c>
      <c r="K66" s="25">
        <v>0.13335110196772801</v>
      </c>
      <c r="L66" s="12">
        <f t="shared" si="76"/>
        <v>4800639.6708382079</v>
      </c>
      <c r="M66" s="27">
        <v>4.2</v>
      </c>
      <c r="N66" s="27">
        <f t="shared" si="4"/>
        <v>0.59999999999999964</v>
      </c>
      <c r="P66" s="11">
        <v>0.1409</v>
      </c>
      <c r="Q66" s="12">
        <f t="shared" si="77"/>
        <v>5072400</v>
      </c>
      <c r="R66" s="27">
        <v>4.5</v>
      </c>
      <c r="S66" s="27">
        <f t="shared" si="6"/>
        <v>0.59999999999999964</v>
      </c>
      <c r="V66" s="11">
        <f t="shared" si="86"/>
        <v>0.1409</v>
      </c>
      <c r="W66" s="12">
        <f t="shared" si="8"/>
        <v>5072400</v>
      </c>
      <c r="X66" s="12">
        <f t="shared" si="78"/>
        <v>0</v>
      </c>
      <c r="AA66" s="11">
        <f t="shared" si="79"/>
        <v>0.1409</v>
      </c>
      <c r="AB66" s="12">
        <f t="shared" si="80"/>
        <v>5072400</v>
      </c>
      <c r="AC66" s="12">
        <f t="shared" si="81"/>
        <v>0</v>
      </c>
      <c r="AF66" s="11">
        <f t="shared" si="87"/>
        <v>0.1409</v>
      </c>
      <c r="AG66" s="12">
        <f t="shared" si="82"/>
        <v>5072400</v>
      </c>
      <c r="AH66" s="12">
        <f t="shared" si="83"/>
        <v>0</v>
      </c>
      <c r="AK66" s="11">
        <f t="shared" si="88"/>
        <v>0.1409</v>
      </c>
      <c r="AL66" s="12">
        <f t="shared" si="84"/>
        <v>5072400</v>
      </c>
      <c r="AM66" s="12">
        <f t="shared" si="85"/>
        <v>0</v>
      </c>
    </row>
    <row r="67" spans="5:39" x14ac:dyDescent="0.3">
      <c r="E67" s="7"/>
      <c r="F67" s="5"/>
      <c r="G67" s="4" t="s">
        <v>54</v>
      </c>
      <c r="H67" s="45">
        <f>8.5+3.6</f>
        <v>12.1</v>
      </c>
      <c r="I67" s="12">
        <f t="shared" ref="I67:I72" si="89">H67*1000000</f>
        <v>12100000</v>
      </c>
      <c r="K67" s="25">
        <v>0.25</v>
      </c>
      <c r="L67" s="12">
        <f t="shared" si="76"/>
        <v>3025000</v>
      </c>
      <c r="M67" s="27">
        <v>3.3</v>
      </c>
      <c r="N67" s="27">
        <f t="shared" si="4"/>
        <v>-0.29999999999999982</v>
      </c>
      <c r="P67" s="11">
        <v>0.25</v>
      </c>
      <c r="Q67" s="12">
        <f t="shared" si="77"/>
        <v>3025000</v>
      </c>
      <c r="R67" s="27">
        <v>3.3</v>
      </c>
      <c r="S67" s="27">
        <f t="shared" si="6"/>
        <v>-0.29999999999999982</v>
      </c>
      <c r="V67" s="11">
        <f t="shared" si="86"/>
        <v>0.25</v>
      </c>
      <c r="W67" s="12">
        <f t="shared" si="8"/>
        <v>3025000</v>
      </c>
      <c r="X67" s="12">
        <f t="shared" si="78"/>
        <v>0</v>
      </c>
      <c r="AA67" s="11">
        <f t="shared" si="79"/>
        <v>0.25</v>
      </c>
      <c r="AB67" s="12">
        <f t="shared" si="80"/>
        <v>3025000</v>
      </c>
      <c r="AC67" s="12">
        <f t="shared" si="81"/>
        <v>0</v>
      </c>
      <c r="AF67" s="11">
        <f t="shared" si="87"/>
        <v>0.25</v>
      </c>
      <c r="AG67" s="12">
        <f t="shared" si="82"/>
        <v>3025000</v>
      </c>
      <c r="AH67" s="12">
        <f t="shared" si="83"/>
        <v>0</v>
      </c>
      <c r="AK67" s="11">
        <f t="shared" si="88"/>
        <v>0.25</v>
      </c>
      <c r="AL67" s="12">
        <f t="shared" si="84"/>
        <v>3025000</v>
      </c>
      <c r="AM67" s="12">
        <f t="shared" si="85"/>
        <v>0</v>
      </c>
    </row>
    <row r="68" spans="5:39" x14ac:dyDescent="0.3">
      <c r="E68" s="7">
        <v>490.3</v>
      </c>
      <c r="F68" s="5"/>
      <c r="G68" s="4" t="s">
        <v>55</v>
      </c>
      <c r="H68" s="45"/>
      <c r="I68" s="12">
        <f t="shared" si="89"/>
        <v>0</v>
      </c>
      <c r="K68" s="25">
        <v>0.107407356064866</v>
      </c>
      <c r="L68" s="12">
        <f t="shared" si="76"/>
        <v>0</v>
      </c>
      <c r="M68" s="27"/>
      <c r="N68" s="27">
        <f t="shared" si="4"/>
        <v>0</v>
      </c>
      <c r="P68" s="11">
        <v>0.107407356064866</v>
      </c>
      <c r="Q68" s="12">
        <f t="shared" si="77"/>
        <v>0</v>
      </c>
      <c r="R68" s="27"/>
      <c r="S68" s="27">
        <f t="shared" si="6"/>
        <v>0</v>
      </c>
      <c r="V68" s="11">
        <f t="shared" si="86"/>
        <v>0.107407356064866</v>
      </c>
      <c r="W68" s="12">
        <f t="shared" si="8"/>
        <v>0</v>
      </c>
      <c r="X68" s="12">
        <f t="shared" si="78"/>
        <v>0</v>
      </c>
      <c r="AA68" s="11">
        <f t="shared" si="79"/>
        <v>0.107407356064866</v>
      </c>
      <c r="AB68" s="12">
        <f t="shared" si="80"/>
        <v>0</v>
      </c>
      <c r="AC68" s="12">
        <f t="shared" si="81"/>
        <v>0</v>
      </c>
      <c r="AF68" s="11">
        <f t="shared" si="87"/>
        <v>0.107407356064866</v>
      </c>
      <c r="AG68" s="12">
        <f t="shared" si="82"/>
        <v>0</v>
      </c>
      <c r="AH68" s="12">
        <f t="shared" si="83"/>
        <v>0</v>
      </c>
      <c r="AK68" s="11">
        <f t="shared" si="88"/>
        <v>0.107407356064866</v>
      </c>
      <c r="AL68" s="12">
        <f t="shared" si="84"/>
        <v>0</v>
      </c>
      <c r="AM68" s="12">
        <f t="shared" si="85"/>
        <v>0</v>
      </c>
    </row>
    <row r="69" spans="5:39" x14ac:dyDescent="0.3">
      <c r="E69" s="7">
        <v>491.01</v>
      </c>
      <c r="F69" s="5"/>
      <c r="G69" s="4" t="s">
        <v>56</v>
      </c>
      <c r="H69" s="45">
        <f>84.2+66.7</f>
        <v>150.9</v>
      </c>
      <c r="I69" s="12">
        <f t="shared" si="89"/>
        <v>150900000</v>
      </c>
      <c r="K69" s="25">
        <v>8.7675357303682894E-2</v>
      </c>
      <c r="L69" s="12">
        <f t="shared" si="76"/>
        <v>13230211.417125748</v>
      </c>
      <c r="M69" s="27">
        <v>15.5</v>
      </c>
      <c r="N69" s="27">
        <f t="shared" si="4"/>
        <v>-2.3000000000000007</v>
      </c>
      <c r="P69" s="11">
        <v>8.9099999999999999E-2</v>
      </c>
      <c r="Q69" s="12">
        <f t="shared" si="77"/>
        <v>13445190</v>
      </c>
      <c r="R69" s="27">
        <v>15.8</v>
      </c>
      <c r="S69" s="27">
        <f t="shared" si="6"/>
        <v>-2.4000000000000004</v>
      </c>
      <c r="V69" s="11">
        <f t="shared" si="86"/>
        <v>8.9099999999999999E-2</v>
      </c>
      <c r="W69" s="12">
        <f t="shared" si="8"/>
        <v>13445190</v>
      </c>
      <c r="X69" s="12">
        <f t="shared" si="78"/>
        <v>0</v>
      </c>
      <c r="AA69" s="11">
        <f t="shared" si="79"/>
        <v>8.9099999999999999E-2</v>
      </c>
      <c r="AB69" s="12">
        <f t="shared" si="80"/>
        <v>13445190</v>
      </c>
      <c r="AC69" s="12">
        <f t="shared" si="81"/>
        <v>0</v>
      </c>
      <c r="AF69" s="11">
        <f t="shared" si="87"/>
        <v>8.9099999999999999E-2</v>
      </c>
      <c r="AG69" s="12">
        <f t="shared" si="82"/>
        <v>13445190</v>
      </c>
      <c r="AH69" s="12">
        <f t="shared" si="83"/>
        <v>0</v>
      </c>
      <c r="AK69" s="11">
        <f t="shared" si="88"/>
        <v>8.9099999999999999E-2</v>
      </c>
      <c r="AL69" s="12">
        <f t="shared" si="84"/>
        <v>13445190</v>
      </c>
      <c r="AM69" s="12">
        <f t="shared" si="85"/>
        <v>0</v>
      </c>
    </row>
    <row r="70" spans="5:39" x14ac:dyDescent="0.3">
      <c r="E70" s="7"/>
      <c r="F70" s="5"/>
      <c r="G70" s="4" t="s">
        <v>57</v>
      </c>
      <c r="H70" s="45">
        <v>14.3</v>
      </c>
      <c r="I70" s="12">
        <f t="shared" si="89"/>
        <v>14300000</v>
      </c>
      <c r="K70" s="25">
        <v>0.25</v>
      </c>
      <c r="L70" s="12">
        <f t="shared" si="76"/>
        <v>3575000</v>
      </c>
      <c r="M70" s="27">
        <v>2.5</v>
      </c>
      <c r="N70" s="27">
        <f t="shared" si="4"/>
        <v>1.1000000000000001</v>
      </c>
      <c r="P70" s="11">
        <v>0.25</v>
      </c>
      <c r="Q70" s="12">
        <f t="shared" si="77"/>
        <v>3575000</v>
      </c>
      <c r="R70" s="27">
        <v>2.5</v>
      </c>
      <c r="S70" s="27">
        <f t="shared" si="6"/>
        <v>1.1000000000000001</v>
      </c>
      <c r="V70" s="11">
        <f t="shared" si="86"/>
        <v>0.25</v>
      </c>
      <c r="W70" s="12">
        <f t="shared" si="8"/>
        <v>3575000</v>
      </c>
      <c r="X70" s="12">
        <f t="shared" si="78"/>
        <v>0</v>
      </c>
      <c r="AA70" s="11">
        <f t="shared" si="79"/>
        <v>0.25</v>
      </c>
      <c r="AB70" s="12">
        <f t="shared" si="80"/>
        <v>3575000</v>
      </c>
      <c r="AC70" s="12">
        <f t="shared" si="81"/>
        <v>0</v>
      </c>
      <c r="AF70" s="11">
        <f t="shared" si="87"/>
        <v>0.25</v>
      </c>
      <c r="AG70" s="12">
        <f t="shared" si="82"/>
        <v>3575000</v>
      </c>
      <c r="AH70" s="12">
        <f t="shared" si="83"/>
        <v>0</v>
      </c>
      <c r="AK70" s="11">
        <f t="shared" si="88"/>
        <v>0.25</v>
      </c>
      <c r="AL70" s="12">
        <f t="shared" si="84"/>
        <v>3575000</v>
      </c>
      <c r="AM70" s="12">
        <f t="shared" si="85"/>
        <v>0</v>
      </c>
    </row>
    <row r="71" spans="5:39" x14ac:dyDescent="0.3">
      <c r="E71" s="7">
        <v>491.02</v>
      </c>
      <c r="F71" s="5"/>
      <c r="G71" s="4" t="s">
        <v>58</v>
      </c>
      <c r="H71" s="45">
        <f>60.2</f>
        <v>60.2</v>
      </c>
      <c r="I71" s="12">
        <f t="shared" si="89"/>
        <v>60200000</v>
      </c>
      <c r="K71" s="25">
        <v>0.100382765802934</v>
      </c>
      <c r="L71" s="12">
        <f t="shared" si="76"/>
        <v>6043042.5013366267</v>
      </c>
      <c r="M71" s="27">
        <v>6.5</v>
      </c>
      <c r="N71" s="27">
        <f t="shared" si="4"/>
        <v>-0.5</v>
      </c>
      <c r="P71" s="11">
        <v>0.10290000000000001</v>
      </c>
      <c r="Q71" s="12">
        <f t="shared" si="77"/>
        <v>6194580</v>
      </c>
      <c r="R71" s="27">
        <v>6.7</v>
      </c>
      <c r="S71" s="27">
        <f t="shared" si="6"/>
        <v>-0.5</v>
      </c>
      <c r="V71" s="11">
        <f t="shared" si="86"/>
        <v>0.10290000000000001</v>
      </c>
      <c r="W71" s="12">
        <f t="shared" si="8"/>
        <v>6194580</v>
      </c>
      <c r="X71" s="12">
        <f t="shared" si="78"/>
        <v>0</v>
      </c>
      <c r="AA71" s="11">
        <f t="shared" si="79"/>
        <v>0.10290000000000001</v>
      </c>
      <c r="AB71" s="12">
        <f t="shared" si="80"/>
        <v>6194580</v>
      </c>
      <c r="AC71" s="12">
        <f t="shared" si="81"/>
        <v>0</v>
      </c>
      <c r="AF71" s="11">
        <f t="shared" si="87"/>
        <v>0.10290000000000001</v>
      </c>
      <c r="AG71" s="12">
        <f t="shared" si="82"/>
        <v>6194580</v>
      </c>
      <c r="AH71" s="12">
        <f t="shared" si="83"/>
        <v>0</v>
      </c>
      <c r="AK71" s="11">
        <f t="shared" si="88"/>
        <v>0.10290000000000001</v>
      </c>
      <c r="AL71" s="12">
        <f t="shared" si="84"/>
        <v>6194580</v>
      </c>
      <c r="AM71" s="12">
        <f t="shared" si="85"/>
        <v>0</v>
      </c>
    </row>
    <row r="72" spans="5:39" x14ac:dyDescent="0.3">
      <c r="E72" s="7"/>
      <c r="F72" s="5"/>
      <c r="G72" s="4" t="s">
        <v>59</v>
      </c>
      <c r="H72" s="45">
        <v>14.4</v>
      </c>
      <c r="I72" s="12">
        <f t="shared" si="89"/>
        <v>14400000</v>
      </c>
      <c r="K72" s="25">
        <v>0.25</v>
      </c>
      <c r="L72" s="12">
        <f t="shared" si="76"/>
        <v>3600000</v>
      </c>
      <c r="M72" s="27">
        <v>2.7</v>
      </c>
      <c r="N72" s="27">
        <f t="shared" ref="N72:N75" si="90">ROUND(L72/1000000,1)-M72</f>
        <v>0.89999999999999991</v>
      </c>
      <c r="P72" s="11">
        <v>0.25</v>
      </c>
      <c r="Q72" s="12">
        <f t="shared" si="77"/>
        <v>3600000</v>
      </c>
      <c r="R72" s="27">
        <v>2.7</v>
      </c>
      <c r="S72" s="27">
        <f t="shared" ref="S72:S75" si="91">ROUND(Q72/1000000,1)-R72</f>
        <v>0.89999999999999991</v>
      </c>
      <c r="V72" s="11">
        <f t="shared" si="86"/>
        <v>0.25</v>
      </c>
      <c r="W72" s="12">
        <f t="shared" ref="W72:W75" si="92">I72*V72</f>
        <v>3600000</v>
      </c>
      <c r="X72" s="12">
        <f t="shared" si="78"/>
        <v>0</v>
      </c>
      <c r="AA72" s="11">
        <f t="shared" si="79"/>
        <v>0.25</v>
      </c>
      <c r="AB72" s="12">
        <f t="shared" si="80"/>
        <v>3600000</v>
      </c>
      <c r="AC72" s="12">
        <f t="shared" si="81"/>
        <v>0</v>
      </c>
      <c r="AF72" s="11">
        <f t="shared" si="87"/>
        <v>0.25</v>
      </c>
      <c r="AG72" s="12">
        <f t="shared" si="82"/>
        <v>3600000</v>
      </c>
      <c r="AH72" s="12">
        <f t="shared" si="83"/>
        <v>0</v>
      </c>
      <c r="AK72" s="11">
        <f t="shared" si="88"/>
        <v>0.25</v>
      </c>
      <c r="AL72" s="12">
        <f t="shared" si="84"/>
        <v>3600000</v>
      </c>
      <c r="AM72" s="12">
        <f t="shared" si="85"/>
        <v>0</v>
      </c>
    </row>
    <row r="73" spans="5:39" x14ac:dyDescent="0.3">
      <c r="E73" s="7">
        <v>491.03</v>
      </c>
      <c r="F73" s="5"/>
      <c r="G73" s="4" t="s">
        <v>60</v>
      </c>
      <c r="H73" s="45">
        <f>12.2+98.9</f>
        <v>111.10000000000001</v>
      </c>
      <c r="I73" s="12">
        <f t="shared" ref="I73:I75" si="93">H73*1000000</f>
        <v>111100000.00000001</v>
      </c>
      <c r="K73" s="25">
        <v>8.2369369917961899E-2</v>
      </c>
      <c r="L73" s="12">
        <f t="shared" si="76"/>
        <v>9151236.9978855681</v>
      </c>
      <c r="M73" s="27">
        <v>9.1</v>
      </c>
      <c r="N73" s="27">
        <f t="shared" si="90"/>
        <v>9.9999999999999645E-2</v>
      </c>
      <c r="P73" s="11">
        <v>8.3900000000000002E-2</v>
      </c>
      <c r="Q73" s="12">
        <f t="shared" si="77"/>
        <v>9321290.0000000019</v>
      </c>
      <c r="R73" s="27">
        <v>9.3000000000000007</v>
      </c>
      <c r="S73" s="27">
        <f t="shared" si="91"/>
        <v>0</v>
      </c>
      <c r="V73" s="11">
        <f t="shared" si="86"/>
        <v>8.3900000000000002E-2</v>
      </c>
      <c r="W73" s="12">
        <f t="shared" si="92"/>
        <v>9321290.0000000019</v>
      </c>
      <c r="X73" s="12">
        <f t="shared" si="78"/>
        <v>0</v>
      </c>
      <c r="AA73" s="11">
        <f t="shared" si="79"/>
        <v>8.3900000000000002E-2</v>
      </c>
      <c r="AB73" s="12">
        <f t="shared" si="80"/>
        <v>9321290.0000000019</v>
      </c>
      <c r="AC73" s="12">
        <f t="shared" si="81"/>
        <v>0</v>
      </c>
      <c r="AF73" s="11">
        <f t="shared" si="87"/>
        <v>8.3900000000000002E-2</v>
      </c>
      <c r="AG73" s="12">
        <f t="shared" si="82"/>
        <v>9321290.0000000019</v>
      </c>
      <c r="AH73" s="12">
        <f t="shared" si="83"/>
        <v>0</v>
      </c>
      <c r="AK73" s="11">
        <f t="shared" si="88"/>
        <v>8.3900000000000002E-2</v>
      </c>
      <c r="AL73" s="12">
        <f t="shared" si="84"/>
        <v>9321290.0000000019</v>
      </c>
      <c r="AM73" s="12">
        <f t="shared" si="85"/>
        <v>0</v>
      </c>
    </row>
    <row r="74" spans="5:39" x14ac:dyDescent="0.3">
      <c r="E74" s="7"/>
      <c r="F74" s="5" t="s">
        <v>61</v>
      </c>
      <c r="G74" s="4" t="s">
        <v>62</v>
      </c>
      <c r="H74" s="45"/>
      <c r="I74" s="12">
        <f t="shared" si="93"/>
        <v>0</v>
      </c>
      <c r="K74" s="25">
        <v>0.1</v>
      </c>
      <c r="L74" s="12">
        <f t="shared" si="76"/>
        <v>0</v>
      </c>
      <c r="M74" s="27">
        <v>0</v>
      </c>
      <c r="N74" s="27">
        <f t="shared" si="90"/>
        <v>0</v>
      </c>
      <c r="P74" s="11">
        <v>0.1</v>
      </c>
      <c r="Q74" s="12">
        <f t="shared" si="77"/>
        <v>0</v>
      </c>
      <c r="R74" s="27"/>
      <c r="S74" s="27">
        <f t="shared" si="91"/>
        <v>0</v>
      </c>
      <c r="V74" s="11">
        <f t="shared" si="86"/>
        <v>0.1</v>
      </c>
      <c r="W74" s="12">
        <f t="shared" si="92"/>
        <v>0</v>
      </c>
      <c r="X74" s="12">
        <f t="shared" si="78"/>
        <v>0</v>
      </c>
      <c r="AA74" s="11">
        <f t="shared" si="79"/>
        <v>0.1</v>
      </c>
      <c r="AB74" s="12">
        <f t="shared" si="80"/>
        <v>0</v>
      </c>
      <c r="AC74" s="12">
        <f t="shared" si="81"/>
        <v>0</v>
      </c>
      <c r="AF74" s="11">
        <f t="shared" si="87"/>
        <v>0.1</v>
      </c>
      <c r="AG74" s="12">
        <f t="shared" si="82"/>
        <v>0</v>
      </c>
      <c r="AH74" s="12">
        <f t="shared" si="83"/>
        <v>0</v>
      </c>
      <c r="AK74" s="11">
        <f t="shared" si="88"/>
        <v>0.1</v>
      </c>
      <c r="AL74" s="12">
        <f t="shared" si="84"/>
        <v>0</v>
      </c>
      <c r="AM74" s="12">
        <f t="shared" si="85"/>
        <v>0</v>
      </c>
    </row>
    <row r="75" spans="5:39" x14ac:dyDescent="0.3">
      <c r="E75" s="7">
        <v>491.04</v>
      </c>
      <c r="F75" s="5"/>
      <c r="G75" s="4" t="s">
        <v>63</v>
      </c>
      <c r="H75" s="45">
        <v>89.9</v>
      </c>
      <c r="I75" s="12">
        <f t="shared" si="93"/>
        <v>89900000</v>
      </c>
      <c r="K75" s="25">
        <v>0.107407408477546</v>
      </c>
      <c r="L75" s="12">
        <f t="shared" si="76"/>
        <v>9655926.0221313853</v>
      </c>
      <c r="M75" s="27">
        <v>9.6999999999999993</v>
      </c>
      <c r="N75" s="27">
        <f t="shared" si="90"/>
        <v>0</v>
      </c>
      <c r="P75" s="11">
        <v>0.107407408477546</v>
      </c>
      <c r="Q75" s="12">
        <f t="shared" si="77"/>
        <v>9655926.0221313853</v>
      </c>
      <c r="R75" s="27">
        <v>9.6999999999999993</v>
      </c>
      <c r="S75" s="27">
        <f t="shared" si="91"/>
        <v>0</v>
      </c>
      <c r="V75" s="11">
        <f t="shared" si="86"/>
        <v>0.107407408477546</v>
      </c>
      <c r="W75" s="12">
        <f t="shared" si="92"/>
        <v>9655926.0221313853</v>
      </c>
      <c r="X75" s="12">
        <f t="shared" si="78"/>
        <v>0</v>
      </c>
      <c r="AA75" s="11">
        <f t="shared" si="79"/>
        <v>0.107407408477546</v>
      </c>
      <c r="AB75" s="12">
        <f t="shared" si="80"/>
        <v>9655926.0221313853</v>
      </c>
      <c r="AC75" s="12">
        <f t="shared" si="81"/>
        <v>0</v>
      </c>
      <c r="AF75" s="11">
        <f t="shared" si="87"/>
        <v>0.107407408477546</v>
      </c>
      <c r="AG75" s="12">
        <f t="shared" si="82"/>
        <v>9655926.0221313853</v>
      </c>
      <c r="AH75" s="12">
        <f t="shared" si="83"/>
        <v>0</v>
      </c>
      <c r="AK75" s="11">
        <f t="shared" si="88"/>
        <v>0.107407408477546</v>
      </c>
      <c r="AL75" s="12">
        <f t="shared" si="84"/>
        <v>9655926.0221313853</v>
      </c>
      <c r="AM75" s="12">
        <f t="shared" si="85"/>
        <v>0</v>
      </c>
    </row>
    <row r="76" spans="5:39" x14ac:dyDescent="0.3">
      <c r="E76" s="6" t="s">
        <v>64</v>
      </c>
      <c r="F76" s="9"/>
      <c r="G76" s="4"/>
      <c r="H76" s="44"/>
      <c r="I76" s="17"/>
      <c r="L76" s="17"/>
      <c r="M76" s="30"/>
      <c r="N76" s="16"/>
      <c r="Q76" s="17"/>
      <c r="R76" s="16"/>
      <c r="S76" s="16"/>
      <c r="W76" s="17"/>
      <c r="X76" s="17"/>
      <c r="AB76" s="17"/>
      <c r="AC76" s="17"/>
      <c r="AG76" s="17"/>
      <c r="AH76" s="17"/>
      <c r="AL76" s="17"/>
      <c r="AM76" s="17"/>
    </row>
    <row r="77" spans="5:39" x14ac:dyDescent="0.3">
      <c r="E77" s="4"/>
      <c r="F77" s="5"/>
      <c r="G77" s="4"/>
      <c r="H77" s="44"/>
      <c r="I77" s="18"/>
      <c r="L77" s="18"/>
      <c r="M77" s="29"/>
      <c r="N77" s="18"/>
      <c r="Q77" s="18"/>
      <c r="R77" s="37"/>
      <c r="S77" s="37"/>
      <c r="W77" s="18"/>
      <c r="X77" s="18"/>
      <c r="AB77" s="18"/>
      <c r="AC77" s="18"/>
      <c r="AG77" s="18"/>
      <c r="AH77" s="18"/>
      <c r="AL77" s="18"/>
      <c r="AM77" s="18"/>
    </row>
    <row r="78" spans="5:39" x14ac:dyDescent="0.3">
      <c r="E78" s="4"/>
      <c r="F78" s="5"/>
      <c r="G78" s="4" t="s">
        <v>106</v>
      </c>
      <c r="H78" s="44">
        <v>1.2</v>
      </c>
      <c r="I78" s="18"/>
      <c r="L78" s="18"/>
      <c r="M78" s="29"/>
      <c r="N78" s="18"/>
      <c r="Q78" s="18"/>
      <c r="R78" s="37"/>
      <c r="S78" s="37"/>
      <c r="W78" s="18"/>
      <c r="X78" s="18"/>
      <c r="AB78" s="18"/>
      <c r="AC78" s="18"/>
      <c r="AG78" s="18"/>
      <c r="AH78" s="18"/>
      <c r="AL78" s="18"/>
      <c r="AM78" s="18"/>
    </row>
    <row r="79" spans="5:39" x14ac:dyDescent="0.3">
      <c r="E79" s="4"/>
      <c r="F79" s="5"/>
      <c r="G79" s="4" t="s">
        <v>107</v>
      </c>
      <c r="H79" s="44">
        <v>0.5</v>
      </c>
      <c r="I79" s="18"/>
      <c r="L79" s="18"/>
      <c r="M79" s="29"/>
      <c r="N79" s="18"/>
      <c r="Q79" s="18"/>
      <c r="R79" s="37"/>
      <c r="S79" s="37"/>
      <c r="W79" s="18"/>
      <c r="X79" s="18"/>
      <c r="AB79" s="18"/>
      <c r="AC79" s="18"/>
      <c r="AG79" s="18"/>
      <c r="AH79" s="18"/>
      <c r="AL79" s="18"/>
      <c r="AM79" s="18"/>
    </row>
    <row r="80" spans="5:39" x14ac:dyDescent="0.3">
      <c r="E80" s="4"/>
      <c r="F80" s="5"/>
      <c r="G80" s="4" t="s">
        <v>103</v>
      </c>
      <c r="H80" s="44">
        <v>31.4</v>
      </c>
      <c r="I80" s="18"/>
      <c r="L80" s="18">
        <v>1200000</v>
      </c>
      <c r="M80" s="29">
        <v>1.2</v>
      </c>
      <c r="N80" s="18"/>
      <c r="Q80" s="18">
        <f>L80</f>
        <v>1200000</v>
      </c>
      <c r="R80" s="29">
        <f>M80</f>
        <v>1.2</v>
      </c>
      <c r="S80" s="37"/>
      <c r="W80" s="18">
        <f>L80</f>
        <v>1200000</v>
      </c>
      <c r="X80" s="29"/>
      <c r="AB80" s="18">
        <f>Q80</f>
        <v>1200000</v>
      </c>
      <c r="AC80" s="29"/>
      <c r="AG80" s="18">
        <f>AB80</f>
        <v>1200000</v>
      </c>
      <c r="AH80" s="18"/>
      <c r="AL80" s="18">
        <f>AG80</f>
        <v>1200000</v>
      </c>
      <c r="AM80" s="18"/>
    </row>
    <row r="81" spans="5:39" x14ac:dyDescent="0.3">
      <c r="E81" s="4"/>
      <c r="F81" s="5"/>
      <c r="G81" s="4" t="s">
        <v>104</v>
      </c>
      <c r="H81" s="44">
        <v>37.700000000000003</v>
      </c>
      <c r="I81" s="18"/>
      <c r="L81" s="18">
        <v>1500000</v>
      </c>
      <c r="M81" s="29">
        <v>1.5</v>
      </c>
      <c r="N81" s="18"/>
      <c r="Q81" s="18">
        <f>L81</f>
        <v>1500000</v>
      </c>
      <c r="R81" s="29">
        <f>M81</f>
        <v>1.5</v>
      </c>
      <c r="S81" s="37"/>
      <c r="W81" s="18">
        <f>L81</f>
        <v>1500000</v>
      </c>
      <c r="X81" s="29"/>
      <c r="AB81" s="18">
        <f>Q81</f>
        <v>1500000</v>
      </c>
      <c r="AC81" s="29"/>
      <c r="AG81" s="18">
        <f>AB81</f>
        <v>1500000</v>
      </c>
      <c r="AH81" s="18"/>
      <c r="AL81" s="18">
        <f>AG81</f>
        <v>1500000</v>
      </c>
      <c r="AM81" s="18"/>
    </row>
    <row r="82" spans="5:39" x14ac:dyDescent="0.3">
      <c r="E82" s="4"/>
      <c r="F82" s="5"/>
      <c r="G82" s="4" t="s">
        <v>108</v>
      </c>
      <c r="H82" s="44">
        <v>1.7</v>
      </c>
      <c r="I82" s="18"/>
      <c r="L82" s="18"/>
      <c r="M82" s="29"/>
      <c r="N82" s="18"/>
      <c r="Q82" s="18"/>
      <c r="R82" s="29"/>
      <c r="S82" s="37"/>
      <c r="W82" s="18"/>
      <c r="X82" s="29"/>
      <c r="AB82" s="18"/>
      <c r="AC82" s="29"/>
      <c r="AG82" s="18"/>
      <c r="AH82" s="18"/>
      <c r="AL82" s="18"/>
      <c r="AM82" s="18"/>
    </row>
    <row r="83" spans="5:39" x14ac:dyDescent="0.3">
      <c r="E83" s="4"/>
      <c r="F83" s="5"/>
      <c r="G83" s="4"/>
      <c r="H83" s="44"/>
      <c r="I83" s="18"/>
      <c r="L83" s="18"/>
      <c r="M83" s="29"/>
      <c r="N83" s="18"/>
      <c r="Q83" s="18"/>
      <c r="R83" s="37"/>
      <c r="S83" s="37"/>
      <c r="W83" s="18"/>
      <c r="X83" s="18"/>
      <c r="AB83" s="18"/>
      <c r="AC83" s="18"/>
      <c r="AG83" s="18"/>
      <c r="AH83" s="18"/>
      <c r="AL83" s="18"/>
      <c r="AM83" s="18"/>
    </row>
    <row r="84" spans="5:39" ht="15" thickBot="1" x14ac:dyDescent="0.35">
      <c r="E84" s="6" t="s">
        <v>105</v>
      </c>
      <c r="F84" s="5"/>
      <c r="G84" s="5"/>
      <c r="H84" s="44">
        <f>SUM(H7:H82)</f>
        <v>24857.600000000002</v>
      </c>
      <c r="I84" s="19">
        <f>SUM(I7:I77)</f>
        <v>24785100000</v>
      </c>
      <c r="L84" s="19">
        <f>SUM(L7:L81)</f>
        <v>899563886.05437231</v>
      </c>
      <c r="M84" s="33">
        <f>SUM(M7:M81)</f>
        <v>892.9000000000002</v>
      </c>
      <c r="N84" s="40">
        <f t="shared" ref="N84" si="94">SUM(N7:N77)</f>
        <v>6.8000000000000131</v>
      </c>
      <c r="Q84" s="19">
        <f>SUM(Q7:Q81)</f>
        <v>815266034.14539897</v>
      </c>
      <c r="R84" s="33">
        <f>SUM(R7:R81)</f>
        <v>810.99999999999977</v>
      </c>
      <c r="S84" s="40">
        <f t="shared" ref="S84" si="95">SUM(S7:S77)</f>
        <v>4.2000000000000073</v>
      </c>
      <c r="W84" s="19">
        <f>SUM(W7:W81)</f>
        <v>770593014.84984863</v>
      </c>
      <c r="X84" s="19">
        <f>W84-Q84</f>
        <v>-44673019.295550346</v>
      </c>
      <c r="AB84" s="19">
        <f>SUM(AB7:AB81)</f>
        <v>733429471.44279039</v>
      </c>
      <c r="AC84" s="19">
        <f>AB84-W84</f>
        <v>-37163543.407058239</v>
      </c>
      <c r="AG84" s="19">
        <f>SUM(AG7:AG81)</f>
        <v>733429471.44279039</v>
      </c>
      <c r="AH84" s="19">
        <f>AG84-Q84</f>
        <v>-81836562.702608585</v>
      </c>
      <c r="AL84" s="19">
        <f>SUM(AL7:AL81)</f>
        <v>780973028.94449306</v>
      </c>
      <c r="AM84" s="19">
        <f>AL84-Q84</f>
        <v>-34293005.200905919</v>
      </c>
    </row>
    <row r="85" spans="5:39" ht="15" thickTop="1" x14ac:dyDescent="0.3">
      <c r="H85" s="44"/>
      <c r="I85" s="14"/>
    </row>
    <row r="86" spans="5:39" x14ac:dyDescent="0.3">
      <c r="G86" s="39" t="s">
        <v>102</v>
      </c>
      <c r="H86" s="44">
        <v>24857.3</v>
      </c>
      <c r="L86">
        <v>892400000</v>
      </c>
      <c r="M86">
        <v>892.4</v>
      </c>
      <c r="Q86">
        <v>810700000</v>
      </c>
      <c r="R86">
        <v>810.7</v>
      </c>
    </row>
    <row r="87" spans="5:39" x14ac:dyDescent="0.3">
      <c r="G87" s="39" t="s">
        <v>101</v>
      </c>
      <c r="H87" s="44">
        <f>H84-H86</f>
        <v>0.30000000000291038</v>
      </c>
      <c r="L87" s="21">
        <f>L84-L86</f>
        <v>7163886.0543723106</v>
      </c>
      <c r="M87" s="32">
        <f>M84-M86</f>
        <v>0.50000000000022737</v>
      </c>
      <c r="N87" s="21"/>
      <c r="Q87" s="21">
        <f>Q84-Q86</f>
        <v>4566034.1453989744</v>
      </c>
      <c r="R87" s="32">
        <f>R84-R86</f>
        <v>0.29999999999972715</v>
      </c>
      <c r="S87" s="21"/>
    </row>
    <row r="89" spans="5:39" x14ac:dyDescent="0.3">
      <c r="Q89" s="21"/>
      <c r="R89" s="21"/>
      <c r="S89" s="21"/>
    </row>
    <row r="90" spans="5:39" x14ac:dyDescent="0.3">
      <c r="M90" s="34"/>
    </row>
    <row r="91" spans="5:39" x14ac:dyDescent="0.3">
      <c r="M91" s="34"/>
    </row>
    <row r="92" spans="5:39" x14ac:dyDescent="0.3">
      <c r="L92" s="21"/>
      <c r="M92" s="32"/>
      <c r="N92" s="21"/>
      <c r="Q92" s="21"/>
      <c r="R92" s="32"/>
    </row>
    <row r="93" spans="5:39" x14ac:dyDescent="0.3">
      <c r="L93" s="21"/>
      <c r="M93" s="32"/>
      <c r="Q93" s="21"/>
      <c r="R93" s="32"/>
    </row>
  </sheetData>
  <mergeCells count="6">
    <mergeCell ref="AF2:AG2"/>
    <mergeCell ref="AK2:AL2"/>
    <mergeCell ref="K2:L2"/>
    <mergeCell ref="V2:W2"/>
    <mergeCell ref="P2:Q2"/>
    <mergeCell ref="AA2:AB2"/>
  </mergeCells>
  <conditionalFormatting sqref="E5:G84">
    <cfRule type="expression" dxfId="61" priority="101">
      <formula>MOD(ROW(),2)=0</formula>
    </cfRule>
  </conditionalFormatting>
  <conditionalFormatting sqref="I7:I85">
    <cfRule type="expression" dxfId="60" priority="91">
      <formula>MOD(ROW(),2)=0</formula>
    </cfRule>
  </conditionalFormatting>
  <conditionalFormatting sqref="K7:K10">
    <cfRule type="expression" dxfId="59" priority="100">
      <formula>MOD(ROW(),2)=0</formula>
    </cfRule>
  </conditionalFormatting>
  <conditionalFormatting sqref="K13:K19">
    <cfRule type="expression" dxfId="58" priority="99">
      <formula>MOD(ROW(),2)=0</formula>
    </cfRule>
  </conditionalFormatting>
  <conditionalFormatting sqref="K23:K29">
    <cfRule type="expression" dxfId="57" priority="98">
      <formula>MOD(ROW(),2)=0</formula>
    </cfRule>
  </conditionalFormatting>
  <conditionalFormatting sqref="K33:K49">
    <cfRule type="expression" dxfId="56" priority="97">
      <formula>MOD(ROW(),2)=0</formula>
    </cfRule>
  </conditionalFormatting>
  <conditionalFormatting sqref="K53:K75">
    <cfRule type="expression" dxfId="55" priority="96">
      <formula>MOD(ROW(),2)=0</formula>
    </cfRule>
  </conditionalFormatting>
  <conditionalFormatting sqref="L7:N84 Q7:S84">
    <cfRule type="expression" dxfId="54" priority="87">
      <formula>MOD(ROW(),2)=0</formula>
    </cfRule>
  </conditionalFormatting>
  <conditionalFormatting sqref="P7:P10">
    <cfRule type="expression" dxfId="53" priority="76">
      <formula>MOD(ROW(),2)=0</formula>
    </cfRule>
  </conditionalFormatting>
  <conditionalFormatting sqref="P13:P19">
    <cfRule type="expression" dxfId="52" priority="75">
      <formula>MOD(ROW(),2)=0</formula>
    </cfRule>
  </conditionalFormatting>
  <conditionalFormatting sqref="P23:P29">
    <cfRule type="expression" dxfId="51" priority="74">
      <formula>MOD(ROW(),2)=0</formula>
    </cfRule>
  </conditionalFormatting>
  <conditionalFormatting sqref="P33:P49">
    <cfRule type="expression" dxfId="50" priority="73">
      <formula>MOD(ROW(),2)=0</formula>
    </cfRule>
  </conditionalFormatting>
  <conditionalFormatting sqref="P53:P75">
    <cfRule type="expression" dxfId="49" priority="71">
      <formula>MOD(ROW(),2)=0</formula>
    </cfRule>
  </conditionalFormatting>
  <conditionalFormatting sqref="V7:V19">
    <cfRule type="expression" dxfId="48" priority="69">
      <formula>MOD(ROW(),2)=0</formula>
    </cfRule>
  </conditionalFormatting>
  <conditionalFormatting sqref="V23:V29">
    <cfRule type="expression" dxfId="47" priority="68">
      <formula>MOD(ROW(),2)=0</formula>
    </cfRule>
  </conditionalFormatting>
  <conditionalFormatting sqref="V33:V49">
    <cfRule type="expression" dxfId="46" priority="67">
      <formula>MOD(ROW(),2)=0</formula>
    </cfRule>
  </conditionalFormatting>
  <conditionalFormatting sqref="V53:V75">
    <cfRule type="expression" dxfId="45" priority="65">
      <formula>MOD(ROW(),2)=0</formula>
    </cfRule>
  </conditionalFormatting>
  <conditionalFormatting sqref="W7:X84 AB7:AC84 AG7:AH84">
    <cfRule type="expression" dxfId="44" priority="77">
      <formula>MOD(ROW(),2)=0</formula>
    </cfRule>
  </conditionalFormatting>
  <conditionalFormatting sqref="AA7:AA10">
    <cfRule type="expression" dxfId="43" priority="64">
      <formula>MOD(ROW(),2)=0</formula>
    </cfRule>
  </conditionalFormatting>
  <conditionalFormatting sqref="AA13:AA19 AA23:AA29 AA33:AA49 AA53:AA75">
    <cfRule type="expression" dxfId="42" priority="16">
      <formula>MOD(ROW(),2)=0</formula>
    </cfRule>
  </conditionalFormatting>
  <conditionalFormatting sqref="AF7:AF10">
    <cfRule type="expression" dxfId="41" priority="8">
      <formula>MOD(ROW(),2)=0</formula>
    </cfRule>
  </conditionalFormatting>
  <conditionalFormatting sqref="AF13:AF19">
    <cfRule type="expression" dxfId="40" priority="6">
      <formula>MOD(ROW(),2)=0</formula>
    </cfRule>
  </conditionalFormatting>
  <conditionalFormatting sqref="AF23:AF29">
    <cfRule type="expression" dxfId="39" priority="5">
      <formula>MOD(ROW(),2)=0</formula>
    </cfRule>
  </conditionalFormatting>
  <conditionalFormatting sqref="AF33:AF49">
    <cfRule type="expression" dxfId="38" priority="1">
      <formula>MOD(ROW(),2)=0</formula>
    </cfRule>
  </conditionalFormatting>
  <conditionalFormatting sqref="AF53:AF75">
    <cfRule type="expression" dxfId="37" priority="49">
      <formula>MOD(ROW(),2)=0</formula>
    </cfRule>
  </conditionalFormatting>
  <conditionalFormatting sqref="AK7:AK10">
    <cfRule type="expression" dxfId="36" priority="47">
      <formula>MOD(ROW(),2)=0</formula>
    </cfRule>
  </conditionalFormatting>
  <conditionalFormatting sqref="AK13:AK19">
    <cfRule type="expression" dxfId="35" priority="26">
      <formula>MOD(ROW(),2)=0</formula>
    </cfRule>
  </conditionalFormatting>
  <conditionalFormatting sqref="AK23:AK29">
    <cfRule type="expression" dxfId="34" priority="25">
      <formula>MOD(ROW(),2)=0</formula>
    </cfRule>
  </conditionalFormatting>
  <conditionalFormatting sqref="AK33:AK49">
    <cfRule type="expression" dxfId="33" priority="24">
      <formula>MOD(ROW(),2)=0</formula>
    </cfRule>
  </conditionalFormatting>
  <conditionalFormatting sqref="AK53:AK75">
    <cfRule type="expression" dxfId="32" priority="17">
      <formula>MOD(ROW(),2)=0</formula>
    </cfRule>
  </conditionalFormatting>
  <conditionalFormatting sqref="AL7:AM84">
    <cfRule type="expression" dxfId="31" priority="48">
      <formula>MOD(ROW(),2)=0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671B2-882C-4D4D-8433-5E6D85AEB1EB}">
  <dimension ref="B2:AM93"/>
  <sheetViews>
    <sheetView zoomScale="70" zoomScaleNormal="70" workbookViewId="0">
      <selection activeCell="V3" sqref="V3"/>
    </sheetView>
  </sheetViews>
  <sheetFormatPr defaultRowHeight="14.4" outlineLevelCol="1" x14ac:dyDescent="0.3"/>
  <cols>
    <col min="2" max="2" width="12.88671875" customWidth="1"/>
    <col min="3" max="3" width="12.33203125" customWidth="1"/>
    <col min="5" max="5" width="13.33203125" customWidth="1"/>
    <col min="6" max="6" width="3.109375" customWidth="1"/>
    <col min="7" max="7" width="67.88671875" bestFit="1" customWidth="1"/>
    <col min="8" max="8" width="13.109375" bestFit="1" customWidth="1"/>
    <col min="9" max="9" width="19.88671875" customWidth="1"/>
    <col min="10" max="10" width="1.5546875" customWidth="1"/>
    <col min="11" max="11" width="13" customWidth="1"/>
    <col min="12" max="12" width="17.44140625" customWidth="1"/>
    <col min="13" max="14" width="16" customWidth="1"/>
    <col min="15" max="15" width="1.5546875" customWidth="1"/>
    <col min="16" max="16" width="13" customWidth="1"/>
    <col min="17" max="19" width="15" customWidth="1"/>
    <col min="21" max="21" width="16.109375" customWidth="1" outlineLevel="1"/>
    <col min="22" max="22" width="13" customWidth="1" outlineLevel="1"/>
    <col min="23" max="23" width="16.44140625" customWidth="1" outlineLevel="1"/>
    <col min="24" max="24" width="15.6640625" customWidth="1" outlineLevel="1"/>
    <col min="25" max="25" width="9.109375" customWidth="1" outlineLevel="1"/>
    <col min="26" max="26" width="29.33203125" customWidth="1" outlineLevel="1"/>
    <col min="27" max="27" width="13" customWidth="1" outlineLevel="1"/>
    <col min="28" max="28" width="15.88671875" customWidth="1" outlineLevel="1"/>
    <col min="29" max="29" width="16" customWidth="1" outlineLevel="1"/>
    <col min="30" max="30" width="9.109375" customWidth="1" outlineLevel="1"/>
    <col min="31" max="31" width="37.33203125" bestFit="1" customWidth="1"/>
    <col min="32" max="32" width="13" customWidth="1"/>
    <col min="33" max="33" width="16.44140625" bestFit="1" customWidth="1"/>
    <col min="34" max="34" width="17" customWidth="1"/>
    <col min="36" max="36" width="22.5546875" customWidth="1"/>
    <col min="37" max="37" width="13" customWidth="1"/>
    <col min="38" max="38" width="16.44140625" bestFit="1" customWidth="1"/>
    <col min="39" max="39" width="15.6640625" bestFit="1" customWidth="1"/>
    <col min="41" max="42" width="12.44140625" bestFit="1" customWidth="1"/>
  </cols>
  <sheetData>
    <row r="2" spans="2:39" ht="46.5" customHeight="1" x14ac:dyDescent="0.3">
      <c r="I2" s="1"/>
      <c r="K2" s="49" t="s">
        <v>114</v>
      </c>
      <c r="L2" s="49"/>
      <c r="M2" s="20"/>
      <c r="N2" s="20"/>
      <c r="P2" s="49" t="s">
        <v>116</v>
      </c>
      <c r="Q2" s="49"/>
      <c r="R2" s="38"/>
      <c r="S2" s="38"/>
      <c r="V2" s="49" t="s">
        <v>132</v>
      </c>
      <c r="W2" s="49"/>
      <c r="AA2" s="49" t="s">
        <v>126</v>
      </c>
      <c r="AB2" s="49"/>
      <c r="AF2" s="49" t="s">
        <v>128</v>
      </c>
      <c r="AG2" s="49"/>
      <c r="AK2" s="49" t="s">
        <v>130</v>
      </c>
      <c r="AL2" s="49"/>
    </row>
    <row r="3" spans="2:39" ht="76.95" customHeight="1" x14ac:dyDescent="0.3">
      <c r="B3" s="1" t="s">
        <v>100</v>
      </c>
      <c r="C3" s="1" t="s">
        <v>90</v>
      </c>
      <c r="D3" s="41"/>
      <c r="E3" s="1" t="s">
        <v>0</v>
      </c>
      <c r="F3" s="1"/>
      <c r="G3" s="1" t="s">
        <v>1</v>
      </c>
      <c r="I3" s="1" t="s">
        <v>65</v>
      </c>
      <c r="K3" s="20" t="s">
        <v>66</v>
      </c>
      <c r="L3" s="20" t="s">
        <v>97</v>
      </c>
      <c r="M3" s="20" t="s">
        <v>99</v>
      </c>
      <c r="N3" s="20" t="s">
        <v>98</v>
      </c>
      <c r="P3" s="20" t="s">
        <v>66</v>
      </c>
      <c r="Q3" s="20" t="s">
        <v>67</v>
      </c>
      <c r="R3" s="38" t="s">
        <v>99</v>
      </c>
      <c r="S3" s="38" t="s">
        <v>98</v>
      </c>
      <c r="U3" s="20" t="s">
        <v>68</v>
      </c>
      <c r="V3" s="20" t="s">
        <v>115</v>
      </c>
      <c r="W3" s="20" t="s">
        <v>67</v>
      </c>
      <c r="X3" s="48" t="s">
        <v>125</v>
      </c>
      <c r="Z3" s="20" t="s">
        <v>75</v>
      </c>
      <c r="AA3" s="20" t="s">
        <v>66</v>
      </c>
      <c r="AB3" s="20" t="s">
        <v>67</v>
      </c>
      <c r="AC3" s="48" t="s">
        <v>127</v>
      </c>
      <c r="AE3" s="20" t="s">
        <v>82</v>
      </c>
      <c r="AF3" s="20" t="s">
        <v>66</v>
      </c>
      <c r="AG3" s="20" t="s">
        <v>67</v>
      </c>
      <c r="AH3" s="48" t="s">
        <v>129</v>
      </c>
      <c r="AJ3" s="20" t="s">
        <v>89</v>
      </c>
      <c r="AK3" s="20" t="s">
        <v>66</v>
      </c>
      <c r="AL3" s="20" t="s">
        <v>67</v>
      </c>
      <c r="AM3" s="48" t="s">
        <v>131</v>
      </c>
    </row>
    <row r="4" spans="2:39" x14ac:dyDescent="0.3">
      <c r="E4" s="2"/>
      <c r="F4" s="3"/>
      <c r="G4" s="2"/>
      <c r="Q4" s="46" t="s">
        <v>117</v>
      </c>
      <c r="W4" s="46" t="s">
        <v>118</v>
      </c>
      <c r="X4" s="47" t="s">
        <v>119</v>
      </c>
      <c r="AB4" s="46" t="s">
        <v>120</v>
      </c>
      <c r="AC4" s="47" t="s">
        <v>121</v>
      </c>
      <c r="AG4" s="46" t="s">
        <v>120</v>
      </c>
      <c r="AH4" s="47" t="s">
        <v>122</v>
      </c>
      <c r="AL4" s="46" t="s">
        <v>123</v>
      </c>
      <c r="AM4" s="47" t="s">
        <v>124</v>
      </c>
    </row>
    <row r="5" spans="2:39" x14ac:dyDescent="0.3">
      <c r="E5" s="4"/>
      <c r="F5" s="5"/>
      <c r="G5" s="5"/>
    </row>
    <row r="6" spans="2:39" x14ac:dyDescent="0.3">
      <c r="E6" s="6" t="s">
        <v>2</v>
      </c>
      <c r="F6" s="5"/>
      <c r="G6" s="5"/>
    </row>
    <row r="7" spans="2:39" x14ac:dyDescent="0.3">
      <c r="E7" s="7">
        <v>442</v>
      </c>
      <c r="F7" s="5"/>
      <c r="G7" s="4" t="s">
        <v>3</v>
      </c>
      <c r="H7" s="45">
        <v>8.5</v>
      </c>
      <c r="I7" s="12">
        <f>H7*1000000</f>
        <v>8500000</v>
      </c>
      <c r="K7" s="25">
        <v>1.68616597456283E-2</v>
      </c>
      <c r="L7" s="12">
        <f>I7*K7</f>
        <v>143324.10783784054</v>
      </c>
      <c r="M7" s="27">
        <v>0.1</v>
      </c>
      <c r="N7" s="27">
        <f>ROUND(L7/1000000,1)-M7</f>
        <v>0</v>
      </c>
      <c r="P7" s="11">
        <v>1.66E-2</v>
      </c>
      <c r="Q7" s="12">
        <f>I7*P7</f>
        <v>141100</v>
      </c>
      <c r="R7" s="27">
        <v>0.1</v>
      </c>
      <c r="S7" s="27">
        <f>ROUND(Q7/1000000,1)-R7</f>
        <v>0</v>
      </c>
      <c r="V7" s="11">
        <f>P7</f>
        <v>1.66E-2</v>
      </c>
      <c r="W7" s="12">
        <f>I7*V7</f>
        <v>141100</v>
      </c>
      <c r="X7" s="12">
        <f t="shared" ref="X7:X9" si="0">W7-Q7</f>
        <v>0</v>
      </c>
      <c r="AA7" s="11">
        <f>V7</f>
        <v>1.66E-2</v>
      </c>
      <c r="AB7" s="12">
        <f>I7*AA7</f>
        <v>141100</v>
      </c>
      <c r="AC7" s="12">
        <f>AB7-W7</f>
        <v>0</v>
      </c>
      <c r="AF7" s="11">
        <f t="shared" ref="AF7:AF9" si="1">P7</f>
        <v>1.66E-2</v>
      </c>
      <c r="AG7" s="12">
        <f>I7*AF7</f>
        <v>141100</v>
      </c>
      <c r="AH7" s="12">
        <f>AG7-Q7</f>
        <v>0</v>
      </c>
      <c r="AK7" s="11">
        <f>P7</f>
        <v>1.66E-2</v>
      </c>
      <c r="AL7" s="12">
        <f>I7*AK7</f>
        <v>141100</v>
      </c>
      <c r="AM7" s="12">
        <f>AL7-Q7</f>
        <v>0</v>
      </c>
    </row>
    <row r="8" spans="2:39" x14ac:dyDescent="0.3">
      <c r="E8" s="7">
        <v>443.01</v>
      </c>
      <c r="F8" s="5"/>
      <c r="G8" s="4" t="s">
        <v>4</v>
      </c>
      <c r="H8" s="45">
        <v>7.3</v>
      </c>
      <c r="I8" s="12">
        <f t="shared" ref="I8:I71" si="2">H8*1000000</f>
        <v>7300000</v>
      </c>
      <c r="K8" s="25">
        <v>9.5778858554789893E-3</v>
      </c>
      <c r="L8" s="12">
        <f t="shared" ref="L8:L9" si="3">I8*K8</f>
        <v>69918.566744996628</v>
      </c>
      <c r="M8" s="27">
        <v>0.1</v>
      </c>
      <c r="N8" s="27">
        <f t="shared" ref="N8:N71" si="4">ROUND(L8/1000000,1)-M8</f>
        <v>0</v>
      </c>
      <c r="P8" s="11">
        <v>8.8999999999999999E-3</v>
      </c>
      <c r="Q8" s="12">
        <f t="shared" ref="Q8:Q9" si="5">I8*P8</f>
        <v>64970</v>
      </c>
      <c r="R8" s="27">
        <v>0.1</v>
      </c>
      <c r="S8" s="27">
        <f t="shared" ref="S8:S71" si="6">ROUND(Q8/1000000,1)-R8</f>
        <v>0</v>
      </c>
      <c r="V8" s="11">
        <f t="shared" ref="V8:V13" si="7">P8</f>
        <v>8.8999999999999999E-3</v>
      </c>
      <c r="W8" s="12">
        <f t="shared" ref="W8:W71" si="8">I8*V8</f>
        <v>64970</v>
      </c>
      <c r="X8" s="12">
        <f t="shared" si="0"/>
        <v>0</v>
      </c>
      <c r="AA8" s="11">
        <f t="shared" ref="AA8:AA9" si="9">V8</f>
        <v>8.8999999999999999E-3</v>
      </c>
      <c r="AB8" s="12">
        <f t="shared" ref="AB8:AB9" si="10">I8*AA8</f>
        <v>64970</v>
      </c>
      <c r="AC8" s="12">
        <f t="shared" ref="AC8:AC9" si="11">AB8-W8</f>
        <v>0</v>
      </c>
      <c r="AF8" s="11">
        <f t="shared" si="1"/>
        <v>8.8999999999999999E-3</v>
      </c>
      <c r="AG8" s="12">
        <f t="shared" ref="AG8:AG9" si="12">I8*AF8</f>
        <v>64970</v>
      </c>
      <c r="AH8" s="12">
        <f t="shared" ref="AH8:AH9" si="13">AG8-Q8</f>
        <v>0</v>
      </c>
      <c r="AK8" s="11">
        <f>P8</f>
        <v>8.8999999999999999E-3</v>
      </c>
      <c r="AL8" s="12">
        <f t="shared" ref="AL8:AL9" si="14">I8*AK8</f>
        <v>64970</v>
      </c>
      <c r="AM8" s="12">
        <f>AL8-Q8</f>
        <v>0</v>
      </c>
    </row>
    <row r="9" spans="2:39" x14ac:dyDescent="0.3">
      <c r="E9" s="7">
        <v>443.02</v>
      </c>
      <c r="F9" s="5"/>
      <c r="G9" s="4" t="s">
        <v>5</v>
      </c>
      <c r="H9" s="45">
        <v>24.8</v>
      </c>
      <c r="I9" s="13">
        <f t="shared" si="2"/>
        <v>24800000</v>
      </c>
      <c r="K9" s="25">
        <v>1.0632710887501499E-2</v>
      </c>
      <c r="L9" s="12">
        <f t="shared" si="3"/>
        <v>263691.23001003719</v>
      </c>
      <c r="M9" s="27">
        <v>0.3</v>
      </c>
      <c r="N9" s="27">
        <f t="shared" si="4"/>
        <v>0</v>
      </c>
      <c r="P9" s="11">
        <v>9.9000000000000008E-3</v>
      </c>
      <c r="Q9" s="12">
        <f t="shared" si="5"/>
        <v>245520.00000000003</v>
      </c>
      <c r="R9" s="27">
        <v>0.2</v>
      </c>
      <c r="S9" s="27">
        <f t="shared" si="6"/>
        <v>0</v>
      </c>
      <c r="V9" s="11">
        <f t="shared" si="7"/>
        <v>9.9000000000000008E-3</v>
      </c>
      <c r="W9" s="12">
        <f t="shared" si="8"/>
        <v>245520.00000000003</v>
      </c>
      <c r="X9" s="12">
        <f t="shared" si="0"/>
        <v>0</v>
      </c>
      <c r="AA9" s="11">
        <f t="shared" si="9"/>
        <v>9.9000000000000008E-3</v>
      </c>
      <c r="AB9" s="12">
        <f t="shared" si="10"/>
        <v>245520.00000000003</v>
      </c>
      <c r="AC9" s="12">
        <f t="shared" si="11"/>
        <v>0</v>
      </c>
      <c r="AF9" s="11">
        <f t="shared" si="1"/>
        <v>9.9000000000000008E-3</v>
      </c>
      <c r="AG9" s="12">
        <f t="shared" si="12"/>
        <v>245520.00000000003</v>
      </c>
      <c r="AH9" s="12">
        <f t="shared" si="13"/>
        <v>0</v>
      </c>
      <c r="AK9" s="11">
        <f>P9</f>
        <v>9.9000000000000008E-3</v>
      </c>
      <c r="AL9" s="12">
        <f t="shared" si="14"/>
        <v>245520.00000000003</v>
      </c>
      <c r="AM9" s="12">
        <f>AL9-Q9</f>
        <v>0</v>
      </c>
    </row>
    <row r="10" spans="2:39" x14ac:dyDescent="0.3">
      <c r="E10" s="6" t="s">
        <v>6</v>
      </c>
      <c r="F10" s="5"/>
      <c r="G10" s="5"/>
      <c r="H10" s="45"/>
      <c r="I10" s="14"/>
      <c r="K10" s="25"/>
      <c r="L10" s="14"/>
      <c r="M10" s="28"/>
      <c r="N10" s="27">
        <f t="shared" si="4"/>
        <v>0</v>
      </c>
      <c r="P10" s="11"/>
      <c r="Q10" s="14"/>
      <c r="R10" s="35"/>
      <c r="S10" s="27"/>
      <c r="V10" s="11"/>
      <c r="W10" s="12"/>
      <c r="X10" s="12"/>
      <c r="AA10" s="11"/>
      <c r="AB10" s="12"/>
      <c r="AC10" s="12"/>
      <c r="AF10" s="11"/>
      <c r="AG10" s="12"/>
      <c r="AH10" s="12"/>
      <c r="AK10" s="11"/>
      <c r="AL10" s="12"/>
      <c r="AM10" s="12"/>
    </row>
    <row r="11" spans="2:39" x14ac:dyDescent="0.3">
      <c r="E11" s="4"/>
      <c r="F11" s="5"/>
      <c r="G11" s="5"/>
      <c r="H11" s="45"/>
      <c r="I11" s="15">
        <f t="shared" si="2"/>
        <v>0</v>
      </c>
      <c r="K11" s="10"/>
      <c r="L11" s="15"/>
      <c r="M11" s="29"/>
      <c r="N11" s="27">
        <f t="shared" si="4"/>
        <v>0</v>
      </c>
      <c r="P11" s="10"/>
      <c r="Q11" s="15"/>
      <c r="R11" s="36"/>
      <c r="S11" s="27"/>
      <c r="V11" s="11"/>
      <c r="W11" s="12"/>
      <c r="X11" s="12"/>
      <c r="AA11" s="10"/>
      <c r="AB11" s="12"/>
      <c r="AC11" s="12"/>
      <c r="AF11" s="10"/>
      <c r="AG11" s="12"/>
      <c r="AH11" s="12"/>
      <c r="AK11" s="10"/>
      <c r="AL11" s="12"/>
      <c r="AM11" s="12"/>
    </row>
    <row r="12" spans="2:39" x14ac:dyDescent="0.3">
      <c r="E12" s="6" t="s">
        <v>7</v>
      </c>
      <c r="F12" s="5"/>
      <c r="G12" s="5"/>
      <c r="H12" s="45"/>
      <c r="I12" s="15">
        <f t="shared" si="2"/>
        <v>0</v>
      </c>
      <c r="K12" s="10"/>
      <c r="L12" s="15"/>
      <c r="M12" s="29"/>
      <c r="N12" s="27">
        <f t="shared" si="4"/>
        <v>0</v>
      </c>
      <c r="P12" s="10"/>
      <c r="Q12" s="15"/>
      <c r="R12" s="36"/>
      <c r="S12" s="27"/>
      <c r="V12" s="11"/>
      <c r="W12" s="12"/>
      <c r="X12" s="12"/>
      <c r="AA12" s="10"/>
      <c r="AB12" s="12"/>
      <c r="AC12" s="12"/>
      <c r="AF12" s="10"/>
      <c r="AG12" s="12"/>
      <c r="AH12" s="12"/>
      <c r="AK12" s="10"/>
      <c r="AL12" s="12"/>
      <c r="AM12" s="12"/>
    </row>
    <row r="13" spans="2:39" x14ac:dyDescent="0.3">
      <c r="E13" s="7">
        <v>451</v>
      </c>
      <c r="F13" s="5"/>
      <c r="G13" s="4" t="s">
        <v>8</v>
      </c>
      <c r="H13" s="45">
        <f>42.8+33.7</f>
        <v>76.5</v>
      </c>
      <c r="I13" s="12">
        <f t="shared" si="2"/>
        <v>76500000</v>
      </c>
      <c r="K13" s="24">
        <v>1.4800000000000001E-2</v>
      </c>
      <c r="L13" s="12">
        <f t="shared" ref="L13:L19" si="15">I13*K13</f>
        <v>1132200</v>
      </c>
      <c r="M13" s="27">
        <v>1.1000000000000001</v>
      </c>
      <c r="N13" s="27">
        <f t="shared" si="4"/>
        <v>0</v>
      </c>
      <c r="P13" s="11">
        <v>1.43E-2</v>
      </c>
      <c r="Q13" s="12">
        <f t="shared" ref="Q13:Q19" si="16">I13*P13</f>
        <v>1093950</v>
      </c>
      <c r="R13" s="27">
        <v>1.1000000000000001</v>
      </c>
      <c r="S13" s="27">
        <f t="shared" si="6"/>
        <v>0</v>
      </c>
      <c r="V13" s="11">
        <f t="shared" si="7"/>
        <v>1.43E-2</v>
      </c>
      <c r="W13" s="12">
        <f t="shared" si="8"/>
        <v>1093950</v>
      </c>
      <c r="X13" s="12">
        <f t="shared" ref="X13:X19" si="17">W13-Q13</f>
        <v>0</v>
      </c>
      <c r="AA13" s="11">
        <f t="shared" ref="AA13" si="18">V13</f>
        <v>1.43E-2</v>
      </c>
      <c r="AB13" s="12">
        <f t="shared" ref="AB13" si="19">I13*AA13</f>
        <v>1093950</v>
      </c>
      <c r="AC13" s="12">
        <f t="shared" ref="AC13:AC19" si="20">AB13-W13</f>
        <v>0</v>
      </c>
      <c r="AF13" s="11">
        <f>P13</f>
        <v>1.43E-2</v>
      </c>
      <c r="AG13" s="12">
        <f t="shared" ref="AG13:AG19" si="21">I13*AF13</f>
        <v>1093950</v>
      </c>
      <c r="AH13" s="12">
        <f t="shared" ref="AH13:AH19" si="22">AG13-Q13</f>
        <v>0</v>
      </c>
      <c r="AK13" s="11">
        <v>1.43E-2</v>
      </c>
      <c r="AL13" s="12">
        <f t="shared" ref="AL13" si="23">I13*AK13</f>
        <v>1093950</v>
      </c>
      <c r="AM13" s="12">
        <f t="shared" ref="AM13:AM19" si="24">AL13-Q13</f>
        <v>0</v>
      </c>
    </row>
    <row r="14" spans="2:39" x14ac:dyDescent="0.3">
      <c r="B14" s="42">
        <v>-0.1</v>
      </c>
      <c r="C14" s="42">
        <v>-0.15</v>
      </c>
      <c r="D14" s="42"/>
      <c r="E14" s="7">
        <v>452</v>
      </c>
      <c r="F14" s="5"/>
      <c r="G14" s="8" t="s">
        <v>3</v>
      </c>
      <c r="H14" s="45">
        <f>32.3+83.5</f>
        <v>115.8</v>
      </c>
      <c r="I14" s="12">
        <f t="shared" si="2"/>
        <v>115800000</v>
      </c>
      <c r="K14" s="25">
        <v>3.9399999999999998E-2</v>
      </c>
      <c r="L14" s="12">
        <f t="shared" si="15"/>
        <v>4562520</v>
      </c>
      <c r="M14" s="27">
        <v>4.5</v>
      </c>
      <c r="N14" s="27">
        <f t="shared" si="4"/>
        <v>9.9999999999999645E-2</v>
      </c>
      <c r="P14" s="23">
        <v>3.2000000000000001E-2</v>
      </c>
      <c r="Q14" s="12">
        <f t="shared" si="16"/>
        <v>3705600</v>
      </c>
      <c r="R14" s="27">
        <v>3.7</v>
      </c>
      <c r="S14" s="27">
        <f t="shared" si="6"/>
        <v>0</v>
      </c>
      <c r="U14" t="s">
        <v>69</v>
      </c>
      <c r="V14" s="11">
        <f>'[1]45-R2.5 Acc 452 ASL'!$H$97</f>
        <v>2.1828675231416472E-2</v>
      </c>
      <c r="W14" s="12">
        <f>I14*V14</f>
        <v>2527760.5917980275</v>
      </c>
      <c r="X14" s="12">
        <f t="shared" si="17"/>
        <v>-1177839.4082019725</v>
      </c>
      <c r="Z14" t="s">
        <v>76</v>
      </c>
      <c r="AA14" s="11">
        <f>AB14/I14</f>
        <v>2.3572483665527184E-2</v>
      </c>
      <c r="AB14" s="12">
        <f>W14/(1-B14)+[2]Summary!D7</f>
        <v>2729693.6084680478</v>
      </c>
      <c r="AC14" s="12">
        <f>AB14-W14</f>
        <v>201933.0166700203</v>
      </c>
      <c r="AE14" t="s">
        <v>83</v>
      </c>
      <c r="AF14" s="11">
        <f>AA14</f>
        <v>2.3572483665527184E-2</v>
      </c>
      <c r="AG14" s="12">
        <f t="shared" si="21"/>
        <v>2729693.6084680478</v>
      </c>
      <c r="AH14" s="12">
        <f>AG14-Q14</f>
        <v>-975906.39153195219</v>
      </c>
      <c r="AJ14" t="s">
        <v>69</v>
      </c>
      <c r="AK14" s="11">
        <f>AL14/I14</f>
        <v>2.28208877419354E-2</v>
      </c>
      <c r="AL14" s="12">
        <f>W14/(1-B14)*(1-C14)</f>
        <v>2642658.8005161192</v>
      </c>
      <c r="AM14" s="12">
        <f t="shared" si="24"/>
        <v>-1062941.1994838808</v>
      </c>
    </row>
    <row r="15" spans="2:39" x14ac:dyDescent="0.3">
      <c r="B15" s="42">
        <v>-0.3</v>
      </c>
      <c r="C15" s="42">
        <v>-0.5</v>
      </c>
      <c r="D15" s="42"/>
      <c r="E15" s="7">
        <v>453</v>
      </c>
      <c r="F15" s="5"/>
      <c r="G15" s="4" t="s">
        <v>9</v>
      </c>
      <c r="H15" s="45">
        <f>111.3+82.6</f>
        <v>193.89999999999998</v>
      </c>
      <c r="I15" s="12">
        <f t="shared" si="2"/>
        <v>193899999.99999997</v>
      </c>
      <c r="K15" s="25">
        <v>3.8531379548483499E-2</v>
      </c>
      <c r="L15" s="12">
        <f>I15*K15</f>
        <v>7471234.4944509491</v>
      </c>
      <c r="M15" s="27">
        <v>7.3</v>
      </c>
      <c r="N15" s="27">
        <f t="shared" si="4"/>
        <v>0.20000000000000018</v>
      </c>
      <c r="P15" s="11">
        <v>3.1699999999999999E-2</v>
      </c>
      <c r="Q15" s="12">
        <f t="shared" si="16"/>
        <v>6146629.9999999991</v>
      </c>
      <c r="R15" s="27">
        <v>6</v>
      </c>
      <c r="S15" s="27">
        <f t="shared" si="6"/>
        <v>9.9999999999999645E-2</v>
      </c>
      <c r="V15" s="11">
        <f>P15</f>
        <v>3.1699999999999999E-2</v>
      </c>
      <c r="W15" s="12">
        <f t="shared" si="8"/>
        <v>6146629.9999999991</v>
      </c>
      <c r="X15" s="12">
        <f t="shared" si="17"/>
        <v>0</v>
      </c>
      <c r="Z15" t="s">
        <v>76</v>
      </c>
      <c r="AA15" s="11">
        <f>AB15/I15</f>
        <v>3.1617330892487173E-2</v>
      </c>
      <c r="AB15" s="12">
        <f>W15/(1-B15)+[2]Summary!D8</f>
        <v>6130600.4600532614</v>
      </c>
      <c r="AC15" s="12">
        <f t="shared" si="20"/>
        <v>-16029.539946737699</v>
      </c>
      <c r="AE15" t="s">
        <v>76</v>
      </c>
      <c r="AF15" s="11">
        <f>AA15</f>
        <v>3.1617330892487173E-2</v>
      </c>
      <c r="AG15" s="12">
        <f t="shared" si="21"/>
        <v>6130600.4600532623</v>
      </c>
      <c r="AH15" s="12">
        <f t="shared" si="22"/>
        <v>-16029.539946736768</v>
      </c>
      <c r="AK15" s="11">
        <f>AL15/I15</f>
        <v>3.6576923076923076E-2</v>
      </c>
      <c r="AL15" s="12">
        <f>W15/(1-B15)*(1-C15)</f>
        <v>7092265.3846153831</v>
      </c>
      <c r="AM15" s="12">
        <f t="shared" si="24"/>
        <v>945635.38461538404</v>
      </c>
    </row>
    <row r="16" spans="2:39" x14ac:dyDescent="0.3">
      <c r="E16" s="7">
        <v>454</v>
      </c>
      <c r="F16" s="5"/>
      <c r="G16" s="4" t="s">
        <v>10</v>
      </c>
      <c r="H16" s="45">
        <v>17.3</v>
      </c>
      <c r="I16" s="12">
        <f t="shared" si="2"/>
        <v>17300000</v>
      </c>
      <c r="K16" s="24">
        <v>1.32E-2</v>
      </c>
      <c r="L16" s="12">
        <f t="shared" si="15"/>
        <v>228360</v>
      </c>
      <c r="M16" s="27">
        <v>0.2</v>
      </c>
      <c r="N16" s="27">
        <f t="shared" si="4"/>
        <v>0</v>
      </c>
      <c r="P16" s="23">
        <v>1.01E-2</v>
      </c>
      <c r="Q16" s="12">
        <f t="shared" si="16"/>
        <v>174730</v>
      </c>
      <c r="R16" s="27">
        <v>0.2</v>
      </c>
      <c r="S16" s="27">
        <f t="shared" si="6"/>
        <v>0</v>
      </c>
      <c r="V16" s="11">
        <f>P16</f>
        <v>1.01E-2</v>
      </c>
      <c r="W16" s="12">
        <f t="shared" si="8"/>
        <v>174730</v>
      </c>
      <c r="X16" s="12">
        <f t="shared" si="17"/>
        <v>0</v>
      </c>
      <c r="AA16" s="11">
        <f t="shared" ref="AA16" si="25">V16</f>
        <v>1.01E-2</v>
      </c>
      <c r="AB16" s="12">
        <f t="shared" ref="AB16" si="26">I16*AA16</f>
        <v>174730</v>
      </c>
      <c r="AC16" s="12">
        <f t="shared" si="20"/>
        <v>0</v>
      </c>
      <c r="AF16" s="11">
        <f>P16</f>
        <v>1.01E-2</v>
      </c>
      <c r="AG16" s="12">
        <f t="shared" si="21"/>
        <v>174730</v>
      </c>
      <c r="AH16" s="12">
        <f t="shared" si="22"/>
        <v>0</v>
      </c>
      <c r="AK16" s="11">
        <f>P16</f>
        <v>1.01E-2</v>
      </c>
      <c r="AL16" s="12">
        <f t="shared" ref="AL16" si="27">I16*AK16</f>
        <v>174730</v>
      </c>
      <c r="AM16" s="12">
        <f t="shared" si="24"/>
        <v>0</v>
      </c>
    </row>
    <row r="17" spans="2:39" x14ac:dyDescent="0.3">
      <c r="B17" s="42">
        <v>-0.08</v>
      </c>
      <c r="C17" s="42">
        <v>-0.15</v>
      </c>
      <c r="D17" s="42"/>
      <c r="E17" s="7">
        <v>455</v>
      </c>
      <c r="F17" s="5"/>
      <c r="G17" s="4" t="s">
        <v>11</v>
      </c>
      <c r="H17" s="45">
        <f>211.1+47.8</f>
        <v>258.89999999999998</v>
      </c>
      <c r="I17" s="12">
        <f t="shared" si="2"/>
        <v>258899999.99999997</v>
      </c>
      <c r="K17" s="24">
        <v>2.5399999999999999E-2</v>
      </c>
      <c r="L17" s="12">
        <f t="shared" si="15"/>
        <v>6576059.9999999991</v>
      </c>
      <c r="M17" s="27">
        <v>6.4</v>
      </c>
      <c r="N17" s="27">
        <f t="shared" si="4"/>
        <v>0.19999999999999929</v>
      </c>
      <c r="P17" s="23">
        <v>2.23E-2</v>
      </c>
      <c r="Q17" s="12">
        <f t="shared" si="16"/>
        <v>5773469.9999999991</v>
      </c>
      <c r="R17" s="27">
        <v>5.6</v>
      </c>
      <c r="S17" s="27">
        <f t="shared" si="6"/>
        <v>0.20000000000000018</v>
      </c>
      <c r="V17" s="11">
        <f>P17</f>
        <v>2.23E-2</v>
      </c>
      <c r="W17" s="12">
        <f t="shared" si="8"/>
        <v>5773469.9999999991</v>
      </c>
      <c r="X17" s="12">
        <f t="shared" si="17"/>
        <v>0</v>
      </c>
      <c r="Z17" t="s">
        <v>76</v>
      </c>
      <c r="AA17" s="11">
        <f t="shared" ref="AA17:AA19" si="28">AB17/I17</f>
        <v>2.2151636670783185E-2</v>
      </c>
      <c r="AB17" s="12">
        <f>W17/(1-B17)+[2]Summary!D9</f>
        <v>5735058.7340657655</v>
      </c>
      <c r="AC17" s="12">
        <f t="shared" si="20"/>
        <v>-38411.265934233554</v>
      </c>
      <c r="AE17" t="s">
        <v>76</v>
      </c>
      <c r="AF17" s="11">
        <f t="shared" ref="AF17:AF19" si="29">AA17</f>
        <v>2.2151636670783185E-2</v>
      </c>
      <c r="AG17" s="12">
        <f t="shared" si="21"/>
        <v>5735058.7340657655</v>
      </c>
      <c r="AH17" s="12">
        <f t="shared" si="22"/>
        <v>-38411.265934233554</v>
      </c>
      <c r="AK17" s="11">
        <f>AL17/I17</f>
        <v>2.3745370370370365E-2</v>
      </c>
      <c r="AL17" s="12">
        <f>W17/(1-B17)*(1-C17)</f>
        <v>6147676.3888888871</v>
      </c>
      <c r="AM17" s="12">
        <f t="shared" si="24"/>
        <v>374206.38888888806</v>
      </c>
    </row>
    <row r="18" spans="2:39" x14ac:dyDescent="0.3">
      <c r="B18" s="42">
        <v>-0.06</v>
      </c>
      <c r="C18" s="42">
        <v>-0.1</v>
      </c>
      <c r="D18" s="42"/>
      <c r="E18" s="7">
        <v>456</v>
      </c>
      <c r="F18" s="5"/>
      <c r="G18" s="4" t="s">
        <v>12</v>
      </c>
      <c r="H18" s="45">
        <f>234.2+491.6</f>
        <v>725.8</v>
      </c>
      <c r="I18" s="12">
        <f t="shared" si="2"/>
        <v>725800000</v>
      </c>
      <c r="K18" s="24">
        <v>2.8799999999999999E-2</v>
      </c>
      <c r="L18" s="12">
        <f t="shared" si="15"/>
        <v>20903040</v>
      </c>
      <c r="M18" s="27">
        <v>20.9</v>
      </c>
      <c r="N18" s="27">
        <f t="shared" si="4"/>
        <v>0</v>
      </c>
      <c r="P18" s="23">
        <v>2.6499999999999999E-2</v>
      </c>
      <c r="Q18" s="12">
        <f t="shared" si="16"/>
        <v>19233700</v>
      </c>
      <c r="R18" s="27">
        <v>19.2</v>
      </c>
      <c r="S18" s="27">
        <f t="shared" si="6"/>
        <v>0</v>
      </c>
      <c r="U18" t="s">
        <v>70</v>
      </c>
      <c r="V18" s="11">
        <f>'[1]44-R4 Acc 456 ASL'!$H$80</f>
        <v>2.2394998589104341E-2</v>
      </c>
      <c r="W18" s="12">
        <f t="shared" si="8"/>
        <v>16254289.975971932</v>
      </c>
      <c r="X18" s="12">
        <f t="shared" si="17"/>
        <v>-2979410.0240280684</v>
      </c>
      <c r="Z18" t="s">
        <v>76</v>
      </c>
      <c r="AA18" s="11">
        <f t="shared" si="28"/>
        <v>2.2684483585620405E-2</v>
      </c>
      <c r="AB18" s="12">
        <f>W18/(1-B18)+[2]Summary!D10</f>
        <v>16464398.18644329</v>
      </c>
      <c r="AC18" s="12">
        <f t="shared" si="20"/>
        <v>210108.21047135815</v>
      </c>
      <c r="AE18" t="s">
        <v>84</v>
      </c>
      <c r="AF18" s="11">
        <f t="shared" si="29"/>
        <v>2.2684483585620405E-2</v>
      </c>
      <c r="AG18" s="12">
        <f t="shared" si="21"/>
        <v>16464398.18644329</v>
      </c>
      <c r="AH18" s="12">
        <f t="shared" si="22"/>
        <v>-2769301.8135567103</v>
      </c>
      <c r="AJ18" t="s">
        <v>70</v>
      </c>
      <c r="AK18" s="11">
        <f>AL18/I18</f>
        <v>2.3240092875485639E-2</v>
      </c>
      <c r="AL18" s="12">
        <f>W18/(1-B18)*(1-C18)</f>
        <v>16867659.409027476</v>
      </c>
      <c r="AM18" s="12">
        <f t="shared" si="24"/>
        <v>-2366040.5909725241</v>
      </c>
    </row>
    <row r="19" spans="2:39" x14ac:dyDescent="0.3">
      <c r="B19" s="42">
        <v>-0.14000000000000001</v>
      </c>
      <c r="C19" s="42">
        <v>-0.2</v>
      </c>
      <c r="D19" s="42"/>
      <c r="E19" s="7">
        <v>457</v>
      </c>
      <c r="F19" s="5"/>
      <c r="G19" s="4" t="s">
        <v>13</v>
      </c>
      <c r="H19" s="45">
        <f>11.2+97.7</f>
        <v>108.9</v>
      </c>
      <c r="I19" s="13">
        <f t="shared" si="2"/>
        <v>108900000</v>
      </c>
      <c r="K19" s="24">
        <v>2.5999999999999999E-2</v>
      </c>
      <c r="L19" s="12">
        <f t="shared" si="15"/>
        <v>2831400</v>
      </c>
      <c r="M19" s="27">
        <v>2.8</v>
      </c>
      <c r="N19" s="27">
        <f t="shared" si="4"/>
        <v>0</v>
      </c>
      <c r="P19" s="23">
        <v>2.2700000000000001E-2</v>
      </c>
      <c r="Q19" s="12">
        <f t="shared" si="16"/>
        <v>2472030</v>
      </c>
      <c r="R19" s="27">
        <v>2.4</v>
      </c>
      <c r="S19" s="27">
        <f t="shared" si="6"/>
        <v>0.10000000000000009</v>
      </c>
      <c r="U19" t="s">
        <v>71</v>
      </c>
      <c r="V19" s="11">
        <f>'[1]40-R2.5 Acc 457 ASL'!$H$87</f>
        <v>1.7754096633357995E-2</v>
      </c>
      <c r="W19" s="12">
        <f t="shared" si="8"/>
        <v>1933421.1233726856</v>
      </c>
      <c r="X19" s="12">
        <f t="shared" si="17"/>
        <v>-538608.87662731437</v>
      </c>
      <c r="Z19" t="s">
        <v>76</v>
      </c>
      <c r="AA19" s="11">
        <f t="shared" si="28"/>
        <v>1.9687905000020559E-2</v>
      </c>
      <c r="AB19" s="12">
        <f>W19/(1-B19)+[2]Summary!D11</f>
        <v>2144012.8545022388</v>
      </c>
      <c r="AC19" s="12">
        <f t="shared" si="20"/>
        <v>210591.73112955317</v>
      </c>
      <c r="AE19" t="s">
        <v>85</v>
      </c>
      <c r="AF19" s="11">
        <f t="shared" si="29"/>
        <v>1.9687905000020559E-2</v>
      </c>
      <c r="AG19" s="12">
        <f t="shared" si="21"/>
        <v>2144012.8545022388</v>
      </c>
      <c r="AH19" s="12">
        <f t="shared" si="22"/>
        <v>-328017.1454977612</v>
      </c>
      <c r="AJ19" t="s">
        <v>71</v>
      </c>
      <c r="AK19" s="11">
        <f>AL19/I19</f>
        <v>1.868852277195578E-2</v>
      </c>
      <c r="AL19" s="12">
        <f>W19/(1-B19)*(1-C19)</f>
        <v>2035180.1298659844</v>
      </c>
      <c r="AM19" s="12">
        <f t="shared" si="24"/>
        <v>-436849.87013401557</v>
      </c>
    </row>
    <row r="20" spans="2:39" x14ac:dyDescent="0.3">
      <c r="E20" s="6" t="s">
        <v>14</v>
      </c>
      <c r="F20" s="5"/>
      <c r="G20" s="4"/>
      <c r="H20" s="45"/>
      <c r="I20" s="16"/>
      <c r="K20" s="10"/>
      <c r="L20" s="16"/>
      <c r="M20" s="30"/>
      <c r="N20" s="27"/>
      <c r="P20" s="10"/>
      <c r="Q20" s="16"/>
      <c r="R20" s="30"/>
      <c r="S20" s="27"/>
      <c r="V20" s="10"/>
      <c r="W20" s="12"/>
      <c r="X20" s="12"/>
      <c r="AA20" s="10"/>
      <c r="AB20" s="12"/>
      <c r="AC20" s="12"/>
      <c r="AF20" s="10"/>
      <c r="AG20" s="12"/>
      <c r="AH20" s="12"/>
      <c r="AK20" s="10"/>
      <c r="AL20" s="12"/>
      <c r="AM20" s="12"/>
    </row>
    <row r="21" spans="2:39" x14ac:dyDescent="0.3">
      <c r="E21" s="6"/>
      <c r="F21" s="5"/>
      <c r="G21" s="4"/>
      <c r="H21" s="45"/>
      <c r="I21" s="15">
        <f t="shared" si="2"/>
        <v>0</v>
      </c>
      <c r="K21" s="10"/>
      <c r="L21" s="15"/>
      <c r="M21" s="29"/>
      <c r="N21" s="27"/>
      <c r="P21" s="10"/>
      <c r="Q21" s="15"/>
      <c r="R21" s="36"/>
      <c r="S21" s="27"/>
      <c r="V21" s="10"/>
      <c r="W21" s="12"/>
      <c r="X21" s="12"/>
      <c r="AA21" s="10"/>
      <c r="AB21" s="12"/>
      <c r="AC21" s="12"/>
      <c r="AF21" s="10"/>
      <c r="AG21" s="12"/>
      <c r="AH21" s="12"/>
      <c r="AK21" s="10"/>
      <c r="AL21" s="12"/>
      <c r="AM21" s="12"/>
    </row>
    <row r="22" spans="2:39" x14ac:dyDescent="0.3">
      <c r="E22" s="6" t="s">
        <v>15</v>
      </c>
      <c r="F22" s="5"/>
      <c r="G22" s="4"/>
      <c r="H22" s="45"/>
      <c r="I22" s="15">
        <f t="shared" si="2"/>
        <v>0</v>
      </c>
      <c r="K22" s="10"/>
      <c r="L22" s="15"/>
      <c r="M22" s="29"/>
      <c r="N22" s="27"/>
      <c r="P22" s="10"/>
      <c r="Q22" s="15"/>
      <c r="R22" s="36"/>
      <c r="S22" s="27"/>
      <c r="V22" s="10"/>
      <c r="W22" s="12"/>
      <c r="X22" s="12"/>
      <c r="AA22" s="10"/>
      <c r="AB22" s="12"/>
      <c r="AC22" s="12"/>
      <c r="AF22" s="10"/>
      <c r="AG22" s="12"/>
      <c r="AH22" s="12"/>
      <c r="AK22" s="10"/>
      <c r="AL22" s="12"/>
      <c r="AM22" s="12"/>
    </row>
    <row r="23" spans="2:39" x14ac:dyDescent="0.3">
      <c r="E23" s="7">
        <v>461</v>
      </c>
      <c r="F23" s="5"/>
      <c r="G23" s="4" t="s">
        <v>8</v>
      </c>
      <c r="H23" s="45">
        <f>19.9+71.9</f>
        <v>91.800000000000011</v>
      </c>
      <c r="I23" s="12">
        <f t="shared" si="2"/>
        <v>91800000.000000015</v>
      </c>
      <c r="K23" s="25">
        <v>1.70984919154923E-2</v>
      </c>
      <c r="L23" s="12">
        <f t="shared" ref="L23:L29" si="30">I23*K23</f>
        <v>1569641.5578421934</v>
      </c>
      <c r="M23" s="27">
        <v>1.6</v>
      </c>
      <c r="N23" s="27">
        <f t="shared" si="4"/>
        <v>0</v>
      </c>
      <c r="P23" s="11">
        <v>1.6E-2</v>
      </c>
      <c r="Q23" s="12">
        <f t="shared" ref="Q23:Q29" si="31">I23*P23</f>
        <v>1468800.0000000002</v>
      </c>
      <c r="R23" s="27">
        <v>1.5</v>
      </c>
      <c r="S23" s="27">
        <f t="shared" si="6"/>
        <v>0</v>
      </c>
      <c r="V23" s="11">
        <f>P23</f>
        <v>1.6E-2</v>
      </c>
      <c r="W23" s="12">
        <f t="shared" si="8"/>
        <v>1468800.0000000002</v>
      </c>
      <c r="X23" s="12">
        <f t="shared" ref="X23:X29" si="32">W23-Q23</f>
        <v>0</v>
      </c>
      <c r="AA23" s="11">
        <f t="shared" ref="AA23" si="33">V23</f>
        <v>1.6E-2</v>
      </c>
      <c r="AB23" s="12">
        <f t="shared" ref="AB23" si="34">I23*AA23</f>
        <v>1468800.0000000002</v>
      </c>
      <c r="AC23" s="12">
        <f t="shared" ref="AC23:AC29" si="35">AB23-W23</f>
        <v>0</v>
      </c>
      <c r="AF23" s="11">
        <f>P23</f>
        <v>1.6E-2</v>
      </c>
      <c r="AG23" s="12">
        <f t="shared" ref="AG23:AG29" si="36">I23*AF23</f>
        <v>1468800.0000000002</v>
      </c>
      <c r="AH23" s="12">
        <f t="shared" ref="AH23:AH29" si="37">AG23-Q23</f>
        <v>0</v>
      </c>
      <c r="AK23" s="11">
        <f>P23</f>
        <v>1.6E-2</v>
      </c>
      <c r="AL23" s="12">
        <f t="shared" ref="AL23" si="38">I23*AK23</f>
        <v>1468800.0000000002</v>
      </c>
      <c r="AM23" s="12">
        <f t="shared" ref="AM23:AM29" si="39">AL23-Q23</f>
        <v>0</v>
      </c>
    </row>
    <row r="24" spans="2:39" x14ac:dyDescent="0.3">
      <c r="B24" s="43">
        <v>-0.05</v>
      </c>
      <c r="C24" s="43">
        <v>-0.1</v>
      </c>
      <c r="D24" s="43"/>
      <c r="E24" s="7">
        <v>462</v>
      </c>
      <c r="F24" s="5"/>
      <c r="G24" s="4" t="s">
        <v>16</v>
      </c>
      <c r="H24" s="45">
        <v>167.5</v>
      </c>
      <c r="I24" s="12">
        <f t="shared" si="2"/>
        <v>167500000</v>
      </c>
      <c r="K24" s="25">
        <v>2.0678748163199302E-2</v>
      </c>
      <c r="L24" s="12">
        <f t="shared" si="30"/>
        <v>3463690.3173358832</v>
      </c>
      <c r="M24" s="27">
        <v>3.5</v>
      </c>
      <c r="N24" s="27">
        <f t="shared" si="4"/>
        <v>0</v>
      </c>
      <c r="P24" s="11">
        <v>2.01E-2</v>
      </c>
      <c r="Q24" s="12">
        <f t="shared" si="31"/>
        <v>3366750</v>
      </c>
      <c r="R24" s="27">
        <v>3.4</v>
      </c>
      <c r="S24" s="27">
        <f t="shared" si="6"/>
        <v>0</v>
      </c>
      <c r="V24" s="11">
        <f t="shared" ref="V24:V26" si="40">P24</f>
        <v>2.01E-2</v>
      </c>
      <c r="W24" s="12">
        <f t="shared" si="8"/>
        <v>3366750</v>
      </c>
      <c r="X24" s="12">
        <f t="shared" si="32"/>
        <v>0</v>
      </c>
      <c r="Z24" t="s">
        <v>76</v>
      </c>
      <c r="AA24" s="11">
        <f t="shared" ref="AA24:AA29" si="41">AB24/I24</f>
        <v>2.0356302824890718E-2</v>
      </c>
      <c r="AB24" s="12">
        <f>W24/(1-B24)+[2]Summary!D12</f>
        <v>3409680.7231691955</v>
      </c>
      <c r="AC24" s="12">
        <f t="shared" si="35"/>
        <v>42930.723169195466</v>
      </c>
      <c r="AE24" t="s">
        <v>76</v>
      </c>
      <c r="AF24" s="11">
        <f t="shared" ref="AF24:AF29" si="42">AA24</f>
        <v>2.0356302824890718E-2</v>
      </c>
      <c r="AG24" s="12">
        <f t="shared" si="36"/>
        <v>3409680.7231691955</v>
      </c>
      <c r="AH24" s="12">
        <f t="shared" si="37"/>
        <v>42930.723169195466</v>
      </c>
      <c r="AK24" s="11">
        <f t="shared" ref="AK24:AK29" si="43">AL24/I24</f>
        <v>2.1057142857142858E-2</v>
      </c>
      <c r="AL24" s="12">
        <f t="shared" ref="AL24:AL29" si="44">W24/(1-B24)*(1-C24)</f>
        <v>3527071.4285714286</v>
      </c>
      <c r="AM24" s="12">
        <f t="shared" si="39"/>
        <v>160321.42857142864</v>
      </c>
    </row>
    <row r="25" spans="2:39" x14ac:dyDescent="0.3">
      <c r="B25" s="43">
        <v>-0.06</v>
      </c>
      <c r="C25" s="43">
        <v>-0.1</v>
      </c>
      <c r="D25" s="43"/>
      <c r="E25" s="7">
        <v>463</v>
      </c>
      <c r="F25" s="5"/>
      <c r="G25" s="4" t="s">
        <v>17</v>
      </c>
      <c r="H25" s="45">
        <v>11.5</v>
      </c>
      <c r="I25" s="12">
        <f t="shared" si="2"/>
        <v>11500000</v>
      </c>
      <c r="K25" s="25">
        <v>1.40101335338686E-2</v>
      </c>
      <c r="L25" s="12">
        <f t="shared" si="30"/>
        <v>161116.53563948889</v>
      </c>
      <c r="M25" s="27">
        <v>0.2</v>
      </c>
      <c r="N25" s="27">
        <f t="shared" si="4"/>
        <v>0</v>
      </c>
      <c r="P25" s="11">
        <v>1.32E-2</v>
      </c>
      <c r="Q25" s="12">
        <f t="shared" si="31"/>
        <v>151800</v>
      </c>
      <c r="R25" s="27">
        <v>0.2</v>
      </c>
      <c r="S25" s="27">
        <f t="shared" si="6"/>
        <v>0</v>
      </c>
      <c r="V25" s="11">
        <f t="shared" si="40"/>
        <v>1.32E-2</v>
      </c>
      <c r="W25" s="12">
        <f t="shared" si="8"/>
        <v>151800</v>
      </c>
      <c r="X25" s="12">
        <f t="shared" si="32"/>
        <v>0</v>
      </c>
      <c r="Z25" t="s">
        <v>76</v>
      </c>
      <c r="AA25" s="11">
        <f t="shared" si="41"/>
        <v>1.4233904994882182E-2</v>
      </c>
      <c r="AB25" s="12">
        <f>W25/(1-B25)+[2]Summary!D13</f>
        <v>163689.9074411451</v>
      </c>
      <c r="AC25" s="12">
        <f t="shared" si="35"/>
        <v>11889.9074411451</v>
      </c>
      <c r="AE25" t="s">
        <v>76</v>
      </c>
      <c r="AF25" s="11">
        <f t="shared" si="42"/>
        <v>1.4233904994882182E-2</v>
      </c>
      <c r="AG25" s="12">
        <f t="shared" si="36"/>
        <v>163689.9074411451</v>
      </c>
      <c r="AH25" s="12">
        <f t="shared" si="37"/>
        <v>11889.9074411451</v>
      </c>
      <c r="AK25" s="11">
        <f t="shared" si="43"/>
        <v>1.3698113207547172E-2</v>
      </c>
      <c r="AL25" s="12">
        <f t="shared" si="44"/>
        <v>157528.30188679247</v>
      </c>
      <c r="AM25" s="12">
        <f t="shared" si="39"/>
        <v>5728.3018867924693</v>
      </c>
    </row>
    <row r="26" spans="2:39" x14ac:dyDescent="0.3">
      <c r="B26" s="43">
        <v>-0.05</v>
      </c>
      <c r="C26" s="43">
        <v>-0.1</v>
      </c>
      <c r="D26" s="43"/>
      <c r="E26" s="7">
        <v>464</v>
      </c>
      <c r="F26" s="5"/>
      <c r="G26" s="8" t="s">
        <v>18</v>
      </c>
      <c r="H26" s="45">
        <v>3</v>
      </c>
      <c r="I26" s="12">
        <f t="shared" si="2"/>
        <v>3000000</v>
      </c>
      <c r="K26" s="25">
        <v>2.23E-2</v>
      </c>
      <c r="L26" s="12">
        <f t="shared" si="30"/>
        <v>66900</v>
      </c>
      <c r="M26" s="27">
        <v>0.1</v>
      </c>
      <c r="N26" s="27">
        <f t="shared" si="4"/>
        <v>0</v>
      </c>
      <c r="P26" s="11">
        <v>2.1399999999999999E-2</v>
      </c>
      <c r="Q26" s="12">
        <f t="shared" si="31"/>
        <v>64200</v>
      </c>
      <c r="R26" s="27">
        <v>0.1</v>
      </c>
      <c r="S26" s="27">
        <f t="shared" si="6"/>
        <v>0</v>
      </c>
      <c r="V26" s="11">
        <f t="shared" si="40"/>
        <v>2.1399999999999999E-2</v>
      </c>
      <c r="W26" s="12">
        <f t="shared" si="8"/>
        <v>64200</v>
      </c>
      <c r="X26" s="12">
        <f t="shared" si="32"/>
        <v>0</v>
      </c>
      <c r="Z26" t="s">
        <v>76</v>
      </c>
      <c r="AA26" s="11">
        <f t="shared" si="41"/>
        <v>2.1509982198286356E-2</v>
      </c>
      <c r="AB26" s="12">
        <f>W26/(1-B26)+[2]Summary!D14</f>
        <v>64529.946594859073</v>
      </c>
      <c r="AC26" s="12">
        <f t="shared" si="35"/>
        <v>329.94659485907323</v>
      </c>
      <c r="AE26" t="s">
        <v>76</v>
      </c>
      <c r="AF26" s="11">
        <f t="shared" si="42"/>
        <v>2.1509982198286356E-2</v>
      </c>
      <c r="AG26" s="12">
        <f t="shared" si="36"/>
        <v>64529.946594859066</v>
      </c>
      <c r="AH26" s="12">
        <f t="shared" si="37"/>
        <v>329.94659485906595</v>
      </c>
      <c r="AK26" s="11">
        <f t="shared" si="43"/>
        <v>2.241904761904762E-2</v>
      </c>
      <c r="AL26" s="12">
        <f t="shared" si="44"/>
        <v>67257.142857142855</v>
      </c>
      <c r="AM26" s="12">
        <f t="shared" si="39"/>
        <v>3057.1428571428551</v>
      </c>
    </row>
    <row r="27" spans="2:39" x14ac:dyDescent="0.3">
      <c r="B27" s="43">
        <v>-0.12</v>
      </c>
      <c r="C27" s="43">
        <v>-0.15</v>
      </c>
      <c r="D27" s="43"/>
      <c r="E27" s="7">
        <v>465</v>
      </c>
      <c r="F27" s="5"/>
      <c r="G27" s="4" t="s">
        <v>19</v>
      </c>
      <c r="H27" s="45">
        <f>414.9+2713.7</f>
        <v>3128.6</v>
      </c>
      <c r="I27" s="12">
        <f t="shared" si="2"/>
        <v>3128600000</v>
      </c>
      <c r="K27" s="25">
        <v>1.7677766003575599E-2</v>
      </c>
      <c r="L27" s="12">
        <f t="shared" si="30"/>
        <v>55306658.71878662</v>
      </c>
      <c r="M27" s="27">
        <v>54.9</v>
      </c>
      <c r="N27" s="27">
        <f t="shared" si="4"/>
        <v>0.39999999999999858</v>
      </c>
      <c r="P27" s="11">
        <v>1.6400000000000001E-2</v>
      </c>
      <c r="Q27" s="12">
        <f t="shared" si="31"/>
        <v>51309040.000000007</v>
      </c>
      <c r="R27" s="27">
        <v>51</v>
      </c>
      <c r="S27" s="27">
        <f t="shared" si="6"/>
        <v>0.29999999999999716</v>
      </c>
      <c r="U27" t="s">
        <v>72</v>
      </c>
      <c r="V27" s="11">
        <f>'[1]70-R4 Acc 465 ASL'!$H$135</f>
        <v>1.3539906410523337E-2</v>
      </c>
      <c r="W27" s="12">
        <f t="shared" si="8"/>
        <v>42360951.195963308</v>
      </c>
      <c r="X27" s="12">
        <f t="shared" si="32"/>
        <v>-8948088.8040366992</v>
      </c>
      <c r="Z27" s="22" t="s">
        <v>77</v>
      </c>
      <c r="AA27" s="11">
        <f t="shared" si="41"/>
        <v>1.3024764362143516E-2</v>
      </c>
      <c r="AB27" s="12">
        <f>W27/(1-B27)+[2]Summary!D15</f>
        <v>40749277.783402205</v>
      </c>
      <c r="AC27" s="12">
        <f t="shared" si="35"/>
        <v>-1611673.4125611037</v>
      </c>
      <c r="AE27" t="s">
        <v>86</v>
      </c>
      <c r="AF27" s="11">
        <f t="shared" si="42"/>
        <v>1.3024764362143516E-2</v>
      </c>
      <c r="AG27" s="12">
        <f t="shared" si="36"/>
        <v>40749277.783402205</v>
      </c>
      <c r="AH27" s="12">
        <f t="shared" si="37"/>
        <v>-10559762.216597803</v>
      </c>
      <c r="AJ27" t="s">
        <v>91</v>
      </c>
      <c r="AK27" s="11">
        <f t="shared" si="43"/>
        <v>1.3902582475090922E-2</v>
      </c>
      <c r="AL27" s="12">
        <f t="shared" si="44"/>
        <v>43495619.531569459</v>
      </c>
      <c r="AM27" s="12">
        <f t="shared" si="39"/>
        <v>-7813420.4684305489</v>
      </c>
    </row>
    <row r="28" spans="2:39" x14ac:dyDescent="0.3">
      <c r="B28" s="43">
        <v>-7.0000000000000007E-2</v>
      </c>
      <c r="C28" s="43">
        <v>-0.05</v>
      </c>
      <c r="D28" s="43"/>
      <c r="E28" s="7">
        <v>466</v>
      </c>
      <c r="F28" s="5"/>
      <c r="G28" s="4" t="s">
        <v>12</v>
      </c>
      <c r="H28" s="45">
        <v>1031.8</v>
      </c>
      <c r="I28" s="12">
        <f t="shared" si="2"/>
        <v>1031800000</v>
      </c>
      <c r="K28" s="25">
        <v>3.7229075435298402E-2</v>
      </c>
      <c r="L28" s="12">
        <f t="shared" si="30"/>
        <v>38412960.034140892</v>
      </c>
      <c r="M28" s="27">
        <v>38.4</v>
      </c>
      <c r="N28" s="27">
        <f t="shared" si="4"/>
        <v>0</v>
      </c>
      <c r="P28" s="11">
        <v>3.4200000000000001E-2</v>
      </c>
      <c r="Q28" s="12">
        <f t="shared" si="31"/>
        <v>35287560</v>
      </c>
      <c r="R28" s="27">
        <v>35.299999999999997</v>
      </c>
      <c r="S28" s="27">
        <f t="shared" si="6"/>
        <v>0</v>
      </c>
      <c r="V28" s="11">
        <f>P28</f>
        <v>3.4200000000000001E-2</v>
      </c>
      <c r="W28" s="12">
        <f t="shared" si="8"/>
        <v>35287560</v>
      </c>
      <c r="X28" s="12">
        <f t="shared" si="32"/>
        <v>0</v>
      </c>
      <c r="Z28" s="22" t="s">
        <v>78</v>
      </c>
      <c r="AA28" s="11">
        <f t="shared" si="41"/>
        <v>3.3327517206203451E-2</v>
      </c>
      <c r="AB28" s="12">
        <f>W28/(1-B28)+[2]Summary!D16</f>
        <v>34387332.253360718</v>
      </c>
      <c r="AC28" s="12">
        <f t="shared" si="35"/>
        <v>-900227.74663928151</v>
      </c>
      <c r="AE28" s="22" t="s">
        <v>78</v>
      </c>
      <c r="AF28" s="11">
        <f t="shared" si="42"/>
        <v>3.3327517206203451E-2</v>
      </c>
      <c r="AG28" s="12">
        <f t="shared" si="36"/>
        <v>34387332.253360718</v>
      </c>
      <c r="AH28" s="12">
        <f t="shared" si="37"/>
        <v>-900227.74663928151</v>
      </c>
      <c r="AJ28" s="22" t="s">
        <v>92</v>
      </c>
      <c r="AK28" s="11">
        <f t="shared" si="43"/>
        <v>3.3560747663551403E-2</v>
      </c>
      <c r="AL28" s="12">
        <f t="shared" si="44"/>
        <v>34627979.439252339</v>
      </c>
      <c r="AM28" s="12">
        <f t="shared" si="39"/>
        <v>-659580.5607476607</v>
      </c>
    </row>
    <row r="29" spans="2:39" x14ac:dyDescent="0.3">
      <c r="B29" s="43">
        <v>-0.15</v>
      </c>
      <c r="C29" s="43">
        <v>-0.1</v>
      </c>
      <c r="D29" s="43"/>
      <c r="E29" s="7">
        <v>467</v>
      </c>
      <c r="F29" s="5"/>
      <c r="G29" s="4" t="s">
        <v>20</v>
      </c>
      <c r="H29" s="45">
        <f>3.5+522.9</f>
        <v>526.4</v>
      </c>
      <c r="I29" s="13">
        <f t="shared" si="2"/>
        <v>526400000</v>
      </c>
      <c r="K29" s="24">
        <v>3.0599999999999999E-2</v>
      </c>
      <c r="L29" s="12">
        <f t="shared" si="30"/>
        <v>16107840</v>
      </c>
      <c r="M29" s="27">
        <v>15.8</v>
      </c>
      <c r="N29" s="27">
        <f t="shared" si="4"/>
        <v>0.30000000000000071</v>
      </c>
      <c r="P29" s="23">
        <v>2.8400000000000002E-2</v>
      </c>
      <c r="Q29" s="12">
        <f t="shared" si="31"/>
        <v>14949760</v>
      </c>
      <c r="R29" s="27">
        <v>14.7</v>
      </c>
      <c r="S29" s="27">
        <f t="shared" si="6"/>
        <v>0.20000000000000107</v>
      </c>
      <c r="V29" s="11">
        <f>P29</f>
        <v>2.8400000000000002E-2</v>
      </c>
      <c r="W29" s="12">
        <f t="shared" si="8"/>
        <v>14949760</v>
      </c>
      <c r="X29" s="12">
        <f t="shared" si="32"/>
        <v>0</v>
      </c>
      <c r="Z29" s="22" t="s">
        <v>79</v>
      </c>
      <c r="AA29" s="11">
        <f t="shared" si="41"/>
        <v>2.6160668839811222E-2</v>
      </c>
      <c r="AB29" s="12">
        <f>W29/(1-B29)+[2]Summary!D17</f>
        <v>13770976.077276627</v>
      </c>
      <c r="AC29" s="12">
        <f t="shared" si="35"/>
        <v>-1178783.9227233734</v>
      </c>
      <c r="AE29" s="22" t="s">
        <v>79</v>
      </c>
      <c r="AF29" s="11">
        <f t="shared" si="42"/>
        <v>2.6160668839811222E-2</v>
      </c>
      <c r="AG29" s="12">
        <f t="shared" si="36"/>
        <v>13770976.077276627</v>
      </c>
      <c r="AH29" s="12">
        <f t="shared" si="37"/>
        <v>-1178783.9227233734</v>
      </c>
      <c r="AJ29" s="22" t="s">
        <v>93</v>
      </c>
      <c r="AK29" s="11">
        <f t="shared" si="43"/>
        <v>2.7165217391304348E-2</v>
      </c>
      <c r="AL29" s="12">
        <f t="shared" si="44"/>
        <v>14299770.434782609</v>
      </c>
      <c r="AM29" s="12">
        <f t="shared" si="39"/>
        <v>-649989.56521739066</v>
      </c>
    </row>
    <row r="30" spans="2:39" x14ac:dyDescent="0.3">
      <c r="E30" s="6" t="s">
        <v>21</v>
      </c>
      <c r="F30" s="5"/>
      <c r="G30" s="4"/>
      <c r="H30" s="45"/>
      <c r="I30" s="14"/>
      <c r="K30" s="10"/>
      <c r="L30" s="14"/>
      <c r="M30" s="28"/>
      <c r="N30" s="27"/>
      <c r="P30" s="10"/>
      <c r="Q30" s="14"/>
      <c r="R30" s="35"/>
      <c r="S30" s="27">
        <f t="shared" si="6"/>
        <v>0</v>
      </c>
      <c r="V30" s="10"/>
      <c r="W30" s="12"/>
      <c r="X30" s="12"/>
      <c r="AA30" s="10"/>
      <c r="AB30" s="12"/>
      <c r="AC30" s="12"/>
      <c r="AF30" s="10"/>
      <c r="AG30" s="12"/>
      <c r="AH30" s="12"/>
      <c r="AK30" s="10"/>
      <c r="AL30" s="12"/>
      <c r="AM30" s="12"/>
    </row>
    <row r="31" spans="2:39" x14ac:dyDescent="0.3">
      <c r="E31" s="4"/>
      <c r="F31" s="5"/>
      <c r="G31" s="4"/>
      <c r="H31" s="45"/>
      <c r="I31" s="15">
        <f t="shared" si="2"/>
        <v>0</v>
      </c>
      <c r="K31" s="10"/>
      <c r="L31" s="15"/>
      <c r="M31" s="29"/>
      <c r="N31" s="27"/>
      <c r="P31" s="10"/>
      <c r="Q31" s="15"/>
      <c r="R31" s="36"/>
      <c r="S31" s="27">
        <f t="shared" si="6"/>
        <v>0</v>
      </c>
      <c r="V31" s="10"/>
      <c r="W31" s="12"/>
      <c r="X31" s="12"/>
      <c r="AA31" s="10"/>
      <c r="AB31" s="12"/>
      <c r="AC31" s="12"/>
      <c r="AF31" s="10"/>
      <c r="AG31" s="12"/>
      <c r="AH31" s="12"/>
      <c r="AK31" s="10"/>
      <c r="AL31" s="12"/>
      <c r="AM31" s="12"/>
    </row>
    <row r="32" spans="2:39" x14ac:dyDescent="0.3">
      <c r="E32" s="6" t="s">
        <v>22</v>
      </c>
      <c r="F32" s="5"/>
      <c r="G32" s="4"/>
      <c r="H32" s="45"/>
      <c r="I32" s="15">
        <f t="shared" si="2"/>
        <v>0</v>
      </c>
      <c r="K32" s="10"/>
      <c r="L32" s="15"/>
      <c r="M32" s="29"/>
      <c r="N32" s="27"/>
      <c r="P32" s="10"/>
      <c r="Q32" s="15"/>
      <c r="R32" s="36"/>
      <c r="S32" s="27">
        <f t="shared" si="6"/>
        <v>0</v>
      </c>
      <c r="V32" s="10"/>
      <c r="W32" s="12"/>
      <c r="X32" s="12"/>
      <c r="AA32" s="10"/>
      <c r="AB32" s="12"/>
      <c r="AC32" s="12"/>
      <c r="AF32" s="10"/>
      <c r="AG32" s="12"/>
      <c r="AH32" s="12"/>
      <c r="AK32" s="10"/>
      <c r="AL32" s="12"/>
      <c r="AM32" s="12"/>
    </row>
    <row r="33" spans="2:39" x14ac:dyDescent="0.3">
      <c r="E33" s="7">
        <v>471</v>
      </c>
      <c r="F33" s="5"/>
      <c r="G33" s="4" t="s">
        <v>8</v>
      </c>
      <c r="H33" s="45">
        <f>45.7+22.2</f>
        <v>67.900000000000006</v>
      </c>
      <c r="I33" s="12">
        <f t="shared" si="2"/>
        <v>67900000</v>
      </c>
      <c r="K33" s="25">
        <v>1.80065238964261E-2</v>
      </c>
      <c r="L33" s="12">
        <f t="shared" ref="L33:L49" si="45">I33*K33</f>
        <v>1222642.9725673322</v>
      </c>
      <c r="M33" s="27">
        <v>1.2</v>
      </c>
      <c r="N33" s="27">
        <f t="shared" si="4"/>
        <v>0</v>
      </c>
      <c r="P33" s="11">
        <v>1.6799999999999999E-2</v>
      </c>
      <c r="Q33" s="12">
        <f t="shared" ref="Q33:Q49" si="46">I33*P33</f>
        <v>1140720</v>
      </c>
      <c r="R33" s="27">
        <v>1.1000000000000001</v>
      </c>
      <c r="S33" s="27">
        <f t="shared" si="6"/>
        <v>0</v>
      </c>
      <c r="V33" s="11">
        <f>P33</f>
        <v>1.6799999999999999E-2</v>
      </c>
      <c r="W33" s="12">
        <f t="shared" si="8"/>
        <v>1140720</v>
      </c>
      <c r="X33" s="12">
        <f t="shared" ref="X33:X49" si="47">W33-Q33</f>
        <v>0</v>
      </c>
      <c r="AA33" s="11">
        <f t="shared" ref="AA33:AA39" si="48">V33</f>
        <v>1.6799999999999999E-2</v>
      </c>
      <c r="AB33" s="12">
        <f t="shared" ref="AB33:AB38" si="49">I33*AA33</f>
        <v>1140720</v>
      </c>
      <c r="AC33" s="12">
        <f t="shared" ref="AC33:AC49" si="50">AB33-W33</f>
        <v>0</v>
      </c>
      <c r="AF33" s="11">
        <f t="shared" ref="AF33:AF39" si="51">P33</f>
        <v>1.6799999999999999E-2</v>
      </c>
      <c r="AG33" s="12">
        <f t="shared" ref="AG33:AG49" si="52">I33*AF33</f>
        <v>1140720</v>
      </c>
      <c r="AH33" s="12">
        <f t="shared" ref="AH33:AH49" si="53">AG33-Q33</f>
        <v>0</v>
      </c>
      <c r="AK33" s="11">
        <f t="shared" ref="AK33:AK39" si="54">P33</f>
        <v>1.6799999999999999E-2</v>
      </c>
      <c r="AL33" s="12">
        <f t="shared" ref="AL33:AL38" si="55">I33*AK33</f>
        <v>1140720</v>
      </c>
      <c r="AM33" s="12">
        <f t="shared" ref="AM33:AM49" si="56">AL33-Q33</f>
        <v>0</v>
      </c>
    </row>
    <row r="34" spans="2:39" x14ac:dyDescent="0.3">
      <c r="E34" s="7">
        <v>472</v>
      </c>
      <c r="F34" s="5" t="s">
        <v>23</v>
      </c>
      <c r="G34" s="4" t="s">
        <v>24</v>
      </c>
      <c r="H34" s="45">
        <f>110.1+148.7</f>
        <v>258.79999999999995</v>
      </c>
      <c r="I34" s="12">
        <f t="shared" si="2"/>
        <v>258799999.99999994</v>
      </c>
      <c r="K34" s="25">
        <v>3.1723064613329702E-2</v>
      </c>
      <c r="L34" s="12">
        <f t="shared" si="45"/>
        <v>8209929.1219297247</v>
      </c>
      <c r="M34" s="27">
        <v>7</v>
      </c>
      <c r="N34" s="27">
        <f t="shared" si="4"/>
        <v>1.1999999999999993</v>
      </c>
      <c r="P34" s="11">
        <v>2.3400000000000001E-2</v>
      </c>
      <c r="Q34" s="12">
        <f t="shared" si="46"/>
        <v>6055919.9999999991</v>
      </c>
      <c r="R34" s="27">
        <v>6.3</v>
      </c>
      <c r="S34" s="27">
        <f t="shared" si="6"/>
        <v>-0.20000000000000018</v>
      </c>
      <c r="V34" s="11">
        <f t="shared" ref="V34:V43" si="57">P34</f>
        <v>2.3400000000000001E-2</v>
      </c>
      <c r="W34" s="12">
        <f t="shared" si="8"/>
        <v>6055919.9999999991</v>
      </c>
      <c r="X34" s="12">
        <f t="shared" si="47"/>
        <v>0</v>
      </c>
      <c r="AA34" s="11">
        <f t="shared" si="48"/>
        <v>2.3400000000000001E-2</v>
      </c>
      <c r="AB34" s="12">
        <f t="shared" si="49"/>
        <v>6055919.9999999991</v>
      </c>
      <c r="AC34" s="12">
        <f t="shared" si="50"/>
        <v>0</v>
      </c>
      <c r="AF34" s="11">
        <f t="shared" si="51"/>
        <v>2.3400000000000001E-2</v>
      </c>
      <c r="AG34" s="12">
        <f t="shared" si="52"/>
        <v>6055919.9999999991</v>
      </c>
      <c r="AH34" s="12">
        <f t="shared" si="53"/>
        <v>0</v>
      </c>
      <c r="AK34" s="11">
        <f t="shared" si="54"/>
        <v>2.3400000000000001E-2</v>
      </c>
      <c r="AL34" s="12">
        <f t="shared" si="55"/>
        <v>6055919.9999999991</v>
      </c>
      <c r="AM34" s="12">
        <f t="shared" si="56"/>
        <v>0</v>
      </c>
    </row>
    <row r="35" spans="2:39" x14ac:dyDescent="0.3">
      <c r="E35" s="7">
        <v>472.31</v>
      </c>
      <c r="F35" s="5"/>
      <c r="G35" s="4" t="s">
        <v>25</v>
      </c>
      <c r="H35" s="45">
        <v>33.5</v>
      </c>
      <c r="I35" s="12">
        <f t="shared" si="2"/>
        <v>33500000</v>
      </c>
      <c r="K35" s="25">
        <v>4.4684204362702998E-2</v>
      </c>
      <c r="L35" s="12">
        <f t="shared" si="45"/>
        <v>1496920.8461505505</v>
      </c>
      <c r="M35" s="27">
        <v>1.5</v>
      </c>
      <c r="N35" s="27">
        <f t="shared" si="4"/>
        <v>0</v>
      </c>
      <c r="P35" s="11">
        <v>3.9800000000000002E-2</v>
      </c>
      <c r="Q35" s="12">
        <f t="shared" si="46"/>
        <v>1333300</v>
      </c>
      <c r="R35" s="27">
        <v>1.3</v>
      </c>
      <c r="S35" s="27">
        <f t="shared" si="6"/>
        <v>0</v>
      </c>
      <c r="V35" s="11">
        <f t="shared" si="57"/>
        <v>3.9800000000000002E-2</v>
      </c>
      <c r="W35" s="12">
        <f t="shared" si="8"/>
        <v>1333300</v>
      </c>
      <c r="X35" s="12">
        <f t="shared" si="47"/>
        <v>0</v>
      </c>
      <c r="AA35" s="11">
        <f t="shared" si="48"/>
        <v>3.9800000000000002E-2</v>
      </c>
      <c r="AB35" s="12">
        <f t="shared" si="49"/>
        <v>1333300</v>
      </c>
      <c r="AC35" s="12">
        <f t="shared" si="50"/>
        <v>0</v>
      </c>
      <c r="AF35" s="11">
        <f t="shared" si="51"/>
        <v>3.9800000000000002E-2</v>
      </c>
      <c r="AG35" s="12">
        <f t="shared" si="52"/>
        <v>1333300</v>
      </c>
      <c r="AH35" s="12">
        <f t="shared" si="53"/>
        <v>0</v>
      </c>
      <c r="AK35" s="11">
        <f t="shared" si="54"/>
        <v>3.9800000000000002E-2</v>
      </c>
      <c r="AL35" s="12">
        <f t="shared" si="55"/>
        <v>1333300</v>
      </c>
      <c r="AM35" s="12">
        <f t="shared" si="56"/>
        <v>0</v>
      </c>
    </row>
    <row r="36" spans="2:39" x14ac:dyDescent="0.3">
      <c r="E36" s="7">
        <v>472.32</v>
      </c>
      <c r="F36" s="5"/>
      <c r="G36" s="4" t="s">
        <v>26</v>
      </c>
      <c r="H36" s="45">
        <v>26.2</v>
      </c>
      <c r="I36" s="12">
        <f t="shared" si="2"/>
        <v>26200000</v>
      </c>
      <c r="K36" s="25">
        <v>4.2716733254076801E-2</v>
      </c>
      <c r="L36" s="12">
        <f t="shared" si="45"/>
        <v>1119178.4112568123</v>
      </c>
      <c r="M36" s="27">
        <v>1.1000000000000001</v>
      </c>
      <c r="N36" s="27">
        <f t="shared" si="4"/>
        <v>0</v>
      </c>
      <c r="P36" s="11">
        <v>3.8100000000000002E-2</v>
      </c>
      <c r="Q36" s="12">
        <f t="shared" si="46"/>
        <v>998220</v>
      </c>
      <c r="R36" s="27">
        <v>1</v>
      </c>
      <c r="S36" s="27">
        <f t="shared" si="6"/>
        <v>0</v>
      </c>
      <c r="V36" s="11">
        <f t="shared" si="57"/>
        <v>3.8100000000000002E-2</v>
      </c>
      <c r="W36" s="12">
        <f t="shared" si="8"/>
        <v>998220</v>
      </c>
      <c r="X36" s="12">
        <f t="shared" si="47"/>
        <v>0</v>
      </c>
      <c r="AA36" s="11">
        <f t="shared" si="48"/>
        <v>3.8100000000000002E-2</v>
      </c>
      <c r="AB36" s="12">
        <f t="shared" si="49"/>
        <v>998220</v>
      </c>
      <c r="AC36" s="12">
        <f t="shared" si="50"/>
        <v>0</v>
      </c>
      <c r="AF36" s="11">
        <f t="shared" si="51"/>
        <v>3.8100000000000002E-2</v>
      </c>
      <c r="AG36" s="12">
        <f t="shared" si="52"/>
        <v>998220</v>
      </c>
      <c r="AH36" s="12">
        <f t="shared" si="53"/>
        <v>0</v>
      </c>
      <c r="AK36" s="11">
        <f t="shared" si="54"/>
        <v>3.8100000000000002E-2</v>
      </c>
      <c r="AL36" s="12">
        <f t="shared" si="55"/>
        <v>998220</v>
      </c>
      <c r="AM36" s="12">
        <f t="shared" si="56"/>
        <v>0</v>
      </c>
    </row>
    <row r="37" spans="2:39" x14ac:dyDescent="0.3">
      <c r="E37" s="7">
        <v>472.33</v>
      </c>
      <c r="F37" s="5"/>
      <c r="G37" s="4" t="s">
        <v>27</v>
      </c>
      <c r="H37" s="45">
        <v>22.4</v>
      </c>
      <c r="I37" s="12">
        <f t="shared" si="2"/>
        <v>22400000</v>
      </c>
      <c r="K37" s="25">
        <v>0.119525250565616</v>
      </c>
      <c r="L37" s="12">
        <f t="shared" si="45"/>
        <v>2677365.6126697985</v>
      </c>
      <c r="M37" s="27">
        <v>2.7</v>
      </c>
      <c r="N37" s="27">
        <f t="shared" si="4"/>
        <v>0</v>
      </c>
      <c r="P37" s="11">
        <v>0.11890000000000001</v>
      </c>
      <c r="Q37" s="12">
        <f t="shared" si="46"/>
        <v>2663360</v>
      </c>
      <c r="R37" s="27">
        <v>2.7</v>
      </c>
      <c r="S37" s="27">
        <f t="shared" si="6"/>
        <v>0</v>
      </c>
      <c r="V37" s="11">
        <f t="shared" si="57"/>
        <v>0.11890000000000001</v>
      </c>
      <c r="W37" s="12">
        <f t="shared" si="8"/>
        <v>2663360</v>
      </c>
      <c r="X37" s="12">
        <f t="shared" si="47"/>
        <v>0</v>
      </c>
      <c r="AA37" s="11">
        <f t="shared" si="48"/>
        <v>0.11890000000000001</v>
      </c>
      <c r="AB37" s="12">
        <f t="shared" si="49"/>
        <v>2663360</v>
      </c>
      <c r="AC37" s="12">
        <f t="shared" si="50"/>
        <v>0</v>
      </c>
      <c r="AF37" s="11">
        <f t="shared" si="51"/>
        <v>0.11890000000000001</v>
      </c>
      <c r="AG37" s="12">
        <f t="shared" si="52"/>
        <v>2663360</v>
      </c>
      <c r="AH37" s="12">
        <f t="shared" si="53"/>
        <v>0</v>
      </c>
      <c r="AK37" s="11">
        <f t="shared" si="54"/>
        <v>0.11890000000000001</v>
      </c>
      <c r="AL37" s="12">
        <f t="shared" si="55"/>
        <v>2663360</v>
      </c>
      <c r="AM37" s="12">
        <f t="shared" si="56"/>
        <v>0</v>
      </c>
    </row>
    <row r="38" spans="2:39" x14ac:dyDescent="0.3">
      <c r="E38" s="7">
        <v>472.34</v>
      </c>
      <c r="F38" s="5"/>
      <c r="G38" s="4" t="s">
        <v>28</v>
      </c>
      <c r="H38" s="45">
        <v>18.899999999999999</v>
      </c>
      <c r="I38" s="12">
        <f t="shared" si="2"/>
        <v>18900000</v>
      </c>
      <c r="K38" s="25">
        <v>4.21006603408422E-2</v>
      </c>
      <c r="L38" s="12">
        <f t="shared" si="45"/>
        <v>795702.48044191755</v>
      </c>
      <c r="M38" s="27">
        <v>0.8</v>
      </c>
      <c r="N38" s="27">
        <f t="shared" si="4"/>
        <v>0</v>
      </c>
      <c r="P38" s="11">
        <v>3.7600000000000001E-2</v>
      </c>
      <c r="Q38" s="12">
        <f t="shared" si="46"/>
        <v>710640</v>
      </c>
      <c r="R38" s="27">
        <v>0.7</v>
      </c>
      <c r="S38" s="27">
        <f t="shared" si="6"/>
        <v>0</v>
      </c>
      <c r="V38" s="11">
        <f t="shared" si="57"/>
        <v>3.7600000000000001E-2</v>
      </c>
      <c r="W38" s="12">
        <f t="shared" si="8"/>
        <v>710640</v>
      </c>
      <c r="X38" s="12">
        <f t="shared" si="47"/>
        <v>0</v>
      </c>
      <c r="AA38" s="11">
        <f t="shared" si="48"/>
        <v>3.7600000000000001E-2</v>
      </c>
      <c r="AB38" s="12">
        <f t="shared" si="49"/>
        <v>710640</v>
      </c>
      <c r="AC38" s="12">
        <f t="shared" si="50"/>
        <v>0</v>
      </c>
      <c r="AF38" s="11">
        <f t="shared" si="51"/>
        <v>3.7600000000000001E-2</v>
      </c>
      <c r="AG38" s="12">
        <f t="shared" si="52"/>
        <v>710640</v>
      </c>
      <c r="AH38" s="12">
        <f t="shared" si="53"/>
        <v>0</v>
      </c>
      <c r="AK38" s="11">
        <f t="shared" si="54"/>
        <v>3.7600000000000001E-2</v>
      </c>
      <c r="AL38" s="12">
        <f t="shared" si="55"/>
        <v>710640</v>
      </c>
      <c r="AM38" s="12">
        <f t="shared" si="56"/>
        <v>0</v>
      </c>
    </row>
    <row r="39" spans="2:39" x14ac:dyDescent="0.3">
      <c r="E39" s="7">
        <v>472.34999999999997</v>
      </c>
      <c r="F39" s="5"/>
      <c r="G39" s="4" t="s">
        <v>29</v>
      </c>
      <c r="H39" s="45">
        <v>9</v>
      </c>
      <c r="I39" s="12">
        <f t="shared" si="2"/>
        <v>9000000</v>
      </c>
      <c r="K39" s="25">
        <v>0.50480000000000003</v>
      </c>
      <c r="L39" s="26">
        <v>9100000</v>
      </c>
      <c r="M39" s="31">
        <v>9.1</v>
      </c>
      <c r="N39" s="27">
        <f t="shared" si="4"/>
        <v>0</v>
      </c>
      <c r="P39" s="11">
        <v>0.50460000000000005</v>
      </c>
      <c r="Q39" s="26">
        <f>L39</f>
        <v>9100000</v>
      </c>
      <c r="R39" s="27">
        <v>9.1</v>
      </c>
      <c r="S39" s="27">
        <f t="shared" si="6"/>
        <v>0</v>
      </c>
      <c r="V39" s="11">
        <f t="shared" si="57"/>
        <v>0.50460000000000005</v>
      </c>
      <c r="W39" s="26">
        <f>L39</f>
        <v>9100000</v>
      </c>
      <c r="X39" s="12">
        <f t="shared" si="47"/>
        <v>0</v>
      </c>
      <c r="AA39" s="11">
        <f t="shared" si="48"/>
        <v>0.50460000000000005</v>
      </c>
      <c r="AB39" s="12">
        <f>W39</f>
        <v>9100000</v>
      </c>
      <c r="AC39" s="12">
        <f t="shared" si="50"/>
        <v>0</v>
      </c>
      <c r="AF39" s="11">
        <f t="shared" si="51"/>
        <v>0.50460000000000005</v>
      </c>
      <c r="AG39" s="12">
        <f t="shared" ref="AG39" si="58">AB39</f>
        <v>9100000</v>
      </c>
      <c r="AH39" s="12">
        <f t="shared" si="53"/>
        <v>0</v>
      </c>
      <c r="AK39" s="11">
        <f t="shared" si="54"/>
        <v>0.50460000000000005</v>
      </c>
      <c r="AL39" s="12">
        <f>AG39</f>
        <v>9100000</v>
      </c>
      <c r="AM39" s="12">
        <f t="shared" si="56"/>
        <v>0</v>
      </c>
    </row>
    <row r="40" spans="2:39" x14ac:dyDescent="0.3">
      <c r="B40" s="43">
        <v>-0.32</v>
      </c>
      <c r="C40" s="43">
        <v>-0.5</v>
      </c>
      <c r="D40" s="43"/>
      <c r="E40" s="7">
        <v>473.01</v>
      </c>
      <c r="F40" s="5"/>
      <c r="G40" s="8" t="s">
        <v>30</v>
      </c>
      <c r="H40" s="45">
        <f>320.6+290.8</f>
        <v>611.40000000000009</v>
      </c>
      <c r="I40" s="12">
        <f t="shared" si="2"/>
        <v>611400000.00000012</v>
      </c>
      <c r="K40" s="25">
        <v>3.6299999999999999E-2</v>
      </c>
      <c r="L40" s="12">
        <f t="shared" si="45"/>
        <v>22193820.000000004</v>
      </c>
      <c r="M40" s="27">
        <v>22</v>
      </c>
      <c r="N40" s="27">
        <f t="shared" si="4"/>
        <v>0.19999999999999929</v>
      </c>
      <c r="P40" s="11">
        <v>2.8799999999999999E-2</v>
      </c>
      <c r="Q40" s="12">
        <f t="shared" si="46"/>
        <v>17608320.000000004</v>
      </c>
      <c r="R40" s="27">
        <v>17.5</v>
      </c>
      <c r="S40" s="27">
        <f t="shared" si="6"/>
        <v>0.10000000000000142</v>
      </c>
      <c r="V40" s="11">
        <f t="shared" si="57"/>
        <v>2.8799999999999999E-2</v>
      </c>
      <c r="W40" s="12">
        <f t="shared" si="8"/>
        <v>17608320.000000004</v>
      </c>
      <c r="X40" s="12">
        <f t="shared" si="47"/>
        <v>0</v>
      </c>
      <c r="Z40" t="s">
        <v>76</v>
      </c>
      <c r="AA40" s="11">
        <f t="shared" ref="AA40:AA41" si="59">AB40/I40</f>
        <v>3.0373856904550169E-2</v>
      </c>
      <c r="AB40" s="12">
        <f>W40/(1-B40)+[2]Summary!D18</f>
        <v>18570576.111441977</v>
      </c>
      <c r="AC40" s="12">
        <f t="shared" si="50"/>
        <v>962256.1114419736</v>
      </c>
      <c r="AE40" t="s">
        <v>76</v>
      </c>
      <c r="AF40" s="11">
        <f t="shared" ref="AF40:AF41" si="60">AA40</f>
        <v>3.0373856904550169E-2</v>
      </c>
      <c r="AG40" s="12">
        <f t="shared" si="52"/>
        <v>18570576.111441977</v>
      </c>
      <c r="AH40" s="12">
        <f t="shared" si="53"/>
        <v>962256.1114419736</v>
      </c>
      <c r="AK40" s="11">
        <f>AL40/I40</f>
        <v>3.2727272727272723E-2</v>
      </c>
      <c r="AL40" s="12">
        <f>W40/(1-B40)*(1-C40)</f>
        <v>20009454.545454547</v>
      </c>
      <c r="AM40" s="12">
        <f t="shared" si="56"/>
        <v>2401134.5454545431</v>
      </c>
    </row>
    <row r="41" spans="2:39" x14ac:dyDescent="0.3">
      <c r="B41" s="43">
        <v>-0.26</v>
      </c>
      <c r="C41" s="43">
        <v>-0.4</v>
      </c>
      <c r="D41" s="43"/>
      <c r="E41" s="7">
        <v>473.02</v>
      </c>
      <c r="F41" s="5"/>
      <c r="G41" s="4" t="s">
        <v>31</v>
      </c>
      <c r="H41" s="45">
        <f>3180.6+1855.6</f>
        <v>5036.2</v>
      </c>
      <c r="I41" s="12">
        <f t="shared" si="2"/>
        <v>5036200000</v>
      </c>
      <c r="K41" s="25">
        <v>2.7264143684661599E-2</v>
      </c>
      <c r="L41" s="12">
        <f t="shared" si="45"/>
        <v>137307680.42469275</v>
      </c>
      <c r="M41" s="27">
        <v>136.30000000000001</v>
      </c>
      <c r="N41" s="27">
        <f t="shared" si="4"/>
        <v>1</v>
      </c>
      <c r="P41" s="11">
        <v>2.47E-2</v>
      </c>
      <c r="Q41" s="12">
        <f t="shared" si="46"/>
        <v>124394140</v>
      </c>
      <c r="R41" s="27">
        <v>123.6</v>
      </c>
      <c r="S41" s="27">
        <f t="shared" si="6"/>
        <v>0.80000000000001137</v>
      </c>
      <c r="V41" s="11">
        <f t="shared" si="57"/>
        <v>2.47E-2</v>
      </c>
      <c r="W41" s="12">
        <f t="shared" si="8"/>
        <v>124394140</v>
      </c>
      <c r="X41" s="12">
        <f t="shared" si="47"/>
        <v>0</v>
      </c>
      <c r="Z41" s="22" t="s">
        <v>80</v>
      </c>
      <c r="AA41" s="11">
        <f t="shared" si="59"/>
        <v>2.4026424734705985E-2</v>
      </c>
      <c r="AB41" s="12">
        <f>W41/(1-B41)+[2]Summary!D19</f>
        <v>121001880.24892628</v>
      </c>
      <c r="AC41" s="12">
        <f t="shared" si="50"/>
        <v>-3392259.7510737181</v>
      </c>
      <c r="AE41" s="22" t="s">
        <v>80</v>
      </c>
      <c r="AF41" s="11">
        <f t="shared" si="60"/>
        <v>2.4026424734705985E-2</v>
      </c>
      <c r="AG41" s="12">
        <f t="shared" si="52"/>
        <v>121001880.24892628</v>
      </c>
      <c r="AH41" s="12">
        <f t="shared" si="53"/>
        <v>-3392259.7510737181</v>
      </c>
      <c r="AJ41" s="22" t="s">
        <v>94</v>
      </c>
      <c r="AK41" s="11">
        <f>AL41/I41</f>
        <v>2.7444444444444441E-2</v>
      </c>
      <c r="AL41" s="12">
        <f>W41/(1-B41)*(1-C41)</f>
        <v>138215711.1111111</v>
      </c>
      <c r="AM41" s="12">
        <f t="shared" si="56"/>
        <v>13821571.111111104</v>
      </c>
    </row>
    <row r="42" spans="2:39" x14ac:dyDescent="0.3">
      <c r="E42" s="7">
        <v>474</v>
      </c>
      <c r="F42" s="5"/>
      <c r="G42" s="4" t="s">
        <v>32</v>
      </c>
      <c r="H42" s="45">
        <f>315.9+192.5</f>
        <v>508.4</v>
      </c>
      <c r="I42" s="12">
        <f t="shared" si="2"/>
        <v>508400000</v>
      </c>
      <c r="K42" s="25">
        <v>8.8632351101877296E-2</v>
      </c>
      <c r="L42" s="12">
        <f t="shared" si="45"/>
        <v>45060687.30019442</v>
      </c>
      <c r="M42" s="27">
        <v>44.7</v>
      </c>
      <c r="N42" s="27">
        <f t="shared" si="4"/>
        <v>0.39999999999999858</v>
      </c>
      <c r="P42" s="11">
        <v>8.8599999999999998E-2</v>
      </c>
      <c r="Q42" s="12">
        <f t="shared" si="46"/>
        <v>45044240</v>
      </c>
      <c r="R42" s="27">
        <v>44.7</v>
      </c>
      <c r="S42" s="27">
        <f t="shared" si="6"/>
        <v>0.29999999999999716</v>
      </c>
      <c r="V42" s="11">
        <f t="shared" si="57"/>
        <v>8.8599999999999998E-2</v>
      </c>
      <c r="W42" s="12">
        <f t="shared" si="8"/>
        <v>45044240</v>
      </c>
      <c r="X42" s="12">
        <f t="shared" si="47"/>
        <v>0</v>
      </c>
      <c r="AA42" s="11">
        <f t="shared" ref="AA42:AA43" si="61">V42</f>
        <v>8.8599999999999998E-2</v>
      </c>
      <c r="AB42" s="12">
        <f t="shared" ref="AB42:AB43" si="62">I42*AA42</f>
        <v>45044240</v>
      </c>
      <c r="AC42" s="12">
        <f t="shared" si="50"/>
        <v>0</v>
      </c>
      <c r="AF42" s="11">
        <f t="shared" ref="AF42:AF43" si="63">P42</f>
        <v>8.8599999999999998E-2</v>
      </c>
      <c r="AG42" s="12">
        <f t="shared" si="52"/>
        <v>45044240</v>
      </c>
      <c r="AH42" s="12">
        <f t="shared" si="53"/>
        <v>0</v>
      </c>
      <c r="AK42" s="11">
        <f>P42</f>
        <v>8.8599999999999998E-2</v>
      </c>
      <c r="AL42" s="12">
        <f t="shared" ref="AL42:AL43" si="64">I42*AK42</f>
        <v>45044240</v>
      </c>
      <c r="AM42" s="12">
        <f t="shared" si="56"/>
        <v>0</v>
      </c>
    </row>
    <row r="43" spans="2:39" x14ac:dyDescent="0.3">
      <c r="E43" s="7">
        <v>475</v>
      </c>
      <c r="F43" s="5"/>
      <c r="G43" s="4" t="s">
        <v>33</v>
      </c>
      <c r="H43" s="45">
        <v>222.2</v>
      </c>
      <c r="I43" s="12">
        <f t="shared" si="2"/>
        <v>222200000</v>
      </c>
      <c r="K43" s="25">
        <v>5.7757524558959501E-2</v>
      </c>
      <c r="L43" s="12">
        <f t="shared" si="45"/>
        <v>12833721.957000801</v>
      </c>
      <c r="M43" s="27">
        <v>12.6</v>
      </c>
      <c r="N43" s="27">
        <f t="shared" si="4"/>
        <v>0.20000000000000107</v>
      </c>
      <c r="P43" s="11">
        <v>5.7799999999999997E-2</v>
      </c>
      <c r="Q43" s="12">
        <f t="shared" si="46"/>
        <v>12843160</v>
      </c>
      <c r="R43" s="27">
        <v>12.6</v>
      </c>
      <c r="S43" s="27">
        <f t="shared" si="6"/>
        <v>0.20000000000000107</v>
      </c>
      <c r="V43" s="11">
        <f t="shared" si="57"/>
        <v>5.7799999999999997E-2</v>
      </c>
      <c r="W43" s="12">
        <f t="shared" si="8"/>
        <v>12843160</v>
      </c>
      <c r="X43" s="12">
        <f t="shared" si="47"/>
        <v>0</v>
      </c>
      <c r="AA43" s="11">
        <f t="shared" si="61"/>
        <v>5.7799999999999997E-2</v>
      </c>
      <c r="AB43" s="12">
        <f t="shared" si="62"/>
        <v>12843160</v>
      </c>
      <c r="AC43" s="12">
        <f t="shared" si="50"/>
        <v>0</v>
      </c>
      <c r="AF43" s="11">
        <f t="shared" si="63"/>
        <v>5.7799999999999997E-2</v>
      </c>
      <c r="AG43" s="12">
        <f t="shared" si="52"/>
        <v>12843160</v>
      </c>
      <c r="AH43" s="12">
        <f t="shared" si="53"/>
        <v>0</v>
      </c>
      <c r="AK43" s="11">
        <f>P43</f>
        <v>5.7799999999999997E-2</v>
      </c>
      <c r="AL43" s="12">
        <f t="shared" si="64"/>
        <v>12843160</v>
      </c>
      <c r="AM43" s="12">
        <f t="shared" si="56"/>
        <v>0</v>
      </c>
    </row>
    <row r="44" spans="2:39" x14ac:dyDescent="0.3">
      <c r="B44" s="43">
        <v>-0.42</v>
      </c>
      <c r="C44" s="43">
        <v>-0.4</v>
      </c>
      <c r="D44" s="43"/>
      <c r="E44" s="7">
        <v>475.21</v>
      </c>
      <c r="F44" s="5"/>
      <c r="G44" s="4" t="s">
        <v>34</v>
      </c>
      <c r="H44" s="45">
        <f>2163.5+1845.3</f>
        <v>4008.8</v>
      </c>
      <c r="I44" s="12">
        <f t="shared" si="2"/>
        <v>4008800000</v>
      </c>
      <c r="K44" s="25">
        <v>3.3805909345000898E-2</v>
      </c>
      <c r="L44" s="12">
        <f t="shared" si="45"/>
        <v>135521129.38223961</v>
      </c>
      <c r="M44" s="27">
        <v>134.69999999999999</v>
      </c>
      <c r="N44" s="27">
        <f t="shared" si="4"/>
        <v>0.80000000000001137</v>
      </c>
      <c r="P44" s="23">
        <v>2.9499999999999998E-2</v>
      </c>
      <c r="Q44" s="12">
        <f t="shared" si="46"/>
        <v>118259600</v>
      </c>
      <c r="R44" s="27">
        <v>117.5</v>
      </c>
      <c r="S44" s="27">
        <f t="shared" si="6"/>
        <v>0.79999999999999716</v>
      </c>
      <c r="U44" t="s">
        <v>109</v>
      </c>
      <c r="V44" s="11">
        <f>'[1]70-R3 Acc 475.21 ASL'!$H$141</f>
        <v>2.0156907453967244E-2</v>
      </c>
      <c r="W44" s="12">
        <f t="shared" si="8"/>
        <v>80805010.601463884</v>
      </c>
      <c r="X44" s="12">
        <f>W44-Q44</f>
        <v>-37454589.398536116</v>
      </c>
      <c r="Z44" s="22" t="s">
        <v>80</v>
      </c>
      <c r="AA44" s="11">
        <f t="shared" ref="AA44:AA47" si="65">AB44/I44</f>
        <v>1.6704298355093971E-2</v>
      </c>
      <c r="AB44" s="12">
        <f>W44/(1-B44)+'[2]475.21 - 70-R3'!$M$127</f>
        <v>66964191.245900705</v>
      </c>
      <c r="AC44" s="12">
        <f t="shared" si="50"/>
        <v>-13840819.355563179</v>
      </c>
      <c r="AE44" t="s">
        <v>110</v>
      </c>
      <c r="AF44" s="11">
        <f t="shared" ref="AF44:AF45" si="66">AA44</f>
        <v>1.6704298355093971E-2</v>
      </c>
      <c r="AG44" s="12">
        <f t="shared" si="52"/>
        <v>66964191.245900713</v>
      </c>
      <c r="AH44" s="12">
        <f t="shared" si="53"/>
        <v>-51295408.754099287</v>
      </c>
      <c r="AJ44" t="s">
        <v>112</v>
      </c>
      <c r="AK44" s="11">
        <f>AL44/I44</f>
        <v>1.9873007348981789E-2</v>
      </c>
      <c r="AL44" s="12">
        <f>W44/(1-B44)*(1-C44)</f>
        <v>79666911.860598192</v>
      </c>
      <c r="AM44" s="12">
        <f t="shared" si="56"/>
        <v>-38592688.139401808</v>
      </c>
    </row>
    <row r="45" spans="2:39" x14ac:dyDescent="0.3">
      <c r="B45" s="43">
        <v>-0.38</v>
      </c>
      <c r="C45" s="43">
        <v>-0.25</v>
      </c>
      <c r="D45" s="43"/>
      <c r="E45" s="7">
        <v>475.3</v>
      </c>
      <c r="F45" s="5"/>
      <c r="G45" s="4" t="s">
        <v>35</v>
      </c>
      <c r="H45" s="45">
        <f>2738+1101.1</f>
        <v>3839.1</v>
      </c>
      <c r="I45" s="12">
        <f t="shared" si="2"/>
        <v>3839100000</v>
      </c>
      <c r="K45" s="25">
        <v>2.7172318094920701E-2</v>
      </c>
      <c r="L45" s="12">
        <f t="shared" si="45"/>
        <v>104317246.39821006</v>
      </c>
      <c r="M45" s="27">
        <v>103.5</v>
      </c>
      <c r="N45" s="27">
        <f t="shared" si="4"/>
        <v>0.79999999999999716</v>
      </c>
      <c r="P45" s="11">
        <v>2.52E-2</v>
      </c>
      <c r="Q45" s="12">
        <f t="shared" si="46"/>
        <v>96745320</v>
      </c>
      <c r="R45" s="27">
        <v>96.1</v>
      </c>
      <c r="S45" s="27">
        <f t="shared" si="6"/>
        <v>0.60000000000000853</v>
      </c>
      <c r="U45" t="s">
        <v>72</v>
      </c>
      <c r="V45" s="11">
        <f>'[1]70-R4 Acc 475.30 ASL'!$H$135</f>
        <v>2.0355081055432975E-2</v>
      </c>
      <c r="W45" s="12">
        <f t="shared" si="8"/>
        <v>78145191.679912731</v>
      </c>
      <c r="X45" s="12">
        <f t="shared" si="47"/>
        <v>-18600128.320087269</v>
      </c>
      <c r="Z45" s="22" t="s">
        <v>81</v>
      </c>
      <c r="AA45" s="11">
        <f t="shared" si="65"/>
        <v>1.6235672808024026E-2</v>
      </c>
      <c r="AB45" s="12">
        <f>W45/(1-B45)+'[2]475.30 - 70-R4'!$M$68</f>
        <v>62330371.477285042</v>
      </c>
      <c r="AC45" s="12">
        <f t="shared" si="50"/>
        <v>-15814820.202627689</v>
      </c>
      <c r="AE45" t="s">
        <v>111</v>
      </c>
      <c r="AF45" s="11">
        <f t="shared" si="66"/>
        <v>1.6235672808024026E-2</v>
      </c>
      <c r="AG45" s="12">
        <f t="shared" si="52"/>
        <v>62330371.477285035</v>
      </c>
      <c r="AH45" s="12">
        <f t="shared" si="53"/>
        <v>-34414948.522714965</v>
      </c>
      <c r="AJ45" t="s">
        <v>113</v>
      </c>
      <c r="AK45" s="11">
        <f>AL45/I45</f>
        <v>1.8437573419776247E-2</v>
      </c>
      <c r="AL45" s="12">
        <f>W45/(1-B45)*(1-C45)</f>
        <v>70783688.115862995</v>
      </c>
      <c r="AM45" s="12">
        <f t="shared" si="56"/>
        <v>-25961631.884137005</v>
      </c>
    </row>
    <row r="46" spans="2:39" x14ac:dyDescent="0.3">
      <c r="E46" s="7">
        <v>476</v>
      </c>
      <c r="F46" s="5"/>
      <c r="G46" s="4" t="s">
        <v>36</v>
      </c>
      <c r="H46" s="45">
        <f>6.5+6</f>
        <v>12.5</v>
      </c>
      <c r="I46" s="12">
        <f t="shared" si="2"/>
        <v>12500000</v>
      </c>
      <c r="K46" s="24">
        <v>3.6999999999999998E-2</v>
      </c>
      <c r="L46" s="12">
        <f t="shared" si="45"/>
        <v>462500</v>
      </c>
      <c r="M46" s="27">
        <v>0.5</v>
      </c>
      <c r="N46" s="27">
        <f t="shared" si="4"/>
        <v>0</v>
      </c>
      <c r="P46" s="11">
        <v>3.2899999999999999E-2</v>
      </c>
      <c r="Q46" s="12">
        <f t="shared" si="46"/>
        <v>411250</v>
      </c>
      <c r="R46" s="27">
        <v>0.4</v>
      </c>
      <c r="S46" s="27">
        <f t="shared" si="6"/>
        <v>0</v>
      </c>
      <c r="V46" s="11">
        <f>P46</f>
        <v>3.2899999999999999E-2</v>
      </c>
      <c r="W46" s="12">
        <f t="shared" si="8"/>
        <v>411250</v>
      </c>
      <c r="X46" s="12">
        <f t="shared" si="47"/>
        <v>0</v>
      </c>
      <c r="AA46" s="11">
        <f t="shared" ref="AA46" si="67">V46</f>
        <v>3.2899999999999999E-2</v>
      </c>
      <c r="AB46" s="12">
        <f t="shared" ref="AB46" si="68">I46*AA46</f>
        <v>411250</v>
      </c>
      <c r="AC46" s="12">
        <f t="shared" si="50"/>
        <v>0</v>
      </c>
      <c r="AF46" s="11">
        <f>P46</f>
        <v>3.2899999999999999E-2</v>
      </c>
      <c r="AG46" s="12">
        <f t="shared" si="52"/>
        <v>411250</v>
      </c>
      <c r="AH46" s="12">
        <f t="shared" si="53"/>
        <v>0</v>
      </c>
      <c r="AK46" s="11">
        <f>P46</f>
        <v>3.2899999999999999E-2</v>
      </c>
      <c r="AL46" s="12">
        <f t="shared" ref="AL46" si="69">I46*AK46</f>
        <v>411250</v>
      </c>
      <c r="AM46" s="12">
        <f t="shared" si="56"/>
        <v>0</v>
      </c>
    </row>
    <row r="47" spans="2:39" x14ac:dyDescent="0.3">
      <c r="B47" s="43">
        <v>-0.09</v>
      </c>
      <c r="C47" s="43">
        <v>-0.15</v>
      </c>
      <c r="D47" s="43"/>
      <c r="E47" s="7">
        <v>477</v>
      </c>
      <c r="F47" s="5"/>
      <c r="G47" s="4" t="s">
        <v>20</v>
      </c>
      <c r="H47" s="45">
        <f>802.7+329.9</f>
        <v>1132.5999999999999</v>
      </c>
      <c r="I47" s="12">
        <f t="shared" si="2"/>
        <v>1132600000</v>
      </c>
      <c r="K47" s="24">
        <v>2.8899999999999999E-2</v>
      </c>
      <c r="L47" s="12">
        <f t="shared" si="45"/>
        <v>32732140</v>
      </c>
      <c r="M47" s="27">
        <v>32.4</v>
      </c>
      <c r="N47" s="27">
        <f t="shared" si="4"/>
        <v>0.30000000000000426</v>
      </c>
      <c r="P47" s="23">
        <v>2.2599999999999999E-2</v>
      </c>
      <c r="Q47" s="12">
        <f t="shared" si="46"/>
        <v>25596760</v>
      </c>
      <c r="R47" s="27">
        <v>25.4</v>
      </c>
      <c r="S47" s="27">
        <f t="shared" si="6"/>
        <v>0.20000000000000284</v>
      </c>
      <c r="V47" s="11">
        <f t="shared" ref="V47:V49" si="70">P47</f>
        <v>2.2599999999999999E-2</v>
      </c>
      <c r="W47" s="12">
        <f t="shared" si="8"/>
        <v>25596760</v>
      </c>
      <c r="X47" s="12">
        <f t="shared" si="47"/>
        <v>0</v>
      </c>
      <c r="Z47" t="s">
        <v>76</v>
      </c>
      <c r="AA47" s="11">
        <f t="shared" si="65"/>
        <v>2.2797416350865563E-2</v>
      </c>
      <c r="AB47" s="12">
        <f>W47/(1-B47)+[2]Summary!D22</f>
        <v>25820353.758990336</v>
      </c>
      <c r="AC47" s="12">
        <f t="shared" si="50"/>
        <v>223593.75899033621</v>
      </c>
      <c r="AE47" t="s">
        <v>76</v>
      </c>
      <c r="AF47" s="11">
        <f>AA47</f>
        <v>2.2797416350865563E-2</v>
      </c>
      <c r="AG47" s="12">
        <f t="shared" si="52"/>
        <v>25820353.758990336</v>
      </c>
      <c r="AH47" s="12">
        <f t="shared" si="53"/>
        <v>223593.75899033621</v>
      </c>
      <c r="AK47" s="11">
        <f>AL47/I47</f>
        <v>2.38440366972477E-2</v>
      </c>
      <c r="AL47" s="12">
        <f>W47/(1-B47)*(1-C47)</f>
        <v>27005755.963302746</v>
      </c>
      <c r="AM47" s="12">
        <f t="shared" si="56"/>
        <v>1408995.9633027464</v>
      </c>
    </row>
    <row r="48" spans="2:39" x14ac:dyDescent="0.3">
      <c r="E48" s="7">
        <v>477.01</v>
      </c>
      <c r="F48" s="5"/>
      <c r="G48" s="4" t="s">
        <v>37</v>
      </c>
      <c r="H48" s="45">
        <v>174.4</v>
      </c>
      <c r="I48" s="12">
        <f t="shared" si="2"/>
        <v>174400000</v>
      </c>
      <c r="K48" s="24">
        <v>3.3399999999999999E-2</v>
      </c>
      <c r="L48" s="12">
        <f t="shared" si="45"/>
        <v>5824960</v>
      </c>
      <c r="M48" s="27">
        <v>5.7</v>
      </c>
      <c r="N48" s="27">
        <f t="shared" si="4"/>
        <v>9.9999999999999645E-2</v>
      </c>
      <c r="P48" s="23">
        <v>2.9100000000000001E-2</v>
      </c>
      <c r="Q48" s="12">
        <f t="shared" si="46"/>
        <v>5075040</v>
      </c>
      <c r="R48" s="27">
        <v>5</v>
      </c>
      <c r="S48" s="27">
        <f t="shared" si="6"/>
        <v>9.9999999999999645E-2</v>
      </c>
      <c r="V48" s="11">
        <f t="shared" si="70"/>
        <v>2.9100000000000001E-2</v>
      </c>
      <c r="W48" s="12">
        <f t="shared" si="8"/>
        <v>5075040</v>
      </c>
      <c r="X48" s="12">
        <f t="shared" si="47"/>
        <v>0</v>
      </c>
      <c r="AA48" s="11">
        <f t="shared" ref="AA48:AA49" si="71">V48</f>
        <v>2.9100000000000001E-2</v>
      </c>
      <c r="AB48" s="12">
        <f t="shared" ref="AB48:AB49" si="72">I48*AA48</f>
        <v>5075040</v>
      </c>
      <c r="AC48" s="12">
        <f t="shared" si="50"/>
        <v>0</v>
      </c>
      <c r="AF48" s="11">
        <f t="shared" ref="AF48:AF49" si="73">P48</f>
        <v>2.9100000000000001E-2</v>
      </c>
      <c r="AG48" s="12">
        <f t="shared" si="52"/>
        <v>5075040</v>
      </c>
      <c r="AH48" s="12">
        <f t="shared" si="53"/>
        <v>0</v>
      </c>
      <c r="AK48" s="11">
        <f>P48</f>
        <v>2.9100000000000001E-2</v>
      </c>
      <c r="AL48" s="12">
        <f t="shared" ref="AL48:AL49" si="74">I48*AK48</f>
        <v>5075040</v>
      </c>
      <c r="AM48" s="12">
        <f t="shared" si="56"/>
        <v>0</v>
      </c>
    </row>
    <row r="49" spans="5:39" x14ac:dyDescent="0.3">
      <c r="E49" s="7">
        <v>478</v>
      </c>
      <c r="F49" s="5"/>
      <c r="G49" s="4" t="s">
        <v>38</v>
      </c>
      <c r="H49" s="45">
        <f>583.8+580.7</f>
        <v>1164.5</v>
      </c>
      <c r="I49" s="13">
        <f t="shared" si="2"/>
        <v>1164500000</v>
      </c>
      <c r="K49" s="25">
        <v>0.102542125514617</v>
      </c>
      <c r="L49" s="12">
        <f t="shared" si="45"/>
        <v>119410305.16177149</v>
      </c>
      <c r="M49" s="27">
        <v>118.5</v>
      </c>
      <c r="N49" s="27">
        <f t="shared" si="4"/>
        <v>0.90000000000000568</v>
      </c>
      <c r="P49" s="11">
        <v>8.9599999999999999E-2</v>
      </c>
      <c r="Q49" s="12">
        <f t="shared" si="46"/>
        <v>104339200</v>
      </c>
      <c r="R49" s="27">
        <v>103.4</v>
      </c>
      <c r="S49" s="27">
        <f t="shared" si="6"/>
        <v>0.89999999999999147</v>
      </c>
      <c r="V49" s="11">
        <f t="shared" si="70"/>
        <v>8.9599999999999999E-2</v>
      </c>
      <c r="W49" s="12">
        <f t="shared" si="8"/>
        <v>104339200</v>
      </c>
      <c r="X49" s="12">
        <f t="shared" si="47"/>
        <v>0</v>
      </c>
      <c r="AA49" s="11">
        <f t="shared" si="71"/>
        <v>8.9599999999999999E-2</v>
      </c>
      <c r="AB49" s="12">
        <f t="shared" si="72"/>
        <v>104339200</v>
      </c>
      <c r="AC49" s="12">
        <f t="shared" si="50"/>
        <v>0</v>
      </c>
      <c r="AF49" s="11">
        <f t="shared" si="73"/>
        <v>8.9599999999999999E-2</v>
      </c>
      <c r="AG49" s="12">
        <f t="shared" si="52"/>
        <v>104339200</v>
      </c>
      <c r="AH49" s="12">
        <f t="shared" si="53"/>
        <v>0</v>
      </c>
      <c r="AK49" s="11">
        <f>P49</f>
        <v>8.9599999999999999E-2</v>
      </c>
      <c r="AL49" s="12">
        <f t="shared" si="74"/>
        <v>104339200</v>
      </c>
      <c r="AM49" s="12">
        <f t="shared" si="56"/>
        <v>0</v>
      </c>
    </row>
    <row r="50" spans="5:39" x14ac:dyDescent="0.3">
      <c r="E50" s="6" t="s">
        <v>39</v>
      </c>
      <c r="F50" s="5"/>
      <c r="G50" s="4"/>
      <c r="H50" s="45"/>
      <c r="I50" s="16"/>
      <c r="K50" s="10"/>
      <c r="L50" s="16"/>
      <c r="M50" s="30"/>
      <c r="N50" s="27"/>
      <c r="P50" s="10"/>
      <c r="Q50" s="16"/>
      <c r="R50" s="30"/>
      <c r="S50" s="27"/>
      <c r="V50" s="10"/>
      <c r="W50" s="12"/>
      <c r="X50" s="12"/>
      <c r="AA50" s="10"/>
      <c r="AB50" s="12"/>
      <c r="AC50" s="12"/>
      <c r="AF50" s="10"/>
      <c r="AG50" s="12"/>
      <c r="AH50" s="12"/>
      <c r="AK50" s="10"/>
      <c r="AL50" s="12"/>
      <c r="AM50" s="12"/>
    </row>
    <row r="51" spans="5:39" x14ac:dyDescent="0.3">
      <c r="E51" s="4"/>
      <c r="F51" s="5"/>
      <c r="G51" s="4"/>
      <c r="H51" s="45"/>
      <c r="I51" s="15">
        <f t="shared" si="2"/>
        <v>0</v>
      </c>
      <c r="K51" s="10"/>
      <c r="L51" s="15"/>
      <c r="M51" s="29"/>
      <c r="N51" s="27"/>
      <c r="P51" s="10"/>
      <c r="Q51" s="15"/>
      <c r="R51" s="36"/>
      <c r="S51" s="27"/>
      <c r="V51" s="10"/>
      <c r="W51" s="12"/>
      <c r="X51" s="12"/>
      <c r="AA51" s="10"/>
      <c r="AB51" s="12"/>
      <c r="AC51" s="12"/>
      <c r="AF51" s="10"/>
      <c r="AG51" s="12"/>
      <c r="AH51" s="12"/>
      <c r="AK51" s="10"/>
      <c r="AL51" s="12"/>
      <c r="AM51" s="12"/>
    </row>
    <row r="52" spans="5:39" x14ac:dyDescent="0.3">
      <c r="E52" s="6" t="s">
        <v>40</v>
      </c>
      <c r="F52" s="5"/>
      <c r="G52" s="4"/>
      <c r="H52" s="45"/>
      <c r="I52" s="15">
        <f t="shared" si="2"/>
        <v>0</v>
      </c>
      <c r="K52" s="10"/>
      <c r="L52" s="15"/>
      <c r="M52" s="29"/>
      <c r="N52" s="27"/>
      <c r="P52" s="10"/>
      <c r="Q52" s="15"/>
      <c r="R52" s="36"/>
      <c r="S52" s="27"/>
      <c r="V52" s="10"/>
      <c r="W52" s="12"/>
      <c r="X52" s="12"/>
      <c r="AA52" s="10"/>
      <c r="AB52" s="12"/>
      <c r="AC52" s="12"/>
      <c r="AF52" s="10"/>
      <c r="AG52" s="12"/>
      <c r="AH52" s="12"/>
      <c r="AK52" s="10"/>
      <c r="AL52" s="12"/>
      <c r="AM52" s="12"/>
    </row>
    <row r="53" spans="5:39" x14ac:dyDescent="0.3">
      <c r="E53" s="7">
        <v>482</v>
      </c>
      <c r="F53" s="5"/>
      <c r="G53" s="4" t="s">
        <v>24</v>
      </c>
      <c r="H53" s="45">
        <f>9+29</f>
        <v>38</v>
      </c>
      <c r="I53" s="12">
        <f t="shared" si="2"/>
        <v>38000000</v>
      </c>
      <c r="K53" s="24">
        <v>1.44E-2</v>
      </c>
      <c r="L53" s="12">
        <f t="shared" ref="L53:L75" si="75">I53*K53</f>
        <v>547200</v>
      </c>
      <c r="M53" s="27">
        <v>0.5</v>
      </c>
      <c r="N53" s="27">
        <f t="shared" si="4"/>
        <v>0</v>
      </c>
      <c r="P53" s="23">
        <v>8.9999999999999993E-3</v>
      </c>
      <c r="Q53" s="12">
        <f t="shared" ref="Q53:Q75" si="76">I53*P53</f>
        <v>342000</v>
      </c>
      <c r="R53" s="27">
        <v>0.3</v>
      </c>
      <c r="S53" s="27">
        <f t="shared" si="6"/>
        <v>0</v>
      </c>
      <c r="V53" s="11">
        <f>P53</f>
        <v>8.9999999999999993E-3</v>
      </c>
      <c r="W53" s="12">
        <f t="shared" si="8"/>
        <v>342000</v>
      </c>
      <c r="X53" s="12">
        <f t="shared" ref="X53:X75" si="77">W53-Q53</f>
        <v>0</v>
      </c>
      <c r="AA53" s="11">
        <f t="shared" ref="AA53:AA75" si="78">V53</f>
        <v>8.9999999999999993E-3</v>
      </c>
      <c r="AB53" s="12">
        <f t="shared" ref="AB53:AB75" si="79">I53*AA53</f>
        <v>342000</v>
      </c>
      <c r="AC53" s="12">
        <f t="shared" ref="AC53:AC75" si="80">AB53-W53</f>
        <v>0</v>
      </c>
      <c r="AF53" s="11">
        <f>P53</f>
        <v>8.9999999999999993E-3</v>
      </c>
      <c r="AG53" s="12">
        <f t="shared" ref="AG53:AG75" si="81">I53*AF53</f>
        <v>342000</v>
      </c>
      <c r="AH53" s="12">
        <f t="shared" ref="AH53:AH75" si="82">AG53-Q53</f>
        <v>0</v>
      </c>
      <c r="AK53" s="11">
        <f>P53</f>
        <v>8.9999999999999993E-3</v>
      </c>
      <c r="AL53" s="12">
        <f t="shared" ref="AL53:AL75" si="83">I53*AK53</f>
        <v>342000</v>
      </c>
      <c r="AM53" s="12">
        <f t="shared" ref="AM53:AM75" si="84">AL53-Q53</f>
        <v>0</v>
      </c>
    </row>
    <row r="54" spans="5:39" x14ac:dyDescent="0.3">
      <c r="E54" s="7">
        <v>482.01</v>
      </c>
      <c r="F54" s="5"/>
      <c r="G54" s="4" t="s">
        <v>41</v>
      </c>
      <c r="H54" s="45">
        <f>119.4</f>
        <v>119.4</v>
      </c>
      <c r="I54" s="12">
        <f t="shared" si="2"/>
        <v>119400000</v>
      </c>
      <c r="K54" s="25">
        <v>6.3606727287211506E-2</v>
      </c>
      <c r="L54" s="12">
        <f t="shared" si="75"/>
        <v>7594643.2380930539</v>
      </c>
      <c r="M54" s="27">
        <v>7.6</v>
      </c>
      <c r="N54" s="27">
        <f t="shared" si="4"/>
        <v>0</v>
      </c>
      <c r="P54" s="11">
        <v>6.1499999999999999E-2</v>
      </c>
      <c r="Q54" s="12">
        <f t="shared" si="76"/>
        <v>7343100</v>
      </c>
      <c r="R54" s="27">
        <v>7.3</v>
      </c>
      <c r="S54" s="27">
        <f t="shared" si="6"/>
        <v>0</v>
      </c>
      <c r="V54" s="11">
        <f t="shared" ref="V54:V75" si="85">P54</f>
        <v>6.1499999999999999E-2</v>
      </c>
      <c r="W54" s="12">
        <f t="shared" si="8"/>
        <v>7343100</v>
      </c>
      <c r="X54" s="12">
        <f t="shared" si="77"/>
        <v>0</v>
      </c>
      <c r="AA54" s="11">
        <f t="shared" si="78"/>
        <v>6.1499999999999999E-2</v>
      </c>
      <c r="AB54" s="12">
        <f t="shared" si="79"/>
        <v>7343100</v>
      </c>
      <c r="AC54" s="12">
        <f t="shared" si="80"/>
        <v>0</v>
      </c>
      <c r="AF54" s="11">
        <f t="shared" ref="AF54:AF75" si="86">P54</f>
        <v>6.1499999999999999E-2</v>
      </c>
      <c r="AG54" s="12">
        <f t="shared" si="81"/>
        <v>7343100</v>
      </c>
      <c r="AH54" s="12">
        <f t="shared" si="82"/>
        <v>0</v>
      </c>
      <c r="AK54" s="11">
        <f t="shared" ref="AK54:AK75" si="87">P54</f>
        <v>6.1499999999999999E-2</v>
      </c>
      <c r="AL54" s="12">
        <f t="shared" si="83"/>
        <v>7343100</v>
      </c>
      <c r="AM54" s="12">
        <f t="shared" si="84"/>
        <v>0</v>
      </c>
    </row>
    <row r="55" spans="5:39" x14ac:dyDescent="0.3">
      <c r="E55" s="7">
        <v>482.04</v>
      </c>
      <c r="F55" s="5"/>
      <c r="G55" s="4" t="s">
        <v>42</v>
      </c>
      <c r="H55" s="45"/>
      <c r="I55" s="12">
        <f t="shared" si="2"/>
        <v>0</v>
      </c>
      <c r="K55" s="25">
        <v>0.592313045764573</v>
      </c>
      <c r="L55" s="12">
        <f t="shared" si="75"/>
        <v>0</v>
      </c>
      <c r="M55" s="27">
        <v>0</v>
      </c>
      <c r="N55" s="27">
        <f t="shared" si="4"/>
        <v>0</v>
      </c>
      <c r="P55" s="11">
        <v>0.59230000000000005</v>
      </c>
      <c r="Q55" s="12">
        <f t="shared" si="76"/>
        <v>0</v>
      </c>
      <c r="R55" s="27">
        <v>0</v>
      </c>
      <c r="S55" s="27">
        <f t="shared" si="6"/>
        <v>0</v>
      </c>
      <c r="V55" s="11">
        <f t="shared" si="85"/>
        <v>0.59230000000000005</v>
      </c>
      <c r="W55" s="12">
        <f t="shared" si="8"/>
        <v>0</v>
      </c>
      <c r="X55" s="12">
        <f t="shared" si="77"/>
        <v>0</v>
      </c>
      <c r="AA55" s="11">
        <f t="shared" si="78"/>
        <v>0.59230000000000005</v>
      </c>
      <c r="AB55" s="12">
        <f t="shared" si="79"/>
        <v>0</v>
      </c>
      <c r="AC55" s="12">
        <f t="shared" si="80"/>
        <v>0</v>
      </c>
      <c r="AF55" s="11">
        <f t="shared" si="86"/>
        <v>0.59230000000000005</v>
      </c>
      <c r="AG55" s="12">
        <f t="shared" si="81"/>
        <v>0</v>
      </c>
      <c r="AH55" s="12">
        <f t="shared" si="82"/>
        <v>0</v>
      </c>
      <c r="AK55" s="11">
        <f t="shared" si="87"/>
        <v>0.59230000000000005</v>
      </c>
      <c r="AL55" s="12">
        <f t="shared" si="83"/>
        <v>0</v>
      </c>
      <c r="AM55" s="12">
        <f t="shared" si="84"/>
        <v>0</v>
      </c>
    </row>
    <row r="56" spans="5:39" x14ac:dyDescent="0.3">
      <c r="E56" s="7">
        <v>482.05</v>
      </c>
      <c r="F56" s="5"/>
      <c r="G56" s="4" t="s">
        <v>43</v>
      </c>
      <c r="H56" s="45">
        <v>37.1</v>
      </c>
      <c r="I56" s="12">
        <f t="shared" si="2"/>
        <v>37100000</v>
      </c>
      <c r="K56" s="25">
        <v>4.2126299475038598E-2</v>
      </c>
      <c r="L56" s="12">
        <f t="shared" si="75"/>
        <v>1562885.710523932</v>
      </c>
      <c r="M56" s="27">
        <v>1.6</v>
      </c>
      <c r="N56" s="27">
        <f t="shared" si="4"/>
        <v>0</v>
      </c>
      <c r="P56" s="11">
        <v>3.7900000000000003E-2</v>
      </c>
      <c r="Q56" s="12">
        <f t="shared" si="76"/>
        <v>1406090</v>
      </c>
      <c r="R56" s="27">
        <v>1.4</v>
      </c>
      <c r="S56" s="27">
        <f t="shared" si="6"/>
        <v>0</v>
      </c>
      <c r="V56" s="11">
        <f t="shared" si="85"/>
        <v>3.7900000000000003E-2</v>
      </c>
      <c r="W56" s="12">
        <f t="shared" si="8"/>
        <v>1406090</v>
      </c>
      <c r="X56" s="12">
        <f t="shared" si="77"/>
        <v>0</v>
      </c>
      <c r="AA56" s="11">
        <f t="shared" si="78"/>
        <v>3.7900000000000003E-2</v>
      </c>
      <c r="AB56" s="12">
        <f t="shared" si="79"/>
        <v>1406090</v>
      </c>
      <c r="AC56" s="12">
        <f t="shared" si="80"/>
        <v>0</v>
      </c>
      <c r="AF56" s="11">
        <f t="shared" si="86"/>
        <v>3.7900000000000003E-2</v>
      </c>
      <c r="AG56" s="12">
        <f t="shared" si="81"/>
        <v>1406090</v>
      </c>
      <c r="AH56" s="12">
        <f t="shared" si="82"/>
        <v>0</v>
      </c>
      <c r="AK56" s="11">
        <f t="shared" si="87"/>
        <v>3.7900000000000003E-2</v>
      </c>
      <c r="AL56" s="12">
        <f t="shared" si="83"/>
        <v>1406090</v>
      </c>
      <c r="AM56" s="12">
        <f t="shared" si="84"/>
        <v>0</v>
      </c>
    </row>
    <row r="57" spans="5:39" x14ac:dyDescent="0.3">
      <c r="E57" s="7">
        <v>482.51</v>
      </c>
      <c r="F57" s="5"/>
      <c r="G57" s="4" t="s">
        <v>44</v>
      </c>
      <c r="H57" s="45">
        <v>78.2</v>
      </c>
      <c r="I57" s="12">
        <f t="shared" si="2"/>
        <v>78200000</v>
      </c>
      <c r="K57" s="25">
        <v>5.61677460218033E-2</v>
      </c>
      <c r="L57" s="12">
        <f t="shared" si="75"/>
        <v>4392317.7389050182</v>
      </c>
      <c r="M57" s="27">
        <v>4.4000000000000004</v>
      </c>
      <c r="N57" s="27">
        <f t="shared" si="4"/>
        <v>0</v>
      </c>
      <c r="P57" s="11">
        <v>4.8399999999999999E-2</v>
      </c>
      <c r="Q57" s="12">
        <f t="shared" si="76"/>
        <v>3784880</v>
      </c>
      <c r="R57" s="27">
        <v>3.8</v>
      </c>
      <c r="S57" s="27">
        <f t="shared" si="6"/>
        <v>0</v>
      </c>
      <c r="V57" s="11">
        <f t="shared" si="85"/>
        <v>4.8399999999999999E-2</v>
      </c>
      <c r="W57" s="12">
        <f t="shared" si="8"/>
        <v>3784880</v>
      </c>
      <c r="X57" s="12">
        <f t="shared" si="77"/>
        <v>0</v>
      </c>
      <c r="AA57" s="11">
        <f t="shared" si="78"/>
        <v>4.8399999999999999E-2</v>
      </c>
      <c r="AB57" s="12">
        <f t="shared" si="79"/>
        <v>3784880</v>
      </c>
      <c r="AC57" s="12">
        <f t="shared" si="80"/>
        <v>0</v>
      </c>
      <c r="AF57" s="11">
        <f t="shared" si="86"/>
        <v>4.8399999999999999E-2</v>
      </c>
      <c r="AG57" s="12">
        <f t="shared" si="81"/>
        <v>3784880</v>
      </c>
      <c r="AH57" s="12">
        <f t="shared" si="82"/>
        <v>0</v>
      </c>
      <c r="AK57" s="11">
        <f t="shared" si="87"/>
        <v>4.8399999999999999E-2</v>
      </c>
      <c r="AL57" s="12">
        <f t="shared" si="83"/>
        <v>3784880</v>
      </c>
      <c r="AM57" s="12">
        <f t="shared" si="84"/>
        <v>0</v>
      </c>
    </row>
    <row r="58" spans="5:39" x14ac:dyDescent="0.3">
      <c r="E58" s="7">
        <v>482.52</v>
      </c>
      <c r="F58" s="5"/>
      <c r="G58" s="4" t="s">
        <v>45</v>
      </c>
      <c r="H58" s="45">
        <v>21.6</v>
      </c>
      <c r="I58" s="12">
        <f t="shared" si="2"/>
        <v>21600000</v>
      </c>
      <c r="K58" s="25">
        <v>0.14631178004595499</v>
      </c>
      <c r="L58" s="12">
        <f t="shared" si="75"/>
        <v>3160334.4489926277</v>
      </c>
      <c r="M58" s="27">
        <v>3.2</v>
      </c>
      <c r="N58" s="27">
        <f t="shared" si="4"/>
        <v>0</v>
      </c>
      <c r="P58" s="11">
        <v>0.1447</v>
      </c>
      <c r="Q58" s="12">
        <f t="shared" si="76"/>
        <v>3125520</v>
      </c>
      <c r="R58" s="27">
        <v>3.1</v>
      </c>
      <c r="S58" s="27">
        <f t="shared" si="6"/>
        <v>0</v>
      </c>
      <c r="V58" s="11">
        <f t="shared" si="85"/>
        <v>0.1447</v>
      </c>
      <c r="W58" s="12">
        <f t="shared" si="8"/>
        <v>3125520</v>
      </c>
      <c r="X58" s="12">
        <f t="shared" si="77"/>
        <v>0</v>
      </c>
      <c r="AA58" s="11">
        <f t="shared" si="78"/>
        <v>0.1447</v>
      </c>
      <c r="AB58" s="12">
        <f t="shared" si="79"/>
        <v>3125520</v>
      </c>
      <c r="AC58" s="12">
        <f t="shared" si="80"/>
        <v>0</v>
      </c>
      <c r="AF58" s="11">
        <f t="shared" si="86"/>
        <v>0.1447</v>
      </c>
      <c r="AG58" s="12">
        <f t="shared" si="81"/>
        <v>3125520</v>
      </c>
      <c r="AH58" s="12">
        <f t="shared" si="82"/>
        <v>0</v>
      </c>
      <c r="AK58" s="11">
        <f t="shared" si="87"/>
        <v>0.1447</v>
      </c>
      <c r="AL58" s="12">
        <f t="shared" si="83"/>
        <v>3125520</v>
      </c>
      <c r="AM58" s="12">
        <f t="shared" si="84"/>
        <v>0</v>
      </c>
    </row>
    <row r="59" spans="5:39" x14ac:dyDescent="0.3">
      <c r="E59" s="7">
        <v>483</v>
      </c>
      <c r="F59" s="5"/>
      <c r="G59" s="4" t="s">
        <v>46</v>
      </c>
      <c r="H59" s="45">
        <f>28.6+9.4</f>
        <v>38</v>
      </c>
      <c r="I59" s="12">
        <f t="shared" si="2"/>
        <v>38000000</v>
      </c>
      <c r="K59" s="25">
        <v>4.0330417479552703E-2</v>
      </c>
      <c r="L59" s="12">
        <f t="shared" si="75"/>
        <v>1532555.8642230027</v>
      </c>
      <c r="M59" s="27">
        <v>1.5</v>
      </c>
      <c r="N59" s="27">
        <f t="shared" si="4"/>
        <v>0</v>
      </c>
      <c r="P59" s="11">
        <v>4.3999999999999997E-2</v>
      </c>
      <c r="Q59" s="12">
        <f t="shared" si="76"/>
        <v>1672000</v>
      </c>
      <c r="R59" s="27">
        <v>1.7</v>
      </c>
      <c r="S59" s="27">
        <f t="shared" si="6"/>
        <v>0</v>
      </c>
      <c r="V59" s="11">
        <f t="shared" si="85"/>
        <v>4.3999999999999997E-2</v>
      </c>
      <c r="W59" s="12">
        <f t="shared" si="8"/>
        <v>1672000</v>
      </c>
      <c r="X59" s="12">
        <f t="shared" si="77"/>
        <v>0</v>
      </c>
      <c r="AA59" s="11">
        <f t="shared" si="78"/>
        <v>4.3999999999999997E-2</v>
      </c>
      <c r="AB59" s="12">
        <f t="shared" si="79"/>
        <v>1672000</v>
      </c>
      <c r="AC59" s="12">
        <f t="shared" si="80"/>
        <v>0</v>
      </c>
      <c r="AF59" s="11">
        <f t="shared" si="86"/>
        <v>4.3999999999999997E-2</v>
      </c>
      <c r="AG59" s="12">
        <f t="shared" si="81"/>
        <v>1672000</v>
      </c>
      <c r="AH59" s="12">
        <f t="shared" si="82"/>
        <v>0</v>
      </c>
      <c r="AK59" s="11">
        <f t="shared" si="87"/>
        <v>4.3999999999999997E-2</v>
      </c>
      <c r="AL59" s="12">
        <f t="shared" si="83"/>
        <v>1672000</v>
      </c>
      <c r="AM59" s="12">
        <f t="shared" si="84"/>
        <v>0</v>
      </c>
    </row>
    <row r="60" spans="5:39" x14ac:dyDescent="0.3">
      <c r="E60" s="7">
        <v>484</v>
      </c>
      <c r="F60" s="5"/>
      <c r="G60" s="4" t="s">
        <v>47</v>
      </c>
      <c r="H60" s="45">
        <f>82.5+73.6</f>
        <v>156.1</v>
      </c>
      <c r="I60" s="12">
        <f t="shared" si="2"/>
        <v>156100000</v>
      </c>
      <c r="K60" s="25">
        <v>4.6530955487568401E-2</v>
      </c>
      <c r="L60" s="12">
        <f t="shared" si="75"/>
        <v>7263482.1516094273</v>
      </c>
      <c r="M60" s="27">
        <v>7.2</v>
      </c>
      <c r="N60" s="27">
        <f t="shared" si="4"/>
        <v>9.9999999999999645E-2</v>
      </c>
      <c r="P60" s="11">
        <v>3.7699999999999997E-2</v>
      </c>
      <c r="Q60" s="12">
        <f t="shared" si="76"/>
        <v>5884970</v>
      </c>
      <c r="R60" s="27">
        <v>5.8</v>
      </c>
      <c r="S60" s="27">
        <f t="shared" si="6"/>
        <v>0.10000000000000053</v>
      </c>
      <c r="V60" s="11">
        <f t="shared" si="85"/>
        <v>3.7699999999999997E-2</v>
      </c>
      <c r="W60" s="12">
        <f t="shared" si="8"/>
        <v>5884970</v>
      </c>
      <c r="X60" s="12">
        <f t="shared" si="77"/>
        <v>0</v>
      </c>
      <c r="AA60" s="11">
        <f t="shared" si="78"/>
        <v>3.7699999999999997E-2</v>
      </c>
      <c r="AB60" s="12">
        <f t="shared" si="79"/>
        <v>5884970</v>
      </c>
      <c r="AC60" s="12">
        <f t="shared" si="80"/>
        <v>0</v>
      </c>
      <c r="AF60" s="11">
        <f t="shared" si="86"/>
        <v>3.7699999999999997E-2</v>
      </c>
      <c r="AG60" s="12">
        <f t="shared" si="81"/>
        <v>5884970</v>
      </c>
      <c r="AH60" s="12">
        <f t="shared" si="82"/>
        <v>0</v>
      </c>
      <c r="AK60" s="11">
        <f t="shared" si="87"/>
        <v>3.7699999999999997E-2</v>
      </c>
      <c r="AL60" s="12">
        <f t="shared" si="83"/>
        <v>5884970</v>
      </c>
      <c r="AM60" s="12">
        <f t="shared" si="84"/>
        <v>0</v>
      </c>
    </row>
    <row r="61" spans="5:39" x14ac:dyDescent="0.3">
      <c r="E61" s="7">
        <v>485</v>
      </c>
      <c r="F61" s="5"/>
      <c r="G61" s="4" t="s">
        <v>48</v>
      </c>
      <c r="H61" s="45">
        <f>29.4+23</f>
        <v>52.4</v>
      </c>
      <c r="I61" s="12">
        <f t="shared" si="2"/>
        <v>52400000</v>
      </c>
      <c r="K61" s="24">
        <v>8.2900000000000001E-2</v>
      </c>
      <c r="L61" s="12">
        <f t="shared" si="75"/>
        <v>4343960</v>
      </c>
      <c r="M61" s="27">
        <v>4.3</v>
      </c>
      <c r="N61" s="27">
        <f t="shared" si="4"/>
        <v>0</v>
      </c>
      <c r="P61" s="23">
        <v>6.3299999999999995E-2</v>
      </c>
      <c r="Q61" s="12">
        <f t="shared" si="76"/>
        <v>3316919.9999999995</v>
      </c>
      <c r="R61" s="27">
        <v>3.3</v>
      </c>
      <c r="S61" s="27">
        <f t="shared" si="6"/>
        <v>0</v>
      </c>
      <c r="V61" s="11">
        <f t="shared" si="85"/>
        <v>6.3299999999999995E-2</v>
      </c>
      <c r="W61" s="12">
        <f t="shared" si="8"/>
        <v>3316919.9999999995</v>
      </c>
      <c r="X61" s="12">
        <f t="shared" si="77"/>
        <v>0</v>
      </c>
      <c r="AA61" s="11">
        <f t="shared" si="78"/>
        <v>6.3299999999999995E-2</v>
      </c>
      <c r="AB61" s="12">
        <f t="shared" si="79"/>
        <v>3316919.9999999995</v>
      </c>
      <c r="AC61" s="12">
        <f t="shared" si="80"/>
        <v>0</v>
      </c>
      <c r="AF61" s="11">
        <f t="shared" si="86"/>
        <v>6.3299999999999995E-2</v>
      </c>
      <c r="AG61" s="12">
        <f t="shared" si="81"/>
        <v>3316919.9999999995</v>
      </c>
      <c r="AH61" s="12">
        <f t="shared" si="82"/>
        <v>0</v>
      </c>
      <c r="AK61" s="11">
        <f t="shared" si="87"/>
        <v>6.3299999999999995E-2</v>
      </c>
      <c r="AL61" s="12">
        <f t="shared" si="83"/>
        <v>3316919.9999999995</v>
      </c>
      <c r="AM61" s="12">
        <f t="shared" si="84"/>
        <v>0</v>
      </c>
    </row>
    <row r="62" spans="5:39" x14ac:dyDescent="0.3">
      <c r="E62" s="7">
        <v>486</v>
      </c>
      <c r="F62" s="5"/>
      <c r="G62" s="4" t="s">
        <v>49</v>
      </c>
      <c r="H62" s="45">
        <f>53.3+38.6</f>
        <v>91.9</v>
      </c>
      <c r="I62" s="12">
        <f t="shared" si="2"/>
        <v>91900000</v>
      </c>
      <c r="K62" s="24">
        <v>0.1192</v>
      </c>
      <c r="L62" s="12">
        <f t="shared" si="75"/>
        <v>10954480</v>
      </c>
      <c r="M62" s="27">
        <v>10.9</v>
      </c>
      <c r="N62" s="27">
        <f t="shared" si="4"/>
        <v>9.9999999999999645E-2</v>
      </c>
      <c r="P62" s="23">
        <v>0.1192</v>
      </c>
      <c r="Q62" s="12">
        <f t="shared" si="76"/>
        <v>10954480</v>
      </c>
      <c r="R62" s="27">
        <v>10.9</v>
      </c>
      <c r="S62" s="27">
        <f t="shared" si="6"/>
        <v>9.9999999999999645E-2</v>
      </c>
      <c r="V62" s="11">
        <f t="shared" si="85"/>
        <v>0.1192</v>
      </c>
      <c r="W62" s="12">
        <f t="shared" si="8"/>
        <v>10954480</v>
      </c>
      <c r="X62" s="12">
        <f t="shared" si="77"/>
        <v>0</v>
      </c>
      <c r="AA62" s="11">
        <f t="shared" si="78"/>
        <v>0.1192</v>
      </c>
      <c r="AB62" s="12">
        <f t="shared" si="79"/>
        <v>10954480</v>
      </c>
      <c r="AC62" s="12">
        <f t="shared" si="80"/>
        <v>0</v>
      </c>
      <c r="AF62" s="11">
        <f t="shared" si="86"/>
        <v>0.1192</v>
      </c>
      <c r="AG62" s="12">
        <f t="shared" si="81"/>
        <v>10954480</v>
      </c>
      <c r="AH62" s="12">
        <f t="shared" si="82"/>
        <v>0</v>
      </c>
      <c r="AK62" s="11">
        <f t="shared" si="87"/>
        <v>0.1192</v>
      </c>
      <c r="AL62" s="12">
        <f t="shared" si="83"/>
        <v>10954480</v>
      </c>
      <c r="AM62" s="12">
        <f t="shared" si="84"/>
        <v>0</v>
      </c>
    </row>
    <row r="63" spans="5:39" x14ac:dyDescent="0.3">
      <c r="E63" s="7">
        <v>487.7</v>
      </c>
      <c r="F63" s="5"/>
      <c r="G63" s="4" t="s">
        <v>50</v>
      </c>
      <c r="H63" s="45">
        <v>0.8</v>
      </c>
      <c r="I63" s="12">
        <f t="shared" si="2"/>
        <v>800000</v>
      </c>
      <c r="K63" s="25">
        <v>0.100485154084482</v>
      </c>
      <c r="L63" s="12">
        <f t="shared" si="75"/>
        <v>80388.123267585601</v>
      </c>
      <c r="M63" s="27">
        <v>0.1</v>
      </c>
      <c r="N63" s="27">
        <f t="shared" si="4"/>
        <v>0</v>
      </c>
      <c r="P63" s="11">
        <v>0.100485154084482</v>
      </c>
      <c r="Q63" s="12">
        <f t="shared" si="76"/>
        <v>80388.123267585601</v>
      </c>
      <c r="R63" s="27">
        <v>0.1</v>
      </c>
      <c r="S63" s="27">
        <f t="shared" si="6"/>
        <v>0</v>
      </c>
      <c r="V63" s="11">
        <f t="shared" si="85"/>
        <v>0.100485154084482</v>
      </c>
      <c r="W63" s="12">
        <f t="shared" si="8"/>
        <v>80388.123267585601</v>
      </c>
      <c r="X63" s="12">
        <f t="shared" si="77"/>
        <v>0</v>
      </c>
      <c r="AA63" s="11">
        <f t="shared" si="78"/>
        <v>0.100485154084482</v>
      </c>
      <c r="AB63" s="12">
        <f t="shared" si="79"/>
        <v>80388.123267585601</v>
      </c>
      <c r="AC63" s="12">
        <f t="shared" si="80"/>
        <v>0</v>
      </c>
      <c r="AF63" s="11">
        <f t="shared" si="86"/>
        <v>0.100485154084482</v>
      </c>
      <c r="AG63" s="12">
        <f t="shared" si="81"/>
        <v>80388.123267585601</v>
      </c>
      <c r="AH63" s="12">
        <f t="shared" si="82"/>
        <v>0</v>
      </c>
      <c r="AK63" s="11">
        <f t="shared" si="87"/>
        <v>0.100485154084482</v>
      </c>
      <c r="AL63" s="12">
        <f t="shared" si="83"/>
        <v>80388.123267585601</v>
      </c>
      <c r="AM63" s="12">
        <f t="shared" si="84"/>
        <v>0</v>
      </c>
    </row>
    <row r="64" spans="5:39" x14ac:dyDescent="0.3">
      <c r="E64" s="7">
        <v>487.8</v>
      </c>
      <c r="F64" s="5"/>
      <c r="G64" s="4" t="s">
        <v>51</v>
      </c>
      <c r="H64" s="45">
        <v>8.1</v>
      </c>
      <c r="I64" s="12">
        <f t="shared" si="2"/>
        <v>8100000</v>
      </c>
      <c r="K64" s="25">
        <v>3.7079819447635998E-2</v>
      </c>
      <c r="L64" s="12">
        <f t="shared" si="75"/>
        <v>300346.53752585157</v>
      </c>
      <c r="M64" s="27">
        <v>0.3</v>
      </c>
      <c r="N64" s="27">
        <f t="shared" si="4"/>
        <v>0</v>
      </c>
      <c r="P64" s="23">
        <v>3.7499999999999999E-2</v>
      </c>
      <c r="Q64" s="12">
        <f t="shared" si="76"/>
        <v>303750</v>
      </c>
      <c r="R64" s="27">
        <v>0.3</v>
      </c>
      <c r="S64" s="27">
        <f t="shared" si="6"/>
        <v>0</v>
      </c>
      <c r="V64" s="11">
        <f t="shared" si="85"/>
        <v>3.7499999999999999E-2</v>
      </c>
      <c r="W64" s="12">
        <f t="shared" si="8"/>
        <v>303750</v>
      </c>
      <c r="X64" s="12">
        <f t="shared" si="77"/>
        <v>0</v>
      </c>
      <c r="AA64" s="11">
        <f t="shared" si="78"/>
        <v>3.7499999999999999E-2</v>
      </c>
      <c r="AB64" s="12">
        <f t="shared" si="79"/>
        <v>303750</v>
      </c>
      <c r="AC64" s="12">
        <f t="shared" si="80"/>
        <v>0</v>
      </c>
      <c r="AF64" s="11">
        <f t="shared" si="86"/>
        <v>3.7499999999999999E-2</v>
      </c>
      <c r="AG64" s="12">
        <f t="shared" si="81"/>
        <v>303750</v>
      </c>
      <c r="AH64" s="12">
        <f t="shared" si="82"/>
        <v>0</v>
      </c>
      <c r="AK64" s="11">
        <f t="shared" si="87"/>
        <v>3.7499999999999999E-2</v>
      </c>
      <c r="AL64" s="12">
        <f t="shared" si="83"/>
        <v>303750</v>
      </c>
      <c r="AM64" s="12">
        <f t="shared" si="84"/>
        <v>0</v>
      </c>
    </row>
    <row r="65" spans="5:39" x14ac:dyDescent="0.3">
      <c r="E65" s="7">
        <v>488</v>
      </c>
      <c r="F65" s="5"/>
      <c r="G65" s="4" t="s">
        <v>52</v>
      </c>
      <c r="H65" s="45">
        <f>2+7.5</f>
        <v>9.5</v>
      </c>
      <c r="I65" s="12">
        <f t="shared" si="2"/>
        <v>9500000</v>
      </c>
      <c r="K65" s="24">
        <v>0.26250000000000001</v>
      </c>
      <c r="L65" s="12">
        <f t="shared" si="75"/>
        <v>2493750</v>
      </c>
      <c r="M65" s="27">
        <v>2.6</v>
      </c>
      <c r="N65" s="27">
        <f t="shared" si="4"/>
        <v>-0.10000000000000009</v>
      </c>
      <c r="P65" s="23">
        <v>0.26250000000000001</v>
      </c>
      <c r="Q65" s="12">
        <f t="shared" si="76"/>
        <v>2493750</v>
      </c>
      <c r="R65" s="27">
        <v>2.6</v>
      </c>
      <c r="S65" s="27">
        <f t="shared" si="6"/>
        <v>-0.10000000000000009</v>
      </c>
      <c r="V65" s="11">
        <f t="shared" si="85"/>
        <v>0.26250000000000001</v>
      </c>
      <c r="W65" s="12">
        <f t="shared" si="8"/>
        <v>2493750</v>
      </c>
      <c r="X65" s="12">
        <f t="shared" si="77"/>
        <v>0</v>
      </c>
      <c r="AA65" s="11">
        <f t="shared" si="78"/>
        <v>0.26250000000000001</v>
      </c>
      <c r="AB65" s="12">
        <f t="shared" si="79"/>
        <v>2493750</v>
      </c>
      <c r="AC65" s="12">
        <f t="shared" si="80"/>
        <v>0</v>
      </c>
      <c r="AF65" s="11">
        <f t="shared" si="86"/>
        <v>0.26250000000000001</v>
      </c>
      <c r="AG65" s="12">
        <f t="shared" si="81"/>
        <v>2493750</v>
      </c>
      <c r="AH65" s="12">
        <f t="shared" si="82"/>
        <v>0</v>
      </c>
      <c r="AK65" s="11">
        <f t="shared" si="87"/>
        <v>0.26250000000000001</v>
      </c>
      <c r="AL65" s="12">
        <f t="shared" si="83"/>
        <v>2493750</v>
      </c>
      <c r="AM65" s="12">
        <f t="shared" si="84"/>
        <v>0</v>
      </c>
    </row>
    <row r="66" spans="5:39" x14ac:dyDescent="0.3">
      <c r="E66" s="7">
        <v>490</v>
      </c>
      <c r="F66" s="5"/>
      <c r="G66" s="4" t="s">
        <v>53</v>
      </c>
      <c r="H66" s="45">
        <f>18.9+17.1</f>
        <v>36</v>
      </c>
      <c r="I66" s="12">
        <f t="shared" si="2"/>
        <v>36000000</v>
      </c>
      <c r="K66" s="25">
        <v>0.13335110196772801</v>
      </c>
      <c r="L66" s="12">
        <f t="shared" si="75"/>
        <v>4800639.6708382079</v>
      </c>
      <c r="M66" s="27">
        <v>4.2</v>
      </c>
      <c r="N66" s="27">
        <f t="shared" si="4"/>
        <v>0.59999999999999964</v>
      </c>
      <c r="P66" s="11">
        <v>0.1409</v>
      </c>
      <c r="Q66" s="12">
        <f t="shared" si="76"/>
        <v>5072400</v>
      </c>
      <c r="R66" s="27">
        <v>4.5</v>
      </c>
      <c r="S66" s="27">
        <f t="shared" si="6"/>
        <v>0.59999999999999964</v>
      </c>
      <c r="V66" s="11">
        <f t="shared" si="85"/>
        <v>0.1409</v>
      </c>
      <c r="W66" s="12">
        <f t="shared" si="8"/>
        <v>5072400</v>
      </c>
      <c r="X66" s="12">
        <f t="shared" si="77"/>
        <v>0</v>
      </c>
      <c r="AA66" s="11">
        <f t="shared" si="78"/>
        <v>0.1409</v>
      </c>
      <c r="AB66" s="12">
        <f t="shared" si="79"/>
        <v>5072400</v>
      </c>
      <c r="AC66" s="12">
        <f t="shared" si="80"/>
        <v>0</v>
      </c>
      <c r="AF66" s="11">
        <f t="shared" si="86"/>
        <v>0.1409</v>
      </c>
      <c r="AG66" s="12">
        <f t="shared" si="81"/>
        <v>5072400</v>
      </c>
      <c r="AH66" s="12">
        <f t="shared" si="82"/>
        <v>0</v>
      </c>
      <c r="AK66" s="11">
        <f t="shared" si="87"/>
        <v>0.1409</v>
      </c>
      <c r="AL66" s="12">
        <f t="shared" si="83"/>
        <v>5072400</v>
      </c>
      <c r="AM66" s="12">
        <f t="shared" si="84"/>
        <v>0</v>
      </c>
    </row>
    <row r="67" spans="5:39" x14ac:dyDescent="0.3">
      <c r="E67" s="7"/>
      <c r="F67" s="5"/>
      <c r="G67" s="4" t="s">
        <v>54</v>
      </c>
      <c r="H67" s="45">
        <f>8.5+3.6</f>
        <v>12.1</v>
      </c>
      <c r="I67" s="12">
        <f t="shared" si="2"/>
        <v>12100000</v>
      </c>
      <c r="K67" s="25">
        <v>0.25</v>
      </c>
      <c r="L67" s="12">
        <f t="shared" si="75"/>
        <v>3025000</v>
      </c>
      <c r="M67" s="27">
        <v>3.3</v>
      </c>
      <c r="N67" s="27">
        <f t="shared" si="4"/>
        <v>-0.29999999999999982</v>
      </c>
      <c r="P67" s="11">
        <v>0.25</v>
      </c>
      <c r="Q67" s="12">
        <f t="shared" si="76"/>
        <v>3025000</v>
      </c>
      <c r="R67" s="27">
        <v>3.3</v>
      </c>
      <c r="S67" s="27">
        <f t="shared" si="6"/>
        <v>-0.29999999999999982</v>
      </c>
      <c r="V67" s="11">
        <f t="shared" si="85"/>
        <v>0.25</v>
      </c>
      <c r="W67" s="12">
        <f t="shared" si="8"/>
        <v>3025000</v>
      </c>
      <c r="X67" s="12">
        <f t="shared" si="77"/>
        <v>0</v>
      </c>
      <c r="AA67" s="11">
        <f t="shared" si="78"/>
        <v>0.25</v>
      </c>
      <c r="AB67" s="12">
        <f t="shared" si="79"/>
        <v>3025000</v>
      </c>
      <c r="AC67" s="12">
        <f t="shared" si="80"/>
        <v>0</v>
      </c>
      <c r="AF67" s="11">
        <f t="shared" si="86"/>
        <v>0.25</v>
      </c>
      <c r="AG67" s="12">
        <f t="shared" si="81"/>
        <v>3025000</v>
      </c>
      <c r="AH67" s="12">
        <f t="shared" si="82"/>
        <v>0</v>
      </c>
      <c r="AK67" s="11">
        <f t="shared" si="87"/>
        <v>0.25</v>
      </c>
      <c r="AL67" s="12">
        <f t="shared" si="83"/>
        <v>3025000</v>
      </c>
      <c r="AM67" s="12">
        <f t="shared" si="84"/>
        <v>0</v>
      </c>
    </row>
    <row r="68" spans="5:39" x14ac:dyDescent="0.3">
      <c r="E68" s="7">
        <v>490.3</v>
      </c>
      <c r="F68" s="5"/>
      <c r="G68" s="4" t="s">
        <v>55</v>
      </c>
      <c r="H68" s="45"/>
      <c r="I68" s="12">
        <f t="shared" si="2"/>
        <v>0</v>
      </c>
      <c r="K68" s="25">
        <v>0.107407356064866</v>
      </c>
      <c r="L68" s="12">
        <f t="shared" si="75"/>
        <v>0</v>
      </c>
      <c r="M68" s="27"/>
      <c r="N68" s="27">
        <f t="shared" si="4"/>
        <v>0</v>
      </c>
      <c r="P68" s="11">
        <v>0.107407356064866</v>
      </c>
      <c r="Q68" s="12">
        <f t="shared" si="76"/>
        <v>0</v>
      </c>
      <c r="R68" s="27"/>
      <c r="S68" s="27">
        <f t="shared" si="6"/>
        <v>0</v>
      </c>
      <c r="V68" s="11">
        <f t="shared" si="85"/>
        <v>0.107407356064866</v>
      </c>
      <c r="W68" s="12">
        <f t="shared" si="8"/>
        <v>0</v>
      </c>
      <c r="X68" s="12">
        <f t="shared" si="77"/>
        <v>0</v>
      </c>
      <c r="AA68" s="11">
        <f t="shared" si="78"/>
        <v>0.107407356064866</v>
      </c>
      <c r="AB68" s="12">
        <f t="shared" si="79"/>
        <v>0</v>
      </c>
      <c r="AC68" s="12">
        <f t="shared" si="80"/>
        <v>0</v>
      </c>
      <c r="AF68" s="11">
        <f t="shared" si="86"/>
        <v>0.107407356064866</v>
      </c>
      <c r="AG68" s="12">
        <f t="shared" si="81"/>
        <v>0</v>
      </c>
      <c r="AH68" s="12">
        <f t="shared" si="82"/>
        <v>0</v>
      </c>
      <c r="AK68" s="11">
        <f t="shared" si="87"/>
        <v>0.107407356064866</v>
      </c>
      <c r="AL68" s="12">
        <f t="shared" si="83"/>
        <v>0</v>
      </c>
      <c r="AM68" s="12">
        <f t="shared" si="84"/>
        <v>0</v>
      </c>
    </row>
    <row r="69" spans="5:39" x14ac:dyDescent="0.3">
      <c r="E69" s="7">
        <v>491.01</v>
      </c>
      <c r="F69" s="5"/>
      <c r="G69" s="4" t="s">
        <v>56</v>
      </c>
      <c r="H69" s="45">
        <f>84.2+66.7</f>
        <v>150.9</v>
      </c>
      <c r="I69" s="12">
        <f t="shared" si="2"/>
        <v>150900000</v>
      </c>
      <c r="K69" s="25">
        <v>8.7675357303682894E-2</v>
      </c>
      <c r="L69" s="12">
        <f t="shared" si="75"/>
        <v>13230211.417125748</v>
      </c>
      <c r="M69" s="27">
        <v>15.5</v>
      </c>
      <c r="N69" s="27">
        <f t="shared" si="4"/>
        <v>-2.3000000000000007</v>
      </c>
      <c r="P69" s="11">
        <v>8.9099999999999999E-2</v>
      </c>
      <c r="Q69" s="12">
        <f t="shared" si="76"/>
        <v>13445190</v>
      </c>
      <c r="R69" s="27">
        <v>15.8</v>
      </c>
      <c r="S69" s="27">
        <f t="shared" si="6"/>
        <v>-2.4000000000000004</v>
      </c>
      <c r="V69" s="11">
        <f t="shared" si="85"/>
        <v>8.9099999999999999E-2</v>
      </c>
      <c r="W69" s="12">
        <f t="shared" si="8"/>
        <v>13445190</v>
      </c>
      <c r="X69" s="12">
        <f t="shared" si="77"/>
        <v>0</v>
      </c>
      <c r="AA69" s="11">
        <f t="shared" si="78"/>
        <v>8.9099999999999999E-2</v>
      </c>
      <c r="AB69" s="12">
        <f t="shared" si="79"/>
        <v>13445190</v>
      </c>
      <c r="AC69" s="12">
        <f t="shared" si="80"/>
        <v>0</v>
      </c>
      <c r="AF69" s="11">
        <f t="shared" si="86"/>
        <v>8.9099999999999999E-2</v>
      </c>
      <c r="AG69" s="12">
        <f t="shared" si="81"/>
        <v>13445190</v>
      </c>
      <c r="AH69" s="12">
        <f t="shared" si="82"/>
        <v>0</v>
      </c>
      <c r="AK69" s="11">
        <f t="shared" si="87"/>
        <v>8.9099999999999999E-2</v>
      </c>
      <c r="AL69" s="12">
        <f t="shared" si="83"/>
        <v>13445190</v>
      </c>
      <c r="AM69" s="12">
        <f t="shared" si="84"/>
        <v>0</v>
      </c>
    </row>
    <row r="70" spans="5:39" x14ac:dyDescent="0.3">
      <c r="E70" s="7"/>
      <c r="F70" s="5"/>
      <c r="G70" s="4" t="s">
        <v>57</v>
      </c>
      <c r="H70" s="45">
        <v>14.3</v>
      </c>
      <c r="I70" s="12">
        <f t="shared" si="2"/>
        <v>14300000</v>
      </c>
      <c r="K70" s="25">
        <v>0.25</v>
      </c>
      <c r="L70" s="12">
        <f t="shared" si="75"/>
        <v>3575000</v>
      </c>
      <c r="M70" s="27">
        <v>2.5</v>
      </c>
      <c r="N70" s="27">
        <f t="shared" si="4"/>
        <v>1.1000000000000001</v>
      </c>
      <c r="P70" s="11">
        <v>0.25</v>
      </c>
      <c r="Q70" s="12">
        <f t="shared" si="76"/>
        <v>3575000</v>
      </c>
      <c r="R70" s="27">
        <v>2.5</v>
      </c>
      <c r="S70" s="27">
        <f t="shared" si="6"/>
        <v>1.1000000000000001</v>
      </c>
      <c r="V70" s="11">
        <f t="shared" si="85"/>
        <v>0.25</v>
      </c>
      <c r="W70" s="12">
        <f t="shared" si="8"/>
        <v>3575000</v>
      </c>
      <c r="X70" s="12">
        <f t="shared" si="77"/>
        <v>0</v>
      </c>
      <c r="AA70" s="11">
        <f t="shared" si="78"/>
        <v>0.25</v>
      </c>
      <c r="AB70" s="12">
        <f t="shared" si="79"/>
        <v>3575000</v>
      </c>
      <c r="AC70" s="12">
        <f t="shared" si="80"/>
        <v>0</v>
      </c>
      <c r="AF70" s="11">
        <f t="shared" si="86"/>
        <v>0.25</v>
      </c>
      <c r="AG70" s="12">
        <f t="shared" si="81"/>
        <v>3575000</v>
      </c>
      <c r="AH70" s="12">
        <f t="shared" si="82"/>
        <v>0</v>
      </c>
      <c r="AK70" s="11">
        <f t="shared" si="87"/>
        <v>0.25</v>
      </c>
      <c r="AL70" s="12">
        <f t="shared" si="83"/>
        <v>3575000</v>
      </c>
      <c r="AM70" s="12">
        <f t="shared" si="84"/>
        <v>0</v>
      </c>
    </row>
    <row r="71" spans="5:39" x14ac:dyDescent="0.3">
      <c r="E71" s="7">
        <v>491.02</v>
      </c>
      <c r="F71" s="5"/>
      <c r="G71" s="4" t="s">
        <v>58</v>
      </c>
      <c r="H71" s="45">
        <f>60.2</f>
        <v>60.2</v>
      </c>
      <c r="I71" s="12">
        <f t="shared" si="2"/>
        <v>60200000</v>
      </c>
      <c r="K71" s="25">
        <v>0.100382765802934</v>
      </c>
      <c r="L71" s="12">
        <f t="shared" si="75"/>
        <v>6043042.5013366267</v>
      </c>
      <c r="M71" s="27">
        <v>6.5</v>
      </c>
      <c r="N71" s="27">
        <f t="shared" si="4"/>
        <v>-0.5</v>
      </c>
      <c r="P71" s="11">
        <v>0.10290000000000001</v>
      </c>
      <c r="Q71" s="12">
        <f t="shared" si="76"/>
        <v>6194580</v>
      </c>
      <c r="R71" s="27">
        <v>6.7</v>
      </c>
      <c r="S71" s="27">
        <f t="shared" si="6"/>
        <v>-0.5</v>
      </c>
      <c r="V71" s="11">
        <f t="shared" si="85"/>
        <v>0.10290000000000001</v>
      </c>
      <c r="W71" s="12">
        <f t="shared" si="8"/>
        <v>6194580</v>
      </c>
      <c r="X71" s="12">
        <f t="shared" si="77"/>
        <v>0</v>
      </c>
      <c r="AA71" s="11">
        <f t="shared" si="78"/>
        <v>0.10290000000000001</v>
      </c>
      <c r="AB71" s="12">
        <f t="shared" si="79"/>
        <v>6194580</v>
      </c>
      <c r="AC71" s="12">
        <f t="shared" si="80"/>
        <v>0</v>
      </c>
      <c r="AF71" s="11">
        <f t="shared" si="86"/>
        <v>0.10290000000000001</v>
      </c>
      <c r="AG71" s="12">
        <f t="shared" si="81"/>
        <v>6194580</v>
      </c>
      <c r="AH71" s="12">
        <f t="shared" si="82"/>
        <v>0</v>
      </c>
      <c r="AK71" s="11">
        <f t="shared" si="87"/>
        <v>0.10290000000000001</v>
      </c>
      <c r="AL71" s="12">
        <f t="shared" si="83"/>
        <v>6194580</v>
      </c>
      <c r="AM71" s="12">
        <f t="shared" si="84"/>
        <v>0</v>
      </c>
    </row>
    <row r="72" spans="5:39" x14ac:dyDescent="0.3">
      <c r="E72" s="7"/>
      <c r="F72" s="5"/>
      <c r="G72" s="4" t="s">
        <v>59</v>
      </c>
      <c r="H72" s="45">
        <v>14.4</v>
      </c>
      <c r="I72" s="12">
        <f t="shared" ref="I72:I75" si="88">H72*1000000</f>
        <v>14400000</v>
      </c>
      <c r="K72" s="25">
        <v>0.25</v>
      </c>
      <c r="L72" s="12">
        <f t="shared" si="75"/>
        <v>3600000</v>
      </c>
      <c r="M72" s="27">
        <v>2.7</v>
      </c>
      <c r="N72" s="27">
        <f t="shared" ref="N72:N75" si="89">ROUND(L72/1000000,1)-M72</f>
        <v>0.89999999999999991</v>
      </c>
      <c r="P72" s="11">
        <v>0.25</v>
      </c>
      <c r="Q72" s="12">
        <f t="shared" si="76"/>
        <v>3600000</v>
      </c>
      <c r="R72" s="27">
        <v>2.7</v>
      </c>
      <c r="S72" s="27">
        <f t="shared" ref="S72:S75" si="90">ROUND(Q72/1000000,1)-R72</f>
        <v>0.89999999999999991</v>
      </c>
      <c r="V72" s="11">
        <f t="shared" si="85"/>
        <v>0.25</v>
      </c>
      <c r="W72" s="12">
        <f t="shared" ref="W72:W75" si="91">I72*V72</f>
        <v>3600000</v>
      </c>
      <c r="X72" s="12">
        <f t="shared" si="77"/>
        <v>0</v>
      </c>
      <c r="AA72" s="11">
        <f t="shared" si="78"/>
        <v>0.25</v>
      </c>
      <c r="AB72" s="12">
        <f t="shared" si="79"/>
        <v>3600000</v>
      </c>
      <c r="AC72" s="12">
        <f t="shared" si="80"/>
        <v>0</v>
      </c>
      <c r="AF72" s="11">
        <f t="shared" si="86"/>
        <v>0.25</v>
      </c>
      <c r="AG72" s="12">
        <f t="shared" si="81"/>
        <v>3600000</v>
      </c>
      <c r="AH72" s="12">
        <f t="shared" si="82"/>
        <v>0</v>
      </c>
      <c r="AK72" s="11">
        <f t="shared" si="87"/>
        <v>0.25</v>
      </c>
      <c r="AL72" s="12">
        <f t="shared" si="83"/>
        <v>3600000</v>
      </c>
      <c r="AM72" s="12">
        <f t="shared" si="84"/>
        <v>0</v>
      </c>
    </row>
    <row r="73" spans="5:39" x14ac:dyDescent="0.3">
      <c r="E73" s="7">
        <v>491.03</v>
      </c>
      <c r="F73" s="5"/>
      <c r="G73" s="4" t="s">
        <v>60</v>
      </c>
      <c r="H73" s="45">
        <f>12.2+98.9</f>
        <v>111.10000000000001</v>
      </c>
      <c r="I73" s="12">
        <f t="shared" si="88"/>
        <v>111100000.00000001</v>
      </c>
      <c r="K73" s="25">
        <v>8.2369369917961899E-2</v>
      </c>
      <c r="L73" s="12">
        <f t="shared" si="75"/>
        <v>9151236.9978855681</v>
      </c>
      <c r="M73" s="27">
        <v>9.1</v>
      </c>
      <c r="N73" s="27">
        <f t="shared" si="89"/>
        <v>9.9999999999999645E-2</v>
      </c>
      <c r="P73" s="11">
        <v>8.3900000000000002E-2</v>
      </c>
      <c r="Q73" s="12">
        <f t="shared" si="76"/>
        <v>9321290.0000000019</v>
      </c>
      <c r="R73" s="27">
        <v>9.3000000000000007</v>
      </c>
      <c r="S73" s="27">
        <f t="shared" si="90"/>
        <v>0</v>
      </c>
      <c r="V73" s="11">
        <f t="shared" si="85"/>
        <v>8.3900000000000002E-2</v>
      </c>
      <c r="W73" s="12">
        <f t="shared" si="91"/>
        <v>9321290.0000000019</v>
      </c>
      <c r="X73" s="12">
        <f t="shared" si="77"/>
        <v>0</v>
      </c>
      <c r="AA73" s="11">
        <f t="shared" si="78"/>
        <v>8.3900000000000002E-2</v>
      </c>
      <c r="AB73" s="12">
        <f t="shared" si="79"/>
        <v>9321290.0000000019</v>
      </c>
      <c r="AC73" s="12">
        <f t="shared" si="80"/>
        <v>0</v>
      </c>
      <c r="AF73" s="11">
        <f t="shared" si="86"/>
        <v>8.3900000000000002E-2</v>
      </c>
      <c r="AG73" s="12">
        <f t="shared" si="81"/>
        <v>9321290.0000000019</v>
      </c>
      <c r="AH73" s="12">
        <f t="shared" si="82"/>
        <v>0</v>
      </c>
      <c r="AK73" s="11">
        <f t="shared" si="87"/>
        <v>8.3900000000000002E-2</v>
      </c>
      <c r="AL73" s="12">
        <f t="shared" si="83"/>
        <v>9321290.0000000019</v>
      </c>
      <c r="AM73" s="12">
        <f t="shared" si="84"/>
        <v>0</v>
      </c>
    </row>
    <row r="74" spans="5:39" x14ac:dyDescent="0.3">
      <c r="E74" s="7"/>
      <c r="F74" s="5" t="s">
        <v>61</v>
      </c>
      <c r="G74" s="4" t="s">
        <v>62</v>
      </c>
      <c r="H74" s="45"/>
      <c r="I74" s="12">
        <f t="shared" si="88"/>
        <v>0</v>
      </c>
      <c r="K74" s="25">
        <v>0.1</v>
      </c>
      <c r="L74" s="12">
        <f t="shared" si="75"/>
        <v>0</v>
      </c>
      <c r="M74" s="27">
        <v>0</v>
      </c>
      <c r="N74" s="27">
        <f t="shared" si="89"/>
        <v>0</v>
      </c>
      <c r="P74" s="11">
        <v>0.1</v>
      </c>
      <c r="Q74" s="12">
        <f t="shared" si="76"/>
        <v>0</v>
      </c>
      <c r="R74" s="27"/>
      <c r="S74" s="27">
        <f t="shared" si="90"/>
        <v>0</v>
      </c>
      <c r="V74" s="11">
        <f t="shared" si="85"/>
        <v>0.1</v>
      </c>
      <c r="W74" s="12">
        <f t="shared" si="91"/>
        <v>0</v>
      </c>
      <c r="X74" s="12">
        <f t="shared" si="77"/>
        <v>0</v>
      </c>
      <c r="AA74" s="11">
        <f t="shared" si="78"/>
        <v>0.1</v>
      </c>
      <c r="AB74" s="12">
        <f t="shared" si="79"/>
        <v>0</v>
      </c>
      <c r="AC74" s="12">
        <f t="shared" si="80"/>
        <v>0</v>
      </c>
      <c r="AF74" s="11">
        <f t="shared" si="86"/>
        <v>0.1</v>
      </c>
      <c r="AG74" s="12">
        <f t="shared" si="81"/>
        <v>0</v>
      </c>
      <c r="AH74" s="12">
        <f t="shared" si="82"/>
        <v>0</v>
      </c>
      <c r="AK74" s="11">
        <f t="shared" si="87"/>
        <v>0.1</v>
      </c>
      <c r="AL74" s="12">
        <f t="shared" si="83"/>
        <v>0</v>
      </c>
      <c r="AM74" s="12">
        <f t="shared" si="84"/>
        <v>0</v>
      </c>
    </row>
    <row r="75" spans="5:39" x14ac:dyDescent="0.3">
      <c r="E75" s="7">
        <v>491.04</v>
      </c>
      <c r="F75" s="5"/>
      <c r="G75" s="4" t="s">
        <v>63</v>
      </c>
      <c r="H75" s="45">
        <v>89.9</v>
      </c>
      <c r="I75" s="12">
        <f t="shared" si="88"/>
        <v>89900000</v>
      </c>
      <c r="K75" s="25">
        <v>0.107407408477546</v>
      </c>
      <c r="L75" s="12">
        <f t="shared" si="75"/>
        <v>9655926.0221313853</v>
      </c>
      <c r="M75" s="27">
        <v>9.6999999999999993</v>
      </c>
      <c r="N75" s="27">
        <f t="shared" si="89"/>
        <v>0</v>
      </c>
      <c r="P75" s="11">
        <v>0.107407408477546</v>
      </c>
      <c r="Q75" s="12">
        <f t="shared" si="76"/>
        <v>9655926.0221313853</v>
      </c>
      <c r="R75" s="27">
        <v>9.6999999999999993</v>
      </c>
      <c r="S75" s="27">
        <f t="shared" si="90"/>
        <v>0</v>
      </c>
      <c r="V75" s="11">
        <f t="shared" si="85"/>
        <v>0.107407408477546</v>
      </c>
      <c r="W75" s="12">
        <f t="shared" si="91"/>
        <v>9655926.0221313853</v>
      </c>
      <c r="X75" s="12">
        <f t="shared" si="77"/>
        <v>0</v>
      </c>
      <c r="AA75" s="11">
        <f t="shared" si="78"/>
        <v>0.107407408477546</v>
      </c>
      <c r="AB75" s="12">
        <f t="shared" si="79"/>
        <v>9655926.0221313853</v>
      </c>
      <c r="AC75" s="12">
        <f t="shared" si="80"/>
        <v>0</v>
      </c>
      <c r="AF75" s="11">
        <f t="shared" si="86"/>
        <v>0.107407408477546</v>
      </c>
      <c r="AG75" s="12">
        <f t="shared" si="81"/>
        <v>9655926.0221313853</v>
      </c>
      <c r="AH75" s="12">
        <f t="shared" si="82"/>
        <v>0</v>
      </c>
      <c r="AK75" s="11">
        <f t="shared" si="87"/>
        <v>0.107407408477546</v>
      </c>
      <c r="AL75" s="12">
        <f t="shared" si="83"/>
        <v>9655926.0221313853</v>
      </c>
      <c r="AM75" s="12">
        <f t="shared" si="84"/>
        <v>0</v>
      </c>
    </row>
    <row r="76" spans="5:39" x14ac:dyDescent="0.3">
      <c r="E76" s="6" t="s">
        <v>64</v>
      </c>
      <c r="F76" s="9"/>
      <c r="G76" s="4"/>
      <c r="H76" s="44"/>
      <c r="I76" s="17"/>
      <c r="L76" s="17"/>
      <c r="M76" s="30"/>
      <c r="N76" s="16"/>
      <c r="Q76" s="17"/>
      <c r="R76" s="16"/>
      <c r="S76" s="16"/>
      <c r="W76" s="17"/>
      <c r="X76" s="17"/>
      <c r="AB76" s="17"/>
      <c r="AC76" s="17"/>
      <c r="AG76" s="17"/>
      <c r="AH76" s="17"/>
      <c r="AL76" s="17"/>
      <c r="AM76" s="17"/>
    </row>
    <row r="77" spans="5:39" x14ac:dyDescent="0.3">
      <c r="E77" s="4"/>
      <c r="F77" s="5"/>
      <c r="G77" s="4"/>
      <c r="H77" s="44"/>
      <c r="I77" s="18"/>
      <c r="L77" s="18"/>
      <c r="M77" s="29"/>
      <c r="N77" s="18"/>
      <c r="Q77" s="18"/>
      <c r="R77" s="37"/>
      <c r="S77" s="37"/>
      <c r="W77" s="18"/>
      <c r="X77" s="18"/>
      <c r="AB77" s="18"/>
      <c r="AC77" s="18"/>
      <c r="AG77" s="18"/>
      <c r="AH77" s="18"/>
      <c r="AL77" s="18"/>
      <c r="AM77" s="18"/>
    </row>
    <row r="78" spans="5:39" x14ac:dyDescent="0.3">
      <c r="E78" s="4"/>
      <c r="F78" s="5"/>
      <c r="G78" s="4" t="s">
        <v>106</v>
      </c>
      <c r="H78" s="44">
        <v>1.2</v>
      </c>
      <c r="I78" s="18">
        <v>1200000</v>
      </c>
      <c r="L78" s="18"/>
      <c r="M78" s="29"/>
      <c r="N78" s="18"/>
      <c r="Q78" s="18"/>
      <c r="R78" s="37"/>
      <c r="S78" s="37"/>
      <c r="W78" s="18"/>
      <c r="X78" s="18"/>
      <c r="AB78" s="18"/>
      <c r="AC78" s="18"/>
      <c r="AG78" s="18"/>
      <c r="AH78" s="18"/>
      <c r="AL78" s="18"/>
      <c r="AM78" s="18"/>
    </row>
    <row r="79" spans="5:39" x14ac:dyDescent="0.3">
      <c r="E79" s="4"/>
      <c r="F79" s="5"/>
      <c r="G79" s="4" t="s">
        <v>107</v>
      </c>
      <c r="H79" s="44">
        <v>0.5</v>
      </c>
      <c r="I79" s="18">
        <v>500000</v>
      </c>
      <c r="L79" s="18"/>
      <c r="M79" s="29"/>
      <c r="N79" s="18"/>
      <c r="Q79" s="18"/>
      <c r="R79" s="37"/>
      <c r="S79" s="37"/>
      <c r="W79" s="18"/>
      <c r="X79" s="18"/>
      <c r="AB79" s="18"/>
      <c r="AC79" s="18"/>
      <c r="AG79" s="18"/>
      <c r="AH79" s="18"/>
      <c r="AL79" s="18"/>
      <c r="AM79" s="18"/>
    </row>
    <row r="80" spans="5:39" x14ac:dyDescent="0.3">
      <c r="E80" s="4"/>
      <c r="F80" s="5"/>
      <c r="G80" s="4" t="s">
        <v>103</v>
      </c>
      <c r="H80" s="44">
        <v>31.4</v>
      </c>
      <c r="I80" s="18">
        <v>31400000</v>
      </c>
      <c r="L80" s="18">
        <v>1200000</v>
      </c>
      <c r="M80" s="29">
        <v>1.2</v>
      </c>
      <c r="N80" s="18"/>
      <c r="Q80" s="18">
        <f>L80</f>
        <v>1200000</v>
      </c>
      <c r="R80" s="29">
        <f>M80</f>
        <v>1.2</v>
      </c>
      <c r="S80" s="37"/>
      <c r="W80" s="18">
        <f>L80</f>
        <v>1200000</v>
      </c>
      <c r="X80" s="29"/>
      <c r="AB80" s="18">
        <f>Q80</f>
        <v>1200000</v>
      </c>
      <c r="AC80" s="29"/>
      <c r="AG80" s="18">
        <f>AB80</f>
        <v>1200000</v>
      </c>
      <c r="AH80" s="18"/>
      <c r="AL80" s="18">
        <f>AG80</f>
        <v>1200000</v>
      </c>
      <c r="AM80" s="18"/>
    </row>
    <row r="81" spans="5:39" x14ac:dyDescent="0.3">
      <c r="E81" s="4"/>
      <c r="F81" s="5"/>
      <c r="G81" s="4" t="s">
        <v>104</v>
      </c>
      <c r="H81" s="44">
        <v>37.700000000000003</v>
      </c>
      <c r="I81" s="18">
        <v>37700000</v>
      </c>
      <c r="L81" s="18">
        <v>1500000</v>
      </c>
      <c r="M81" s="29">
        <v>1.5</v>
      </c>
      <c r="N81" s="18"/>
      <c r="Q81" s="18">
        <f>L81</f>
        <v>1500000</v>
      </c>
      <c r="R81" s="29">
        <f>M81</f>
        <v>1.5</v>
      </c>
      <c r="S81" s="37"/>
      <c r="W81" s="18">
        <f>L81</f>
        <v>1500000</v>
      </c>
      <c r="X81" s="29"/>
      <c r="AB81" s="18">
        <f>Q81</f>
        <v>1500000</v>
      </c>
      <c r="AC81" s="29"/>
      <c r="AG81" s="18">
        <f>AB81</f>
        <v>1500000</v>
      </c>
      <c r="AH81" s="18"/>
      <c r="AL81" s="18">
        <f>AG81</f>
        <v>1500000</v>
      </c>
      <c r="AM81" s="18"/>
    </row>
    <row r="82" spans="5:39" x14ac:dyDescent="0.3">
      <c r="E82" s="4"/>
      <c r="F82" s="5"/>
      <c r="G82" s="4" t="s">
        <v>108</v>
      </c>
      <c r="H82" s="44">
        <v>1.7</v>
      </c>
      <c r="I82" s="18"/>
      <c r="L82" s="18"/>
      <c r="M82" s="29"/>
      <c r="N82" s="18"/>
      <c r="Q82" s="18"/>
      <c r="R82" s="29"/>
      <c r="S82" s="37"/>
      <c r="W82" s="18"/>
      <c r="X82" s="29"/>
      <c r="AB82" s="18"/>
      <c r="AC82" s="29"/>
      <c r="AG82" s="18"/>
      <c r="AH82" s="18"/>
      <c r="AL82" s="18"/>
      <c r="AM82" s="18"/>
    </row>
    <row r="83" spans="5:39" x14ac:dyDescent="0.3">
      <c r="E83" s="4"/>
      <c r="F83" s="5"/>
      <c r="G83" s="4"/>
      <c r="H83" s="44"/>
      <c r="I83" s="18"/>
      <c r="L83" s="18"/>
      <c r="M83" s="29"/>
      <c r="N83" s="18"/>
      <c r="Q83" s="18"/>
      <c r="R83" s="37"/>
      <c r="S83" s="37"/>
      <c r="W83" s="18"/>
      <c r="X83" s="18"/>
      <c r="AB83" s="18"/>
      <c r="AC83" s="18"/>
      <c r="AG83" s="18"/>
      <c r="AH83" s="18"/>
      <c r="AL83" s="18"/>
      <c r="AM83" s="18"/>
    </row>
    <row r="84" spans="5:39" ht="15" thickBot="1" x14ac:dyDescent="0.35">
      <c r="E84" s="6" t="s">
        <v>105</v>
      </c>
      <c r="F84" s="5"/>
      <c r="G84" s="5"/>
      <c r="H84" s="44">
        <f>SUM(H7:H82)</f>
        <v>24857.600000000002</v>
      </c>
      <c r="I84" s="19">
        <f>SUM(I7:J82)</f>
        <v>24855900000</v>
      </c>
      <c r="L84" s="19">
        <f>SUM(L7:L81)</f>
        <v>899563886.05437231</v>
      </c>
      <c r="M84" s="33">
        <f>SUM(M7:M81)</f>
        <v>892.9000000000002</v>
      </c>
      <c r="N84" s="40">
        <f t="shared" ref="N84" si="92">SUM(N7:N77)</f>
        <v>6.8000000000000131</v>
      </c>
      <c r="Q84" s="19">
        <f>SUM(Q7:Q81)</f>
        <v>815266034.14539897</v>
      </c>
      <c r="R84" s="33">
        <f>SUM(R7:R81)</f>
        <v>810.99999999999977</v>
      </c>
      <c r="S84" s="40">
        <f t="shared" ref="S84" si="93">SUM(S7:S77)</f>
        <v>4.2000000000000073</v>
      </c>
      <c r="W84" s="19">
        <f>SUM(W7:W81)</f>
        <v>745567369.31388152</v>
      </c>
      <c r="X84" s="19">
        <f>W84-Q84</f>
        <v>-69698664.831517458</v>
      </c>
      <c r="AB84" s="19">
        <f>SUM(AB7:AB81)</f>
        <v>710637977.52272069</v>
      </c>
      <c r="AC84" s="19">
        <f>AB84-W84</f>
        <v>-34929391.791160822</v>
      </c>
      <c r="AG84" s="19">
        <f>SUM(AG7:AG81)</f>
        <v>710637977.52272069</v>
      </c>
      <c r="AH84" s="19">
        <f>AG84-Q84</f>
        <v>-104628056.62267828</v>
      </c>
      <c r="AL84" s="19">
        <f>SUM(AL7:AL81)</f>
        <v>756843542.13356221</v>
      </c>
      <c r="AM84" s="19">
        <f>AL84-Q84</f>
        <v>-58422492.011836767</v>
      </c>
    </row>
    <row r="85" spans="5:39" ht="15" thickTop="1" x14ac:dyDescent="0.3">
      <c r="H85" s="44"/>
      <c r="I85" s="14"/>
    </row>
    <row r="86" spans="5:39" x14ac:dyDescent="0.3">
      <c r="G86" s="39" t="s">
        <v>102</v>
      </c>
      <c r="H86" s="44">
        <v>24857.3</v>
      </c>
      <c r="L86">
        <v>892400000</v>
      </c>
      <c r="M86">
        <v>892.4</v>
      </c>
      <c r="Q86">
        <v>810700000</v>
      </c>
      <c r="R86">
        <v>810.7</v>
      </c>
    </row>
    <row r="87" spans="5:39" x14ac:dyDescent="0.3">
      <c r="G87" s="39" t="s">
        <v>101</v>
      </c>
      <c r="H87" s="44">
        <f>H84-H86</f>
        <v>0.30000000000291038</v>
      </c>
      <c r="L87" s="21">
        <f>L84-L86</f>
        <v>7163886.0543723106</v>
      </c>
      <c r="M87" s="32">
        <f>M84-M86</f>
        <v>0.50000000000022737</v>
      </c>
      <c r="N87" s="21"/>
      <c r="Q87" s="21">
        <f>Q84-Q86</f>
        <v>4566034.1453989744</v>
      </c>
      <c r="R87" s="32">
        <f>R84-R86</f>
        <v>0.29999999999972715</v>
      </c>
      <c r="S87" s="21"/>
    </row>
    <row r="89" spans="5:39" x14ac:dyDescent="0.3">
      <c r="Q89" s="21"/>
      <c r="R89" s="21"/>
      <c r="S89" s="21"/>
    </row>
    <row r="90" spans="5:39" x14ac:dyDescent="0.3">
      <c r="M90" s="34"/>
    </row>
    <row r="91" spans="5:39" x14ac:dyDescent="0.3">
      <c r="M91" s="34"/>
    </row>
    <row r="92" spans="5:39" x14ac:dyDescent="0.3">
      <c r="L92" s="21"/>
      <c r="M92" s="32"/>
      <c r="N92" s="21"/>
      <c r="Q92" s="21"/>
      <c r="R92" s="32"/>
    </row>
    <row r="93" spans="5:39" x14ac:dyDescent="0.3">
      <c r="L93" s="21"/>
      <c r="M93" s="32"/>
      <c r="Q93" s="21"/>
      <c r="R93" s="32"/>
    </row>
  </sheetData>
  <mergeCells count="6">
    <mergeCell ref="AK2:AL2"/>
    <mergeCell ref="K2:L2"/>
    <mergeCell ref="P2:Q2"/>
    <mergeCell ref="V2:W2"/>
    <mergeCell ref="AA2:AB2"/>
    <mergeCell ref="AF2:AG2"/>
  </mergeCells>
  <conditionalFormatting sqref="E5:G84">
    <cfRule type="expression" dxfId="30" priority="42">
      <formula>MOD(ROW(),2)=0</formula>
    </cfRule>
  </conditionalFormatting>
  <conditionalFormatting sqref="I7:I85">
    <cfRule type="expression" dxfId="29" priority="36">
      <formula>MOD(ROW(),2)=0</formula>
    </cfRule>
  </conditionalFormatting>
  <conditionalFormatting sqref="K7:K10">
    <cfRule type="expression" dxfId="28" priority="41">
      <formula>MOD(ROW(),2)=0</formula>
    </cfRule>
  </conditionalFormatting>
  <conditionalFormatting sqref="K13:K19">
    <cfRule type="expression" dxfId="27" priority="40">
      <formula>MOD(ROW(),2)=0</formula>
    </cfRule>
  </conditionalFormatting>
  <conditionalFormatting sqref="K23:K29">
    <cfRule type="expression" dxfId="26" priority="39">
      <formula>MOD(ROW(),2)=0</formula>
    </cfRule>
  </conditionalFormatting>
  <conditionalFormatting sqref="K33:K49">
    <cfRule type="expression" dxfId="25" priority="38">
      <formula>MOD(ROW(),2)=0</formula>
    </cfRule>
  </conditionalFormatting>
  <conditionalFormatting sqref="K53:K75">
    <cfRule type="expression" dxfId="24" priority="37">
      <formula>MOD(ROW(),2)=0</formula>
    </cfRule>
  </conditionalFormatting>
  <conditionalFormatting sqref="L7:N84 Q7:S84">
    <cfRule type="expression" dxfId="23" priority="35">
      <formula>MOD(ROW(),2)=0</formula>
    </cfRule>
  </conditionalFormatting>
  <conditionalFormatting sqref="P7:P10">
    <cfRule type="expression" dxfId="22" priority="33">
      <formula>MOD(ROW(),2)=0</formula>
    </cfRule>
  </conditionalFormatting>
  <conditionalFormatting sqref="P13:P19">
    <cfRule type="expression" dxfId="21" priority="32">
      <formula>MOD(ROW(),2)=0</formula>
    </cfRule>
  </conditionalFormatting>
  <conditionalFormatting sqref="P23:P29">
    <cfRule type="expression" dxfId="20" priority="31">
      <formula>MOD(ROW(),2)=0</formula>
    </cfRule>
  </conditionalFormatting>
  <conditionalFormatting sqref="P33:P49">
    <cfRule type="expression" dxfId="19" priority="30">
      <formula>MOD(ROW(),2)=0</formula>
    </cfRule>
  </conditionalFormatting>
  <conditionalFormatting sqref="P53:P75">
    <cfRule type="expression" dxfId="18" priority="29">
      <formula>MOD(ROW(),2)=0</formula>
    </cfRule>
  </conditionalFormatting>
  <conditionalFormatting sqref="V7:V19">
    <cfRule type="expression" dxfId="17" priority="28">
      <formula>MOD(ROW(),2)=0</formula>
    </cfRule>
  </conditionalFormatting>
  <conditionalFormatting sqref="V23:V29">
    <cfRule type="expression" dxfId="16" priority="27">
      <formula>MOD(ROW(),2)=0</formula>
    </cfRule>
  </conditionalFormatting>
  <conditionalFormatting sqref="V33:V49">
    <cfRule type="expression" dxfId="15" priority="26">
      <formula>MOD(ROW(),2)=0</formula>
    </cfRule>
  </conditionalFormatting>
  <conditionalFormatting sqref="V53:V75">
    <cfRule type="expression" dxfId="14" priority="25">
      <formula>MOD(ROW(),2)=0</formula>
    </cfRule>
  </conditionalFormatting>
  <conditionalFormatting sqref="W7:X84 AB7:AC84 AG7:AH84">
    <cfRule type="expression" dxfId="13" priority="34">
      <formula>MOD(ROW(),2)=0</formula>
    </cfRule>
  </conditionalFormatting>
  <conditionalFormatting sqref="AA7:AA10">
    <cfRule type="expression" dxfId="12" priority="24">
      <formula>MOD(ROW(),2)=0</formula>
    </cfRule>
  </conditionalFormatting>
  <conditionalFormatting sqref="AA13:AA19 AA23:AA29 AA33:AA49 AA53:AA75">
    <cfRule type="expression" dxfId="11" priority="16">
      <formula>MOD(ROW(),2)=0</formula>
    </cfRule>
  </conditionalFormatting>
  <conditionalFormatting sqref="AF7:AF10">
    <cfRule type="expression" dxfId="10" priority="8">
      <formula>MOD(ROW(),2)=0</formula>
    </cfRule>
  </conditionalFormatting>
  <conditionalFormatting sqref="AF13:AF19">
    <cfRule type="expression" dxfId="9" priority="6">
      <formula>MOD(ROW(),2)=0</formula>
    </cfRule>
  </conditionalFormatting>
  <conditionalFormatting sqref="AF23:AF29">
    <cfRule type="expression" dxfId="8" priority="5">
      <formula>MOD(ROW(),2)=0</formula>
    </cfRule>
  </conditionalFormatting>
  <conditionalFormatting sqref="AF33:AF49">
    <cfRule type="expression" dxfId="7" priority="1">
      <formula>MOD(ROW(),2)=0</formula>
    </cfRule>
  </conditionalFormatting>
  <conditionalFormatting sqref="AF53:AF75">
    <cfRule type="expression" dxfId="6" priority="23">
      <formula>MOD(ROW(),2)=0</formula>
    </cfRule>
  </conditionalFormatting>
  <conditionalFormatting sqref="AK7:AK10">
    <cfRule type="expression" dxfId="5" priority="21">
      <formula>MOD(ROW(),2)=0</formula>
    </cfRule>
  </conditionalFormatting>
  <conditionalFormatting sqref="AK13:AK19">
    <cfRule type="expression" dxfId="4" priority="20">
      <formula>MOD(ROW(),2)=0</formula>
    </cfRule>
  </conditionalFormatting>
  <conditionalFormatting sqref="AK23:AK29">
    <cfRule type="expression" dxfId="3" priority="19">
      <formula>MOD(ROW(),2)=0</formula>
    </cfRule>
  </conditionalFormatting>
  <conditionalFormatting sqref="AK33:AK49">
    <cfRule type="expression" dxfId="2" priority="18">
      <formula>MOD(ROW(),2)=0</formula>
    </cfRule>
  </conditionalFormatting>
  <conditionalFormatting sqref="AK53:AK75">
    <cfRule type="expression" dxfId="1" priority="17">
      <formula>MOD(ROW(),2)=0</formula>
    </cfRule>
  </conditionalFormatting>
  <conditionalFormatting sqref="AL7:AM84">
    <cfRule type="expression" dxfId="0" priority="22">
      <formula>MOD(ROW(),2)=0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Recommended Life Estimates</vt:lpstr>
      <vt:lpstr>Longer Life Alternative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Hayitbay Mahmudov</dc:creator>
  <cp:lastModifiedBy>Khalil Viraney</cp:lastModifiedBy>
  <dcterms:created xsi:type="dcterms:W3CDTF">2023-08-11T01:19:34Z</dcterms:created>
  <dcterms:modified xsi:type="dcterms:W3CDTF">2023-08-18T20:10:22Z</dcterms:modified>
</cp:coreProperties>
</file>