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Month End\2023\LRAMVA\2024 IRM\Files for Filing\"/>
    </mc:Choice>
  </mc:AlternateContent>
  <xr:revisionPtr revIDLastSave="0" documentId="13_ncr:1_{62D86A59-C712-499B-920F-A4CF16635D36}" xr6:coauthVersionLast="47" xr6:coauthVersionMax="47" xr10:uidLastSave="{00000000-0000-0000-0000-000000000000}"/>
  <bookViews>
    <workbookView xWindow="-110" yWindow="-110" windowWidth="19420" windowHeight="10420" xr2:uid="{EDF51593-C5DC-46CC-8910-31AB8D20D8A9}"/>
  </bookViews>
  <sheets>
    <sheet name="Guelph 2022 Actual" sheetId="1" r:id="rId1"/>
    <sheet name="Retrofit 2022" sheetId="2" r:id="rId2"/>
  </sheets>
  <externalReferences>
    <externalReference r:id="rId3"/>
    <externalReference r:id="rId4"/>
  </externalReferences>
  <definedNames>
    <definedName name="derate">#REF!</definedName>
    <definedName name="DerateQ4">#REF!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MEWarning" hidden="1">0</definedName>
    <definedName name="Table_5_a.__2015_Lost_Revenues_Work_Form">'[1]Enersource RZ'!#REF!</definedName>
    <definedName name="Table_5_b.__2016_Lost_Revenues_Work_Form">'[1]Enersource RZ'!#REF!</definedName>
    <definedName name="Table_5_c.__2017_Lost_Revenues_Work_Form">'[1]Enersource RZ'!#REF!</definedName>
    <definedName name="Table_5_e.__2019_Lost_Revenues_Work_Form">'[1]Enersource RZ'!#REF!</definedName>
    <definedName name="Table_5_f.__2020_Lost_Revenues_Work_Form">'[1]Enersource RZ'!#REF!</definedName>
    <definedName name="Targets">'[2]LDC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BF5" i="1"/>
  <c r="AR23" i="1"/>
  <c r="AG23" i="1"/>
  <c r="V23" i="1"/>
  <c r="K23" i="1"/>
  <c r="BF22" i="1"/>
  <c r="BA22" i="1"/>
  <c r="AP22" i="1"/>
  <c r="AE22" i="1"/>
  <c r="T22" i="1"/>
  <c r="I22" i="1"/>
  <c r="H22" i="1"/>
  <c r="F22" i="1"/>
  <c r="E22" i="1"/>
  <c r="G22" i="1" s="1"/>
  <c r="C22" i="1"/>
  <c r="D22" i="1" s="1"/>
  <c r="B22" i="1"/>
  <c r="BF21" i="1"/>
  <c r="BA21" i="1"/>
  <c r="AP21" i="1"/>
  <c r="AE21" i="1"/>
  <c r="T21" i="1"/>
  <c r="F21" i="1"/>
  <c r="E21" i="1"/>
  <c r="C21" i="1"/>
  <c r="B21" i="1"/>
  <c r="D21" i="1" s="1"/>
  <c r="BG20" i="1"/>
  <c r="BF20" i="1"/>
  <c r="BA20" i="1"/>
  <c r="AP20" i="1"/>
  <c r="AE20" i="1"/>
  <c r="T20" i="1"/>
  <c r="S20" i="1"/>
  <c r="J20" i="1"/>
  <c r="Z20" i="1" s="1"/>
  <c r="I20" i="1"/>
  <c r="H20" i="1"/>
  <c r="F20" i="1"/>
  <c r="G20" i="1" s="1"/>
  <c r="E20" i="1"/>
  <c r="C20" i="1"/>
  <c r="B20" i="1"/>
  <c r="D20" i="1" s="1"/>
  <c r="BG19" i="1"/>
  <c r="BF19" i="1"/>
  <c r="BA19" i="1"/>
  <c r="AP19" i="1"/>
  <c r="AE19" i="1"/>
  <c r="T19" i="1"/>
  <c r="G19" i="1"/>
  <c r="F19" i="1"/>
  <c r="E19" i="1"/>
  <c r="C19" i="1"/>
  <c r="D19" i="1" s="1"/>
  <c r="B19" i="1"/>
  <c r="BF18" i="1"/>
  <c r="BA18" i="1"/>
  <c r="AP18" i="1"/>
  <c r="AI18" i="1"/>
  <c r="AE18" i="1"/>
  <c r="T18" i="1"/>
  <c r="M18" i="1"/>
  <c r="F18" i="1"/>
  <c r="E18" i="1"/>
  <c r="G18" i="1" s="1"/>
  <c r="D18" i="1"/>
  <c r="C18" i="1"/>
  <c r="B18" i="1"/>
  <c r="BG17" i="1"/>
  <c r="BF17" i="1"/>
  <c r="BA17" i="1"/>
  <c r="AP17" i="1"/>
  <c r="AE17" i="1"/>
  <c r="T17" i="1"/>
  <c r="I17" i="1"/>
  <c r="H17" i="1"/>
  <c r="J17" i="1" s="1"/>
  <c r="F17" i="1"/>
  <c r="E17" i="1"/>
  <c r="G17" i="1" s="1"/>
  <c r="D17" i="1"/>
  <c r="C17" i="1"/>
  <c r="B17" i="1"/>
  <c r="BG16" i="1"/>
  <c r="BF16" i="1"/>
  <c r="BA16" i="1"/>
  <c r="AP16" i="1"/>
  <c r="BH16" i="1" s="1"/>
  <c r="AK16" i="1"/>
  <c r="AE16" i="1"/>
  <c r="AD16" i="1"/>
  <c r="T16" i="1"/>
  <c r="F16" i="1"/>
  <c r="E16" i="1"/>
  <c r="G16" i="1" s="1"/>
  <c r="C16" i="1"/>
  <c r="B16" i="1"/>
  <c r="D16" i="1" s="1"/>
  <c r="BF15" i="1"/>
  <c r="BA15" i="1"/>
  <c r="AZ15" i="1"/>
  <c r="AX15" i="1"/>
  <c r="AV15" i="1"/>
  <c r="AT15" i="1"/>
  <c r="AP15" i="1"/>
  <c r="AO15" i="1"/>
  <c r="AQ15" i="1" s="1"/>
  <c r="AM15" i="1"/>
  <c r="AK15" i="1"/>
  <c r="AI15" i="1"/>
  <c r="AE15" i="1"/>
  <c r="AE23" i="1" s="1"/>
  <c r="AD15" i="1"/>
  <c r="AB15" i="1"/>
  <c r="AF15" i="1" s="1"/>
  <c r="Z15" i="1"/>
  <c r="X15" i="1"/>
  <c r="T15" i="1"/>
  <c r="S15" i="1"/>
  <c r="U15" i="1" s="1"/>
  <c r="Q15" i="1"/>
  <c r="O15" i="1"/>
  <c r="M15" i="1"/>
  <c r="AR12" i="1"/>
  <c r="AG12" i="1"/>
  <c r="V12" i="1"/>
  <c r="K12" i="1"/>
  <c r="BF11" i="1"/>
  <c r="BA11" i="1"/>
  <c r="BG11" i="1" s="1"/>
  <c r="AP11" i="1"/>
  <c r="AE11" i="1"/>
  <c r="T11" i="1"/>
  <c r="I11" i="1"/>
  <c r="H11" i="1"/>
  <c r="J11" i="1" s="1"/>
  <c r="F11" i="1"/>
  <c r="E11" i="1"/>
  <c r="D11" i="1"/>
  <c r="C11" i="1"/>
  <c r="B11" i="1"/>
  <c r="BF10" i="1"/>
  <c r="BA10" i="1"/>
  <c r="BG10" i="1" s="1"/>
  <c r="AT10" i="1"/>
  <c r="AP10" i="1"/>
  <c r="AE10" i="1"/>
  <c r="T10" i="1"/>
  <c r="Q10" i="1"/>
  <c r="F10" i="1"/>
  <c r="G10" i="1" s="1"/>
  <c r="AX10" i="1" s="1"/>
  <c r="E10" i="1"/>
  <c r="D10" i="1"/>
  <c r="C10" i="1"/>
  <c r="B10" i="1"/>
  <c r="BF9" i="1"/>
  <c r="BA9" i="1"/>
  <c r="BG9" i="1" s="1"/>
  <c r="AP9" i="1"/>
  <c r="AE9" i="1"/>
  <c r="T9" i="1"/>
  <c r="I9" i="1"/>
  <c r="H9" i="1"/>
  <c r="G9" i="1"/>
  <c r="F9" i="1"/>
  <c r="E9" i="1"/>
  <c r="C9" i="1"/>
  <c r="D9" i="1" s="1"/>
  <c r="B9" i="1"/>
  <c r="BF8" i="1"/>
  <c r="BA8" i="1"/>
  <c r="BG8" i="1" s="1"/>
  <c r="AP8" i="1"/>
  <c r="AE8" i="1"/>
  <c r="T8" i="1"/>
  <c r="I8" i="1"/>
  <c r="H8" i="1"/>
  <c r="J8" i="1" s="1"/>
  <c r="M8" i="1" s="1"/>
  <c r="O8" i="1" s="1"/>
  <c r="Q8" i="1" s="1"/>
  <c r="S8" i="1" s="1"/>
  <c r="U8" i="1" s="1"/>
  <c r="X8" i="1" s="1"/>
  <c r="Z8" i="1" s="1"/>
  <c r="AB8" i="1" s="1"/>
  <c r="AD8" i="1" s="1"/>
  <c r="AF8" i="1" s="1"/>
  <c r="AI8" i="1" s="1"/>
  <c r="AK8" i="1" s="1"/>
  <c r="AM8" i="1" s="1"/>
  <c r="AO8" i="1" s="1"/>
  <c r="AQ8" i="1" s="1"/>
  <c r="F8" i="1"/>
  <c r="E8" i="1"/>
  <c r="D8" i="1"/>
  <c r="C8" i="1"/>
  <c r="B8" i="1"/>
  <c r="BF7" i="1"/>
  <c r="BA7" i="1"/>
  <c r="BG7" i="1" s="1"/>
  <c r="AP7" i="1"/>
  <c r="AE7" i="1"/>
  <c r="T7" i="1"/>
  <c r="F7" i="1"/>
  <c r="G7" i="1" s="1"/>
  <c r="E7" i="1"/>
  <c r="D7" i="1"/>
  <c r="C7" i="1"/>
  <c r="B7" i="1"/>
  <c r="BF6" i="1"/>
  <c r="BA6" i="1"/>
  <c r="BG6" i="1" s="1"/>
  <c r="AP6" i="1"/>
  <c r="AE6" i="1"/>
  <c r="T6" i="1"/>
  <c r="I6" i="1"/>
  <c r="J6" i="1" s="1"/>
  <c r="H6" i="1"/>
  <c r="G6" i="1"/>
  <c r="F6" i="1"/>
  <c r="E6" i="1"/>
  <c r="C6" i="1"/>
  <c r="B6" i="1"/>
  <c r="D6" i="1" s="1"/>
  <c r="BH5" i="1"/>
  <c r="BF12" i="1"/>
  <c r="BA5" i="1"/>
  <c r="AP5" i="1"/>
  <c r="BG5" i="1" s="1"/>
  <c r="AE5" i="1"/>
  <c r="T5" i="1"/>
  <c r="F5" i="1"/>
  <c r="E5" i="1"/>
  <c r="G5" i="1" s="1"/>
  <c r="C5" i="1"/>
  <c r="D5" i="1" s="1"/>
  <c r="B5" i="1"/>
  <c r="BF4" i="1"/>
  <c r="BD4" i="1"/>
  <c r="BA4" i="1"/>
  <c r="AZ4" i="1"/>
  <c r="AX4" i="1"/>
  <c r="AV4" i="1"/>
  <c r="BB4" i="1" s="1"/>
  <c r="AT4" i="1"/>
  <c r="AP4" i="1"/>
  <c r="AO4" i="1"/>
  <c r="AQ4" i="1" s="1"/>
  <c r="AM4" i="1"/>
  <c r="AK4" i="1"/>
  <c r="AI4" i="1"/>
  <c r="AE4" i="1"/>
  <c r="AD4" i="1"/>
  <c r="AB4" i="1"/>
  <c r="Z4" i="1"/>
  <c r="AF4" i="1" s="1"/>
  <c r="X4" i="1"/>
  <c r="T4" i="1"/>
  <c r="T12" i="1" s="1"/>
  <c r="S4" i="1"/>
  <c r="U4" i="1" s="1"/>
  <c r="Q4" i="1"/>
  <c r="O4" i="1"/>
  <c r="M4" i="1"/>
  <c r="AP23" i="1" l="1"/>
  <c r="AP12" i="1"/>
  <c r="BD6" i="1"/>
  <c r="AV6" i="1"/>
  <c r="AO6" i="1"/>
  <c r="Z6" i="1"/>
  <c r="S6" i="1"/>
  <c r="AT6" i="1"/>
  <c r="AM6" i="1"/>
  <c r="X6" i="1"/>
  <c r="Q6" i="1"/>
  <c r="AZ6" i="1"/>
  <c r="AK6" i="1"/>
  <c r="AD6" i="1"/>
  <c r="O6" i="1"/>
  <c r="AX6" i="1"/>
  <c r="AI6" i="1"/>
  <c r="AB6" i="1"/>
  <c r="M6" i="1"/>
  <c r="BH4" i="1"/>
  <c r="BD5" i="1"/>
  <c r="AX5" i="1"/>
  <c r="AI5" i="1"/>
  <c r="AB5" i="1"/>
  <c r="M5" i="1"/>
  <c r="AV5" i="1"/>
  <c r="AO5" i="1"/>
  <c r="Z5" i="1"/>
  <c r="S5" i="1"/>
  <c r="AZ5" i="1"/>
  <c r="BB5" i="1" s="1"/>
  <c r="AD5" i="1"/>
  <c r="AF5" i="1" s="1"/>
  <c r="AT5" i="1"/>
  <c r="AM5" i="1"/>
  <c r="X5" i="1"/>
  <c r="Q5" i="1"/>
  <c r="AK5" i="1"/>
  <c r="O5" i="1"/>
  <c r="AT8" i="1"/>
  <c r="AV8" i="1" s="1"/>
  <c r="AX8" i="1" s="1"/>
  <c r="AZ8" i="1" s="1"/>
  <c r="BB8" i="1" s="1"/>
  <c r="BD8" i="1" s="1"/>
  <c r="BH8" i="1"/>
  <c r="BD11" i="1"/>
  <c r="AX11" i="1"/>
  <c r="AI11" i="1"/>
  <c r="AB11" i="1"/>
  <c r="M11" i="1"/>
  <c r="AT11" i="1"/>
  <c r="AM11" i="1"/>
  <c r="X11" i="1"/>
  <c r="Q11" i="1"/>
  <c r="AZ11" i="1"/>
  <c r="AO11" i="1"/>
  <c r="AD11" i="1"/>
  <c r="AF11" i="1" s="1"/>
  <c r="S11" i="1"/>
  <c r="AK11" i="1"/>
  <c r="O11" i="1"/>
  <c r="AV11" i="1"/>
  <c r="Z11" i="1"/>
  <c r="AZ7" i="1"/>
  <c r="AK7" i="1"/>
  <c r="AD7" i="1"/>
  <c r="O7" i="1"/>
  <c r="AX7" i="1"/>
  <c r="AO7" i="1"/>
  <c r="BD7" i="1"/>
  <c r="AV7" i="1"/>
  <c r="AM7" i="1"/>
  <c r="AB7" i="1"/>
  <c r="S7" i="1"/>
  <c r="X7" i="1"/>
  <c r="AT7" i="1"/>
  <c r="AI7" i="1"/>
  <c r="Z7" i="1"/>
  <c r="Q7" i="1"/>
  <c r="M7" i="1"/>
  <c r="BA23" i="1"/>
  <c r="BG15" i="1"/>
  <c r="AX17" i="1"/>
  <c r="AI17" i="1"/>
  <c r="AB17" i="1"/>
  <c r="M17" i="1"/>
  <c r="AV17" i="1"/>
  <c r="AO17" i="1"/>
  <c r="Z17" i="1"/>
  <c r="S17" i="1"/>
  <c r="AT17" i="1"/>
  <c r="AM17" i="1"/>
  <c r="X17" i="1"/>
  <c r="Q17" i="1"/>
  <c r="AT19" i="1"/>
  <c r="AM19" i="1"/>
  <c r="X19" i="1"/>
  <c r="Q19" i="1"/>
  <c r="AZ19" i="1"/>
  <c r="AK19" i="1"/>
  <c r="AD19" i="1"/>
  <c r="O19" i="1"/>
  <c r="AX19" i="1"/>
  <c r="AI19" i="1"/>
  <c r="AB19" i="1"/>
  <c r="M19" i="1"/>
  <c r="AV19" i="1"/>
  <c r="G8" i="1"/>
  <c r="J9" i="1"/>
  <c r="AI10" i="1"/>
  <c r="G11" i="1"/>
  <c r="T23" i="1"/>
  <c r="BF23" i="1"/>
  <c r="AD17" i="1"/>
  <c r="AF17" i="1" s="1"/>
  <c r="AV18" i="1"/>
  <c r="AO18" i="1"/>
  <c r="Z18" i="1"/>
  <c r="S18" i="1"/>
  <c r="AT18" i="1"/>
  <c r="AM18" i="1"/>
  <c r="X18" i="1"/>
  <c r="Q18" i="1"/>
  <c r="AZ18" i="1"/>
  <c r="AK18" i="1"/>
  <c r="AD18" i="1"/>
  <c r="AF18" i="1" s="1"/>
  <c r="O18" i="1"/>
  <c r="AB18" i="1"/>
  <c r="AX18" i="1"/>
  <c r="S19" i="1"/>
  <c r="U19" i="1" s="1"/>
  <c r="AO20" i="1"/>
  <c r="BB15" i="1"/>
  <c r="BH15" i="1" s="1"/>
  <c r="AF16" i="1"/>
  <c r="O17" i="1"/>
  <c r="AZ17" i="1"/>
  <c r="BG18" i="1"/>
  <c r="AO19" i="1"/>
  <c r="AQ19" i="1" s="1"/>
  <c r="G21" i="1"/>
  <c r="J22" i="1"/>
  <c r="AZ10" i="1"/>
  <c r="AK10" i="1"/>
  <c r="AD10" i="1"/>
  <c r="O10" i="1"/>
  <c r="AV10" i="1"/>
  <c r="AO10" i="1"/>
  <c r="Z10" i="1"/>
  <c r="S10" i="1"/>
  <c r="X10" i="1"/>
  <c r="AM10" i="1"/>
  <c r="AE12" i="1"/>
  <c r="BA12" i="1"/>
  <c r="BG4" i="1"/>
  <c r="BG12" i="1" s="1"/>
  <c r="M10" i="1"/>
  <c r="AB10" i="1"/>
  <c r="BD10" i="1"/>
  <c r="AX16" i="1"/>
  <c r="AI16" i="1"/>
  <c r="AB16" i="1"/>
  <c r="M16" i="1"/>
  <c r="AV16" i="1"/>
  <c r="AO16" i="1"/>
  <c r="AQ16" i="1" s="1"/>
  <c r="Z16" i="1"/>
  <c r="S16" i="1"/>
  <c r="AT16" i="1"/>
  <c r="AM16" i="1"/>
  <c r="X16" i="1"/>
  <c r="Q16" i="1"/>
  <c r="O16" i="1"/>
  <c r="AZ16" i="1"/>
  <c r="BB16" i="1" s="1"/>
  <c r="AK17" i="1"/>
  <c r="Z19" i="1"/>
  <c r="AT20" i="1"/>
  <c r="AM20" i="1"/>
  <c r="X20" i="1"/>
  <c r="Q20" i="1"/>
  <c r="U20" i="1" s="1"/>
  <c r="AZ20" i="1"/>
  <c r="AK20" i="1"/>
  <c r="AD20" i="1"/>
  <c r="O20" i="1"/>
  <c r="AX20" i="1"/>
  <c r="AI20" i="1"/>
  <c r="AB20" i="1"/>
  <c r="M20" i="1"/>
  <c r="AV20" i="1"/>
  <c r="BG21" i="1"/>
  <c r="BG22" i="1"/>
  <c r="AQ5" i="1" l="1"/>
  <c r="AQ6" i="1"/>
  <c r="AQ20" i="1"/>
  <c r="U18" i="1"/>
  <c r="BB19" i="1"/>
  <c r="AQ7" i="1"/>
  <c r="BB20" i="1"/>
  <c r="BB10" i="1"/>
  <c r="AV9" i="1"/>
  <c r="AO9" i="1"/>
  <c r="Z9" i="1"/>
  <c r="S9" i="1"/>
  <c r="AZ9" i="1"/>
  <c r="BB9" i="1" s="1"/>
  <c r="AK9" i="1"/>
  <c r="AD9" i="1"/>
  <c r="O9" i="1"/>
  <c r="BD9" i="1"/>
  <c r="AB9" i="1"/>
  <c r="M9" i="1"/>
  <c r="AM9" i="1"/>
  <c r="X9" i="1"/>
  <c r="AX9" i="1"/>
  <c r="AI9" i="1"/>
  <c r="AT9" i="1"/>
  <c r="Q9" i="1"/>
  <c r="U17" i="1"/>
  <c r="BG23" i="1"/>
  <c r="BB7" i="1"/>
  <c r="AQ11" i="1"/>
  <c r="BH11" i="1" s="1"/>
  <c r="BB6" i="1"/>
  <c r="BB11" i="1"/>
  <c r="U5" i="1"/>
  <c r="U6" i="1"/>
  <c r="AQ10" i="1"/>
  <c r="U16" i="1"/>
  <c r="U10" i="1"/>
  <c r="AZ22" i="1"/>
  <c r="AK22" i="1"/>
  <c r="AD22" i="1"/>
  <c r="O22" i="1"/>
  <c r="AX22" i="1"/>
  <c r="AI22" i="1"/>
  <c r="AB22" i="1"/>
  <c r="M22" i="1"/>
  <c r="AV22" i="1"/>
  <c r="AO22" i="1"/>
  <c r="Z22" i="1"/>
  <c r="S22" i="1"/>
  <c r="AT22" i="1"/>
  <c r="X22" i="1"/>
  <c r="AM22" i="1"/>
  <c r="Q22" i="1"/>
  <c r="BB17" i="1"/>
  <c r="AQ18" i="1"/>
  <c r="AF19" i="1"/>
  <c r="BH19" i="1" s="1"/>
  <c r="AF20" i="1"/>
  <c r="AF10" i="1"/>
  <c r="AZ21" i="1"/>
  <c r="AK21" i="1"/>
  <c r="AD21" i="1"/>
  <c r="O21" i="1"/>
  <c r="AX21" i="1"/>
  <c r="AI21" i="1"/>
  <c r="AB21" i="1"/>
  <c r="M21" i="1"/>
  <c r="AV21" i="1"/>
  <c r="AO21" i="1"/>
  <c r="Z21" i="1"/>
  <c r="S21" i="1"/>
  <c r="AT21" i="1"/>
  <c r="X21" i="1"/>
  <c r="AM21" i="1"/>
  <c r="Q21" i="1"/>
  <c r="BB18" i="1"/>
  <c r="AQ17" i="1"/>
  <c r="U7" i="1"/>
  <c r="AF7" i="1"/>
  <c r="U11" i="1"/>
  <c r="AF6" i="1"/>
  <c r="AF21" i="1" l="1"/>
  <c r="BB22" i="1"/>
  <c r="BH17" i="1"/>
  <c r="AQ21" i="1"/>
  <c r="U22" i="1"/>
  <c r="U12" i="1"/>
  <c r="U9" i="1"/>
  <c r="BB21" i="1"/>
  <c r="BB23" i="1" s="1"/>
  <c r="BH18" i="1"/>
  <c r="AF22" i="1"/>
  <c r="AF9" i="1"/>
  <c r="AF12" i="1" s="1"/>
  <c r="BH20" i="1"/>
  <c r="U21" i="1"/>
  <c r="U23" i="1" s="1"/>
  <c r="AQ22" i="1"/>
  <c r="BH22" i="1" s="1"/>
  <c r="BH10" i="1"/>
  <c r="BB12" i="1"/>
  <c r="AQ9" i="1"/>
  <c r="BH7" i="1"/>
  <c r="BH6" i="1"/>
  <c r="BH9" i="1" l="1"/>
  <c r="AQ12" i="1"/>
  <c r="AF23" i="1"/>
  <c r="BH12" i="1"/>
  <c r="BH21" i="1"/>
  <c r="BH23" i="1" s="1"/>
  <c r="AQ23" i="1"/>
</calcChain>
</file>

<file path=xl/sharedStrings.xml><?xml version="1.0" encoding="utf-8"?>
<sst xmlns="http://schemas.openxmlformats.org/spreadsheetml/2006/main" count="351" uniqueCount="90">
  <si>
    <t>GUELPH CDM SAVINGS ACTUAL for LRAM - 2022</t>
  </si>
  <si>
    <t>Alectra (2017)</t>
  </si>
  <si>
    <t>Provincial (2017)*</t>
  </si>
  <si>
    <t>Guelph (2017)*</t>
  </si>
  <si>
    <t xml:space="preserve">Year Forecast </t>
  </si>
  <si>
    <t>Q1 Actual Gross</t>
  </si>
  <si>
    <t>Q1 Actual NTG-R</t>
  </si>
  <si>
    <t>Q2 Actual Gross</t>
  </si>
  <si>
    <t>Q2 Actual NTG-R</t>
  </si>
  <si>
    <t>Q3 Actual Gross</t>
  </si>
  <si>
    <t>Q3 Actual NTG-R</t>
  </si>
  <si>
    <t>Q4 Actual Gross</t>
  </si>
  <si>
    <t>Q4 Actual NTG-R</t>
  </si>
  <si>
    <t>2022 GS&lt;50 Gross Subtotal</t>
  </si>
  <si>
    <t>2022 GS&lt;50 NTG-R Subtotal</t>
  </si>
  <si>
    <t>2022 GS&lt;MW Gross Subtotal</t>
  </si>
  <si>
    <t>2022 GS&lt;MW NTG-R Subtotal</t>
  </si>
  <si>
    <t>2022 GS&lt;5MW Gross Subtotal</t>
  </si>
  <si>
    <t>2022 GS&lt;5MW NTG-RSubtotal</t>
  </si>
  <si>
    <t>2022 LU Gross Subtotal</t>
  </si>
  <si>
    <t>2022 LU NTG-RSubtotal</t>
  </si>
  <si>
    <t>2022 STLT NTG-R Subtotal</t>
  </si>
  <si>
    <t>Year Forecast All Rate Classes</t>
  </si>
  <si>
    <t>Gross Actual All Rate Classes</t>
  </si>
  <si>
    <t>NTG-R Actual All Rate Classes</t>
  </si>
  <si>
    <t>2022 Energy Adjusted by NTG-R  (kWh)</t>
  </si>
  <si>
    <t>NTG</t>
  </si>
  <si>
    <t>RR</t>
  </si>
  <si>
    <t>NTG-R</t>
  </si>
  <si>
    <t>GS&lt;50</t>
  </si>
  <si>
    <t>GS&lt;1MW</t>
  </si>
  <si>
    <t>GS&lt;5MW</t>
  </si>
  <si>
    <t>LU</t>
  </si>
  <si>
    <t>STLT</t>
  </si>
  <si>
    <t>Grand Total</t>
  </si>
  <si>
    <t>SAVE ON ENERGY MONITORING &amp; TARGETING PROGRAM</t>
  </si>
  <si>
    <t>-</t>
  </si>
  <si>
    <t>SAVE ON ENERGY PROCESS &amp; SYSTEMS UPGRADES PROGRAM</t>
  </si>
  <si>
    <t>SAVE ON ENERGY RETROFIT PROGRAM</t>
  </si>
  <si>
    <t>SAVE ON ENERGY ENERGY AUDIT PROGRAM</t>
  </si>
  <si>
    <t>SAVE ON ENERGY EMBEDDED ENERGY MANAGER</t>
  </si>
  <si>
    <t>SAVE ON ENERGY HIGH PERFORMANCE NEW CONSTRUCTION</t>
  </si>
  <si>
    <t>SAVE ON ENERGY SMALL BUSINESS LIGHTING</t>
  </si>
  <si>
    <t>SAVE ON ENERGY HEATING AND COOLING PROGRAM</t>
  </si>
  <si>
    <t>2022 Demand Adjusted by NTG-R  (kW)</t>
  </si>
  <si>
    <t>Rate Class Definition</t>
  </si>
  <si>
    <t>Code</t>
  </si>
  <si>
    <t>LRAM Basis</t>
  </si>
  <si>
    <t>General Service less than 50 kW</t>
  </si>
  <si>
    <t>kWh</t>
  </si>
  <si>
    <t>General Service 50 - 999 kW</t>
  </si>
  <si>
    <t>kW</t>
  </si>
  <si>
    <t>General Service 1,000 - 4,999 kW</t>
  </si>
  <si>
    <t>Large User</t>
  </si>
  <si>
    <t>Residential</t>
  </si>
  <si>
    <t>RES</t>
  </si>
  <si>
    <t>Sentinel Lighting</t>
  </si>
  <si>
    <t>SENLT</t>
  </si>
  <si>
    <t>Street Lighting</t>
  </si>
  <si>
    <t>Unmetered Scattered Loads</t>
  </si>
  <si>
    <t>UMSL</t>
  </si>
  <si>
    <t>* Notes</t>
  </si>
  <si>
    <t>NTG used from IESO 2017 published FVR Report</t>
  </si>
  <si>
    <t>* Where possible Guelph (2017) NTG-R is used, if no values, Provincial (2017) NTG-R is used</t>
  </si>
  <si>
    <t>2022 WindDown Reporting ERII (RETROFIT) Prescriptive &amp; Custom Projects - CRM</t>
  </si>
  <si>
    <t>Project</t>
  </si>
  <si>
    <t>Demand Saved kW</t>
  </si>
  <si>
    <t>Energy Saved kWh</t>
  </si>
  <si>
    <t>Incentive $</t>
  </si>
  <si>
    <t>Incentive $ HST</t>
  </si>
  <si>
    <t>OPA INVOICE CHECKSUM</t>
  </si>
  <si>
    <t>Project Cost No Incentive</t>
  </si>
  <si>
    <t>Incentive Cheque Started</t>
  </si>
  <si>
    <t>N</t>
  </si>
  <si>
    <t>O</t>
  </si>
  <si>
    <t>Q</t>
  </si>
  <si>
    <t>OPA CRM</t>
  </si>
  <si>
    <t>OEB LRAM Classification</t>
  </si>
  <si>
    <t>Project Type (Lighting, Comp-Air, VFD, Process, Other)</t>
  </si>
  <si>
    <t>Total Actual Demand Savings</t>
  </si>
  <si>
    <t>Total Actual Energy Savings</t>
  </si>
  <si>
    <t>Total Actual Incentive Amount</t>
  </si>
  <si>
    <t>HST on Total Actual Incentive Amount</t>
  </si>
  <si>
    <t>GS&lt;1MW - C&amp;I</t>
  </si>
  <si>
    <t>Lighting</t>
  </si>
  <si>
    <t>GS&lt;5MW - IND</t>
  </si>
  <si>
    <t>Other - VFD</t>
  </si>
  <si>
    <t>Other</t>
  </si>
  <si>
    <t>n/a</t>
  </si>
  <si>
    <t>Total Retrofit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</si>
</sst>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0;\-#,##0.0000;&quot;-&quot;_____;"/>
    <numFmt numFmtId="166" formatCode="[$-409]d\-mmm\-yy;@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E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u/>
      <sz val="14"/>
      <color rgb="FF0000FF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165" fontId="8" fillId="0" borderId="1" xfId="0" applyNumberFormat="1" applyFont="1" applyBorder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0" fontId="6" fillId="0" borderId="2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0" borderId="4" xfId="0" applyBorder="1"/>
    <xf numFmtId="165" fontId="8" fillId="0" borderId="5" xfId="0" applyNumberFormat="1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/>
    </xf>
    <xf numFmtId="3" fontId="7" fillId="0" borderId="4" xfId="0" applyNumberFormat="1" applyFont="1" applyBorder="1"/>
    <xf numFmtId="3" fontId="2" fillId="0" borderId="4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2" fillId="0" borderId="7" xfId="0" applyNumberFormat="1" applyFont="1" applyBorder="1"/>
    <xf numFmtId="3" fontId="9" fillId="0" borderId="7" xfId="0" applyNumberFormat="1" applyFont="1" applyBorder="1"/>
    <xf numFmtId="0" fontId="1" fillId="0" borderId="0" xfId="0" applyFont="1" applyAlignment="1">
      <alignment horizontal="left"/>
    </xf>
    <xf numFmtId="3" fontId="4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166" fontId="2" fillId="0" borderId="0" xfId="1" applyNumberFormat="1" applyFont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14" fontId="2" fillId="0" borderId="3" xfId="1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right"/>
    </xf>
    <xf numFmtId="167" fontId="2" fillId="0" borderId="3" xfId="1" applyNumberFormat="1" applyFont="1" applyBorder="1"/>
    <xf numFmtId="167" fontId="2" fillId="0" borderId="3" xfId="1" applyNumberFormat="1" applyFont="1" applyBorder="1" applyAlignment="1">
      <alignment horizontal="right" vertical="center"/>
    </xf>
    <xf numFmtId="166" fontId="2" fillId="0" borderId="3" xfId="1" applyNumberFormat="1" applyFont="1" applyBorder="1" applyAlignment="1">
      <alignment horizontal="right" vertical="center"/>
    </xf>
    <xf numFmtId="14" fontId="2" fillId="0" borderId="8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right"/>
    </xf>
    <xf numFmtId="0" fontId="2" fillId="0" borderId="9" xfId="1" applyFont="1" applyBorder="1" applyAlignment="1">
      <alignment horizontal="center"/>
    </xf>
    <xf numFmtId="14" fontId="2" fillId="0" borderId="10" xfId="1" applyNumberFormat="1" applyFont="1" applyBorder="1" applyAlignment="1">
      <alignment horizontal="center"/>
    </xf>
    <xf numFmtId="4" fontId="2" fillId="0" borderId="10" xfId="1" applyNumberFormat="1" applyFont="1" applyBorder="1" applyAlignment="1">
      <alignment horizontal="right"/>
    </xf>
    <xf numFmtId="167" fontId="2" fillId="0" borderId="11" xfId="1" applyNumberFormat="1" applyFont="1" applyBorder="1"/>
    <xf numFmtId="14" fontId="2" fillId="0" borderId="12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right"/>
    </xf>
    <xf numFmtId="0" fontId="11" fillId="0" borderId="3" xfId="1" applyFont="1" applyBorder="1" applyAlignment="1">
      <alignment horizontal="center"/>
    </xf>
  </cellXfs>
  <cellStyles count="2">
    <cellStyle name="Normal" xfId="0" builtinId="0"/>
    <cellStyle name="Normal 3 2 12" xfId="1" xr:uid="{8CB57037-AE64-47BD-AB2B-D337E22B4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CDM\PC\Reporting\Quarterly%20LRAM%20Reports\Alectra%202018%20Q3\2018%20Q3%20-%20LRAMVA%20Template_201806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84698AA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Enersource RZ"/>
      <sheetName val="Brampton RZ"/>
      <sheetName val="Powerstream RZ"/>
      <sheetName val="Horizon RZ"/>
      <sheetName val="RateClass Allocation Table"/>
      <sheetName val="NameMapping"/>
      <sheetName val="ProjectionES"/>
      <sheetName val="ProjectionDS"/>
      <sheetName val="ProjectList"/>
      <sheetName val="Sheet5"/>
      <sheetName val="NewPrjectList"/>
      <sheetName val="2018 Q3 Energy Savings"/>
      <sheetName val="2018 Q3 Demand Savings"/>
      <sheetName val="2018 Full Energy Savings"/>
      <sheetName val="2018 Full Demand Savings (2)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FEBE-B8FE-47CE-8786-47FF81898B22}">
  <dimension ref="A1:BM37"/>
  <sheetViews>
    <sheetView tabSelected="1" zoomScale="93" zoomScaleNormal="93" workbookViewId="0">
      <pane xSplit="1" ySplit="2" topLeftCell="AZ3" activePane="bottomRight" state="frozen"/>
      <selection pane="topRight" activeCell="B1" sqref="B1"/>
      <selection pane="bottomLeft" activeCell="A3" sqref="A3"/>
      <selection pane="bottomRight" activeCell="BG12" sqref="BG12"/>
    </sheetView>
  </sheetViews>
  <sheetFormatPr defaultRowHeight="14.5" x14ac:dyDescent="0.35"/>
  <cols>
    <col min="1" max="1" width="72.81640625" customWidth="1"/>
    <col min="2" max="9" width="11.81640625" customWidth="1"/>
    <col min="10" max="10" width="11.81640625" style="41" customWidth="1"/>
    <col min="11" max="11" width="14.26953125" style="41" customWidth="1"/>
    <col min="12" max="12" width="14.26953125" style="3" bestFit="1" customWidth="1"/>
    <col min="13" max="13" width="12.54296875" style="3" bestFit="1" customWidth="1"/>
    <col min="14" max="14" width="14.26953125" style="3" customWidth="1"/>
    <col min="15" max="15" width="12.54296875" style="3" customWidth="1"/>
    <col min="16" max="16" width="14.26953125" style="3" customWidth="1"/>
    <col min="17" max="17" width="12.54296875" style="3" customWidth="1"/>
    <col min="18" max="18" width="14.26953125" style="3" customWidth="1"/>
    <col min="19" max="20" width="12.54296875" style="3" customWidth="1"/>
    <col min="21" max="21" width="12.54296875" style="3" bestFit="1" customWidth="1"/>
    <col min="22" max="22" width="12.54296875" style="3" customWidth="1"/>
    <col min="23" max="23" width="14.26953125" style="3" bestFit="1" customWidth="1"/>
    <col min="24" max="24" width="12.54296875" style="3" bestFit="1" customWidth="1"/>
    <col min="25" max="25" width="14.26953125" style="3" customWidth="1"/>
    <col min="26" max="26" width="12.54296875" style="3" customWidth="1"/>
    <col min="27" max="27" width="14.26953125" style="3" customWidth="1"/>
    <col min="28" max="28" width="12.54296875" style="3" customWidth="1"/>
    <col min="29" max="29" width="14.26953125" style="3" customWidth="1"/>
    <col min="30" max="31" width="12.54296875" style="3" customWidth="1"/>
    <col min="32" max="33" width="12.7265625" style="3" customWidth="1"/>
    <col min="34" max="34" width="14.26953125" bestFit="1" customWidth="1"/>
    <col min="35" max="35" width="12.54296875" bestFit="1" customWidth="1"/>
    <col min="36" max="36" width="14.26953125" customWidth="1"/>
    <col min="37" max="37" width="12.54296875" customWidth="1"/>
    <col min="38" max="38" width="14.26953125" customWidth="1"/>
    <col min="39" max="39" width="12.54296875" customWidth="1"/>
    <col min="40" max="40" width="14.26953125" customWidth="1"/>
    <col min="41" max="42" width="12.54296875" customWidth="1"/>
    <col min="43" max="43" width="12.54296875" bestFit="1" customWidth="1"/>
    <col min="44" max="44" width="12.54296875" customWidth="1"/>
    <col min="45" max="45" width="14.26953125" bestFit="1" customWidth="1"/>
    <col min="46" max="46" width="12.54296875" bestFit="1" customWidth="1"/>
    <col min="47" max="47" width="14.26953125" customWidth="1"/>
    <col min="48" max="48" width="12.54296875" customWidth="1"/>
    <col min="49" max="49" width="14.26953125" customWidth="1"/>
    <col min="50" max="50" width="12.54296875" customWidth="1"/>
    <col min="51" max="51" width="14.26953125" customWidth="1"/>
    <col min="52" max="53" width="12.54296875" customWidth="1"/>
    <col min="54" max="54" width="12.54296875" bestFit="1" customWidth="1"/>
    <col min="55" max="59" width="12.54296875" customWidth="1"/>
    <col min="60" max="60" width="15.7265625" customWidth="1"/>
  </cols>
  <sheetData>
    <row r="1" spans="1:6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65" ht="58" x14ac:dyDescent="0.35">
      <c r="B2" s="46" t="s">
        <v>1</v>
      </c>
      <c r="C2" s="47"/>
      <c r="D2" s="48"/>
      <c r="E2" s="46" t="s">
        <v>2</v>
      </c>
      <c r="F2" s="47"/>
      <c r="G2" s="48"/>
      <c r="H2" s="46" t="s">
        <v>3</v>
      </c>
      <c r="I2" s="47"/>
      <c r="J2" s="48"/>
      <c r="K2" s="6" t="s">
        <v>4</v>
      </c>
      <c r="L2" s="7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7" t="s">
        <v>10</v>
      </c>
      <c r="R2" s="7" t="s">
        <v>11</v>
      </c>
      <c r="S2" s="7" t="s">
        <v>12</v>
      </c>
      <c r="T2" s="7" t="s">
        <v>13</v>
      </c>
      <c r="U2" s="7" t="s">
        <v>14</v>
      </c>
      <c r="V2" s="6" t="s">
        <v>4</v>
      </c>
      <c r="W2" s="7" t="s">
        <v>5</v>
      </c>
      <c r="X2" s="7" t="s">
        <v>6</v>
      </c>
      <c r="Y2" s="7" t="s">
        <v>7</v>
      </c>
      <c r="Z2" s="7" t="s">
        <v>8</v>
      </c>
      <c r="AA2" s="7" t="s">
        <v>9</v>
      </c>
      <c r="AB2" s="7" t="s">
        <v>10</v>
      </c>
      <c r="AC2" s="7" t="s">
        <v>11</v>
      </c>
      <c r="AD2" s="7" t="s">
        <v>12</v>
      </c>
      <c r="AE2" s="7" t="s">
        <v>15</v>
      </c>
      <c r="AF2" s="7" t="s">
        <v>16</v>
      </c>
      <c r="AG2" s="6" t="s">
        <v>4</v>
      </c>
      <c r="AH2" s="7" t="s">
        <v>5</v>
      </c>
      <c r="AI2" s="7" t="s">
        <v>6</v>
      </c>
      <c r="AJ2" s="7" t="s">
        <v>7</v>
      </c>
      <c r="AK2" s="7" t="s">
        <v>8</v>
      </c>
      <c r="AL2" s="7" t="s">
        <v>9</v>
      </c>
      <c r="AM2" s="7" t="s">
        <v>10</v>
      </c>
      <c r="AN2" s="7" t="s">
        <v>11</v>
      </c>
      <c r="AO2" s="7" t="s">
        <v>12</v>
      </c>
      <c r="AP2" s="7" t="s">
        <v>17</v>
      </c>
      <c r="AQ2" s="7" t="s">
        <v>18</v>
      </c>
      <c r="AR2" s="6" t="s">
        <v>4</v>
      </c>
      <c r="AS2" s="7" t="s">
        <v>5</v>
      </c>
      <c r="AT2" s="7" t="s">
        <v>6</v>
      </c>
      <c r="AU2" s="7" t="s">
        <v>7</v>
      </c>
      <c r="AV2" s="7" t="s">
        <v>8</v>
      </c>
      <c r="AW2" s="7" t="s">
        <v>9</v>
      </c>
      <c r="AX2" s="7" t="s">
        <v>10</v>
      </c>
      <c r="AY2" s="7" t="s">
        <v>11</v>
      </c>
      <c r="AZ2" s="7" t="s">
        <v>12</v>
      </c>
      <c r="BA2" s="7" t="s">
        <v>19</v>
      </c>
      <c r="BB2" s="7" t="s">
        <v>20</v>
      </c>
      <c r="BC2" s="7" t="s">
        <v>11</v>
      </c>
      <c r="BD2" s="7" t="s">
        <v>12</v>
      </c>
      <c r="BE2" s="7" t="s">
        <v>21</v>
      </c>
      <c r="BF2" s="8" t="s">
        <v>22</v>
      </c>
      <c r="BG2" s="8" t="s">
        <v>23</v>
      </c>
      <c r="BH2" s="8" t="s">
        <v>24</v>
      </c>
    </row>
    <row r="3" spans="1:65" ht="15.5" x14ac:dyDescent="0.35">
      <c r="A3" s="5" t="s">
        <v>25</v>
      </c>
      <c r="B3" s="4" t="s">
        <v>26</v>
      </c>
      <c r="C3" s="5" t="s">
        <v>27</v>
      </c>
      <c r="D3" s="9" t="s">
        <v>28</v>
      </c>
      <c r="E3" s="4" t="s">
        <v>26</v>
      </c>
      <c r="F3" s="5" t="s">
        <v>27</v>
      </c>
      <c r="G3" s="9" t="s">
        <v>28</v>
      </c>
      <c r="H3" s="4" t="s">
        <v>26</v>
      </c>
      <c r="I3" s="5" t="s">
        <v>27</v>
      </c>
      <c r="J3" s="9" t="s">
        <v>28</v>
      </c>
      <c r="K3" s="10" t="s">
        <v>29</v>
      </c>
      <c r="L3" s="11" t="s">
        <v>29</v>
      </c>
      <c r="M3" s="11" t="s">
        <v>29</v>
      </c>
      <c r="N3" s="11" t="s">
        <v>29</v>
      </c>
      <c r="O3" s="11" t="s">
        <v>29</v>
      </c>
      <c r="P3" s="11" t="s">
        <v>29</v>
      </c>
      <c r="Q3" s="11" t="s">
        <v>29</v>
      </c>
      <c r="R3" s="11" t="s">
        <v>29</v>
      </c>
      <c r="S3" s="11" t="s">
        <v>29</v>
      </c>
      <c r="T3" s="11" t="s">
        <v>29</v>
      </c>
      <c r="U3" s="11" t="s">
        <v>29</v>
      </c>
      <c r="V3" s="11" t="s">
        <v>30</v>
      </c>
      <c r="W3" s="11" t="s">
        <v>30</v>
      </c>
      <c r="X3" s="11" t="s">
        <v>30</v>
      </c>
      <c r="Y3" s="11" t="s">
        <v>30</v>
      </c>
      <c r="Z3" s="11" t="s">
        <v>30</v>
      </c>
      <c r="AA3" s="11" t="s">
        <v>30</v>
      </c>
      <c r="AB3" s="11" t="s">
        <v>30</v>
      </c>
      <c r="AC3" s="11" t="s">
        <v>30</v>
      </c>
      <c r="AD3" s="11" t="s">
        <v>30</v>
      </c>
      <c r="AE3" s="11" t="s">
        <v>30</v>
      </c>
      <c r="AF3" s="11" t="s">
        <v>30</v>
      </c>
      <c r="AG3" s="11" t="s">
        <v>31</v>
      </c>
      <c r="AH3" s="11" t="s">
        <v>31</v>
      </c>
      <c r="AI3" s="11" t="s">
        <v>31</v>
      </c>
      <c r="AJ3" s="11" t="s">
        <v>31</v>
      </c>
      <c r="AK3" s="11" t="s">
        <v>31</v>
      </c>
      <c r="AL3" s="11" t="s">
        <v>31</v>
      </c>
      <c r="AM3" s="11" t="s">
        <v>31</v>
      </c>
      <c r="AN3" s="11" t="s">
        <v>31</v>
      </c>
      <c r="AO3" s="11" t="s">
        <v>31</v>
      </c>
      <c r="AP3" s="11" t="s">
        <v>31</v>
      </c>
      <c r="AQ3" s="11" t="s">
        <v>31</v>
      </c>
      <c r="AR3" s="10" t="s">
        <v>32</v>
      </c>
      <c r="AS3" s="10" t="s">
        <v>32</v>
      </c>
      <c r="AT3" s="10" t="s">
        <v>32</v>
      </c>
      <c r="AU3" s="10" t="s">
        <v>32</v>
      </c>
      <c r="AV3" s="10" t="s">
        <v>32</v>
      </c>
      <c r="AW3" s="10" t="s">
        <v>32</v>
      </c>
      <c r="AX3" s="10" t="s">
        <v>32</v>
      </c>
      <c r="AY3" s="10" t="s">
        <v>32</v>
      </c>
      <c r="AZ3" s="10" t="s">
        <v>32</v>
      </c>
      <c r="BA3" s="10" t="s">
        <v>32</v>
      </c>
      <c r="BB3" s="10" t="s">
        <v>32</v>
      </c>
      <c r="BC3" s="10" t="s">
        <v>33</v>
      </c>
      <c r="BD3" s="10" t="s">
        <v>33</v>
      </c>
      <c r="BE3" s="10" t="s">
        <v>33</v>
      </c>
      <c r="BF3" s="12" t="s">
        <v>34</v>
      </c>
      <c r="BG3" s="12" t="s">
        <v>34</v>
      </c>
      <c r="BH3" s="12" t="s">
        <v>34</v>
      </c>
    </row>
    <row r="4" spans="1:65" ht="15.5" x14ac:dyDescent="0.35">
      <c r="A4" t="s">
        <v>35</v>
      </c>
      <c r="B4" s="13" t="s">
        <v>36</v>
      </c>
      <c r="C4" s="14" t="s">
        <v>36</v>
      </c>
      <c r="D4" s="15"/>
      <c r="E4" s="13" t="s">
        <v>36</v>
      </c>
      <c r="F4" s="14" t="s">
        <v>36</v>
      </c>
      <c r="G4" s="14" t="s">
        <v>36</v>
      </c>
      <c r="H4" s="13" t="s">
        <v>36</v>
      </c>
      <c r="I4" s="14" t="s">
        <v>36</v>
      </c>
      <c r="J4" s="16">
        <v>1</v>
      </c>
      <c r="K4" s="17"/>
      <c r="L4" s="18"/>
      <c r="M4" s="18">
        <f>L4*$J$4</f>
        <v>0</v>
      </c>
      <c r="N4" s="18"/>
      <c r="O4" s="18">
        <f>N4*$J$4</f>
        <v>0</v>
      </c>
      <c r="P4" s="18"/>
      <c r="Q4" s="18">
        <f>P4*$J$4</f>
        <v>0</v>
      </c>
      <c r="R4" s="18"/>
      <c r="S4" s="18">
        <f>R4*$J$4</f>
        <v>0</v>
      </c>
      <c r="T4" s="18">
        <f>R4+P4+N4+L4</f>
        <v>0</v>
      </c>
      <c r="U4" s="18">
        <f>S4+Q4+O4+M4</f>
        <v>0</v>
      </c>
      <c r="V4" s="17"/>
      <c r="W4" s="18"/>
      <c r="X4" s="18">
        <f>W4*$J$4</f>
        <v>0</v>
      </c>
      <c r="Y4" s="18"/>
      <c r="Z4" s="18">
        <f>Y4*$J$4</f>
        <v>0</v>
      </c>
      <c r="AA4" s="18"/>
      <c r="AB4" s="18">
        <f>AA4*$J$4</f>
        <v>0</v>
      </c>
      <c r="AC4" s="18"/>
      <c r="AD4" s="18">
        <f>AC4*$J$4</f>
        <v>0</v>
      </c>
      <c r="AE4" s="18">
        <f>AC4+AA4+Y4+W4</f>
        <v>0</v>
      </c>
      <c r="AF4" s="18">
        <f>AD4+AB4+Z4+X4</f>
        <v>0</v>
      </c>
      <c r="AG4" s="17"/>
      <c r="AH4" s="18"/>
      <c r="AI4" s="18">
        <f>AH4*$J$4</f>
        <v>0</v>
      </c>
      <c r="AJ4" s="18"/>
      <c r="AK4" s="18">
        <f>AJ4*$J$4</f>
        <v>0</v>
      </c>
      <c r="AL4" s="18"/>
      <c r="AM4" s="18">
        <f>AL4*$J$4</f>
        <v>0</v>
      </c>
      <c r="AN4" s="18"/>
      <c r="AO4" s="18">
        <f>AN4*$J$4</f>
        <v>0</v>
      </c>
      <c r="AP4" s="18">
        <f>AN4+AL4+AJ4+AH4</f>
        <v>0</v>
      </c>
      <c r="AQ4" s="18">
        <f>AO4+AM4+AK4+AI4</f>
        <v>0</v>
      </c>
      <c r="AR4" s="17"/>
      <c r="AS4" s="18"/>
      <c r="AT4" s="18">
        <f>AS4*$J$4</f>
        <v>0</v>
      </c>
      <c r="AU4" s="18"/>
      <c r="AV4" s="18">
        <f>AU4*$J$4</f>
        <v>0</v>
      </c>
      <c r="AW4" s="18"/>
      <c r="AX4" s="18">
        <f>AW4*$J$4</f>
        <v>0</v>
      </c>
      <c r="AY4" s="18"/>
      <c r="AZ4" s="18">
        <f>AY4*$J$4</f>
        <v>0</v>
      </c>
      <c r="BA4" s="18">
        <f>AY4+AW4+AU4+AS4</f>
        <v>0</v>
      </c>
      <c r="BB4" s="18">
        <f>AZ4+AX4+AV4+AT4</f>
        <v>0</v>
      </c>
      <c r="BC4" s="18"/>
      <c r="BD4" s="18">
        <f>BC4*$J$4</f>
        <v>0</v>
      </c>
      <c r="BE4" s="18"/>
      <c r="BF4" s="17">
        <f>K4+V4+AG4+AR4</f>
        <v>0</v>
      </c>
      <c r="BG4" s="17">
        <f>BA4+AP4+AE4+T4</f>
        <v>0</v>
      </c>
      <c r="BH4" s="17">
        <f t="shared" ref="BH4:BH11" si="0">AQ4+AF4+U4+BB4+BE4</f>
        <v>0</v>
      </c>
    </row>
    <row r="5" spans="1:65" ht="15.5" x14ac:dyDescent="0.35">
      <c r="A5" t="s">
        <v>37</v>
      </c>
      <c r="B5" s="19">
        <f>91.6038543000631/100</f>
        <v>0.91603854300063103</v>
      </c>
      <c r="C5" s="20">
        <f>101.326409640445/100</f>
        <v>1.0132640964044499</v>
      </c>
      <c r="D5" s="16">
        <f>B5*C5</f>
        <v>0.92818896654518324</v>
      </c>
      <c r="E5" s="19">
        <f>94.9253337674353/100</f>
        <v>0.94925333767435305</v>
      </c>
      <c r="F5" s="20">
        <f>107.0191513109/100</f>
        <v>1.0701915131090001</v>
      </c>
      <c r="G5" s="16">
        <f t="shared" ref="G5:G11" si="1">E5*F5</f>
        <v>1.0158828657694845</v>
      </c>
      <c r="H5" s="13" t="s">
        <v>36</v>
      </c>
      <c r="I5" s="14" t="s">
        <v>36</v>
      </c>
      <c r="J5" s="21" t="s">
        <v>36</v>
      </c>
      <c r="K5" s="17"/>
      <c r="L5" s="18"/>
      <c r="M5" s="18">
        <f>L5*$D$5</f>
        <v>0</v>
      </c>
      <c r="N5" s="18"/>
      <c r="O5" s="18">
        <f>N5*$D$5</f>
        <v>0</v>
      </c>
      <c r="P5" s="18"/>
      <c r="Q5" s="18">
        <f>P5*$D$5</f>
        <v>0</v>
      </c>
      <c r="R5" s="18"/>
      <c r="S5" s="18">
        <f>R5*$D$5</f>
        <v>0</v>
      </c>
      <c r="T5" s="18">
        <f t="shared" ref="T5:U11" si="2">R5+P5+N5+L5</f>
        <v>0</v>
      </c>
      <c r="U5" s="18">
        <f t="shared" si="2"/>
        <v>0</v>
      </c>
      <c r="V5" s="17"/>
      <c r="W5" s="18"/>
      <c r="X5" s="18">
        <f>W5*$D$5</f>
        <v>0</v>
      </c>
      <c r="Y5" s="18"/>
      <c r="Z5" s="18">
        <f>Y5*$D$5</f>
        <v>0</v>
      </c>
      <c r="AA5" s="18"/>
      <c r="AB5" s="18">
        <f>AA5*$D$5</f>
        <v>0</v>
      </c>
      <c r="AC5" s="18"/>
      <c r="AD5" s="18">
        <f>AC5*$D$5</f>
        <v>0</v>
      </c>
      <c r="AE5" s="18">
        <f t="shared" ref="AE5:AF11" si="3">AC5+AA5+Y5+W5</f>
        <v>0</v>
      </c>
      <c r="AF5" s="18">
        <f t="shared" si="3"/>
        <v>0</v>
      </c>
      <c r="AG5" s="17"/>
      <c r="AH5" s="18"/>
      <c r="AI5" s="18">
        <f>AH5*$D$5</f>
        <v>0</v>
      </c>
      <c r="AJ5" s="18"/>
      <c r="AK5" s="18">
        <f>AJ5*$D$5</f>
        <v>0</v>
      </c>
      <c r="AL5" s="18"/>
      <c r="AM5" s="18">
        <f>AL5*$D$5</f>
        <v>0</v>
      </c>
      <c r="AN5" s="18"/>
      <c r="AO5" s="18">
        <f>AN5*$D$5</f>
        <v>0</v>
      </c>
      <c r="AP5" s="18">
        <f t="shared" ref="AP5:AQ11" si="4">AN5+AL5+AJ5+AH5</f>
        <v>0</v>
      </c>
      <c r="AQ5" s="18">
        <f t="shared" si="4"/>
        <v>0</v>
      </c>
      <c r="AR5" s="17"/>
      <c r="AS5" s="18"/>
      <c r="AT5" s="18">
        <f>AS5*$D$5</f>
        <v>0</v>
      </c>
      <c r="AU5" s="18"/>
      <c r="AV5" s="18">
        <f>AU5*$D$5</f>
        <v>0</v>
      </c>
      <c r="AW5" s="18"/>
      <c r="AX5" s="18">
        <f>AW5*$D$5</f>
        <v>0</v>
      </c>
      <c r="AY5" s="18"/>
      <c r="AZ5" s="18">
        <f>AY5*$D$5</f>
        <v>0</v>
      </c>
      <c r="BA5" s="18">
        <f t="shared" ref="BA5:BB11" si="5">AY5+AW5+AU5+AS5</f>
        <v>0</v>
      </c>
      <c r="BB5" s="18">
        <f t="shared" si="5"/>
        <v>0</v>
      </c>
      <c r="BC5" s="18"/>
      <c r="BD5" s="18">
        <f>BC5*$D$5</f>
        <v>0</v>
      </c>
      <c r="BE5" s="18"/>
      <c r="BF5" s="17">
        <f>K5+V5+AG5+AR5</f>
        <v>0</v>
      </c>
      <c r="BG5" s="17">
        <f>BA5+AP5+AE5+T5</f>
        <v>0</v>
      </c>
      <c r="BH5" s="17">
        <f>AP5+AE5+T5+BA5-AP5-AE5-T5-BA5</f>
        <v>0</v>
      </c>
      <c r="BI5" s="1"/>
      <c r="BJ5" s="1"/>
      <c r="BK5" s="1"/>
      <c r="BL5" s="1"/>
      <c r="BM5" s="1"/>
    </row>
    <row r="6" spans="1:65" ht="15.5" x14ac:dyDescent="0.35">
      <c r="A6" t="s">
        <v>38</v>
      </c>
      <c r="B6" s="19">
        <f>91.6355578179611/100</f>
        <v>0.916355578179611</v>
      </c>
      <c r="C6" s="20">
        <f>99.5902617195912/100</f>
        <v>0.995902617195912</v>
      </c>
      <c r="D6" s="16">
        <f t="shared" ref="D6:D11" si="6">B6*C6</f>
        <v>0.91260091859114778</v>
      </c>
      <c r="E6" s="19">
        <f>88.4077753593972/100</f>
        <v>0.88407775359397212</v>
      </c>
      <c r="F6" s="20">
        <f>101.628940905675/100</f>
        <v>1.01628940905675</v>
      </c>
      <c r="G6" s="16">
        <f t="shared" si="1"/>
        <v>0.89847885776023695</v>
      </c>
      <c r="H6" s="19">
        <f>95.4217090994883/100</f>
        <v>0.95421709099488294</v>
      </c>
      <c r="I6" s="20">
        <f>97.4620441443042/100</f>
        <v>0.97462044144304205</v>
      </c>
      <c r="J6" s="16">
        <f t="shared" ref="J6" si="7">H6*I6</f>
        <v>0.92999948245792829</v>
      </c>
      <c r="K6" s="17"/>
      <c r="L6" s="18"/>
      <c r="M6" s="18">
        <f>L6*$J$6</f>
        <v>0</v>
      </c>
      <c r="N6" s="18"/>
      <c r="O6" s="18">
        <f>N6*$J$6</f>
        <v>0</v>
      </c>
      <c r="P6" s="18"/>
      <c r="Q6" s="18">
        <f>P6*$J$6</f>
        <v>0</v>
      </c>
      <c r="R6" s="18"/>
      <c r="S6" s="18">
        <f>R6*$J$6</f>
        <v>0</v>
      </c>
      <c r="T6" s="18">
        <f>R6+P6+N6+L6</f>
        <v>0</v>
      </c>
      <c r="U6" s="18">
        <f>S6+Q6+O6+M6</f>
        <v>0</v>
      </c>
      <c r="V6" s="17">
        <v>1329724</v>
      </c>
      <c r="W6" s="18"/>
      <c r="X6" s="18">
        <f>W6*$J$6</f>
        <v>0</v>
      </c>
      <c r="Y6" s="18">
        <v>1107924.5</v>
      </c>
      <c r="Z6" s="18">
        <f>Y6*$J$6</f>
        <v>1030369.211602459</v>
      </c>
      <c r="AA6" s="18">
        <v>892014.4</v>
      </c>
      <c r="AB6" s="18">
        <f>AA6*$J$6</f>
        <v>829572.93034501944</v>
      </c>
      <c r="AC6" s="18"/>
      <c r="AD6" s="18">
        <f>AC6*$J$6</f>
        <v>0</v>
      </c>
      <c r="AE6" s="18">
        <f>AC6+AA6+Y6+W6</f>
        <v>1999938.9</v>
      </c>
      <c r="AF6" s="18">
        <f>AD6+AB6+Z6+X6</f>
        <v>1859942.1419474785</v>
      </c>
      <c r="AG6" s="17">
        <v>1438661</v>
      </c>
      <c r="AH6" s="18"/>
      <c r="AI6" s="18">
        <f>AH6*$J$6</f>
        <v>0</v>
      </c>
      <c r="AJ6" s="18">
        <v>959802.8</v>
      </c>
      <c r="AK6" s="18">
        <f>AJ6*$J$6</f>
        <v>892616.10726167052</v>
      </c>
      <c r="AL6" s="18"/>
      <c r="AM6" s="18">
        <f>AL6*$J$6</f>
        <v>0</v>
      </c>
      <c r="AN6" s="18"/>
      <c r="AO6" s="18">
        <f>AN6*$J$6</f>
        <v>0</v>
      </c>
      <c r="AP6" s="18">
        <f>AN6+AL6+AJ6+AH6</f>
        <v>959802.8</v>
      </c>
      <c r="AQ6" s="18">
        <f>AO6+AM6+AK6+AI6</f>
        <v>892616.10726167052</v>
      </c>
      <c r="AR6" s="17"/>
      <c r="AS6" s="18"/>
      <c r="AT6" s="18">
        <f>AS6*$J$6</f>
        <v>0</v>
      </c>
      <c r="AU6" s="18"/>
      <c r="AV6" s="18">
        <f>AU6*$J$6</f>
        <v>0</v>
      </c>
      <c r="AW6" s="18"/>
      <c r="AX6" s="18">
        <f>AW6*$J$6</f>
        <v>0</v>
      </c>
      <c r="AY6" s="18"/>
      <c r="AZ6" s="18">
        <f>AY6*$J$6</f>
        <v>0</v>
      </c>
      <c r="BA6" s="18">
        <f>AY6+AW6+AU6+AS6</f>
        <v>0</v>
      </c>
      <c r="BB6" s="18">
        <f t="shared" si="5"/>
        <v>0</v>
      </c>
      <c r="BC6" s="18"/>
      <c r="BD6" s="18">
        <f>BC6*$J$6</f>
        <v>0</v>
      </c>
      <c r="BE6" s="18"/>
      <c r="BF6" s="17">
        <f t="shared" ref="BF6:BF11" si="8">K6+V6+AG6+AR6</f>
        <v>2768385</v>
      </c>
      <c r="BG6" s="17">
        <f t="shared" ref="BG6:BG11" si="9">BA6+AP6+AE6+T6</f>
        <v>2959741.7</v>
      </c>
      <c r="BH6" s="17">
        <f t="shared" si="0"/>
        <v>2752558.2492091488</v>
      </c>
    </row>
    <row r="7" spans="1:65" ht="15.5" x14ac:dyDescent="0.35">
      <c r="A7" t="s">
        <v>39</v>
      </c>
      <c r="B7" s="19">
        <f>94.1287856782451/100</f>
        <v>0.94128785678245097</v>
      </c>
      <c r="C7" s="20">
        <f>100/100</f>
        <v>1</v>
      </c>
      <c r="D7" s="16">
        <f t="shared" si="6"/>
        <v>0.94128785678245097</v>
      </c>
      <c r="E7" s="19">
        <f>94.12878905157/100</f>
        <v>0.94128789051569994</v>
      </c>
      <c r="F7" s="20">
        <f>100/100</f>
        <v>1</v>
      </c>
      <c r="G7" s="16">
        <f t="shared" si="1"/>
        <v>0.94128789051569994</v>
      </c>
      <c r="H7" s="22" t="s">
        <v>36</v>
      </c>
      <c r="I7" s="23" t="s">
        <v>36</v>
      </c>
      <c r="J7" s="21" t="s">
        <v>36</v>
      </c>
      <c r="K7" s="17"/>
      <c r="L7" s="18"/>
      <c r="M7" s="18">
        <f>L7*$G$7</f>
        <v>0</v>
      </c>
      <c r="N7" s="18"/>
      <c r="O7" s="18">
        <f>N7*$G$7</f>
        <v>0</v>
      </c>
      <c r="P7" s="18"/>
      <c r="Q7" s="18">
        <f>P7*$G$7</f>
        <v>0</v>
      </c>
      <c r="R7" s="18"/>
      <c r="S7" s="18">
        <f>R7*$G$7</f>
        <v>0</v>
      </c>
      <c r="T7" s="18">
        <f t="shared" si="2"/>
        <v>0</v>
      </c>
      <c r="U7" s="18">
        <f t="shared" si="2"/>
        <v>0</v>
      </c>
      <c r="V7" s="17"/>
      <c r="W7" s="18"/>
      <c r="X7" s="18">
        <f>W7*$G$7</f>
        <v>0</v>
      </c>
      <c r="Y7" s="18"/>
      <c r="Z7" s="18">
        <f>Y7*$G$7</f>
        <v>0</v>
      </c>
      <c r="AA7" s="18"/>
      <c r="AB7" s="18">
        <f>AA7*$G$7</f>
        <v>0</v>
      </c>
      <c r="AC7" s="18"/>
      <c r="AD7" s="18">
        <f>AC7*$G$7</f>
        <v>0</v>
      </c>
      <c r="AE7" s="18">
        <f t="shared" si="3"/>
        <v>0</v>
      </c>
      <c r="AF7" s="18">
        <f t="shared" si="3"/>
        <v>0</v>
      </c>
      <c r="AG7" s="17"/>
      <c r="AH7" s="18"/>
      <c r="AI7" s="18">
        <f>AH7*$G$7</f>
        <v>0</v>
      </c>
      <c r="AJ7" s="18"/>
      <c r="AK7" s="18">
        <f>AJ7*$G$7</f>
        <v>0</v>
      </c>
      <c r="AL7" s="18"/>
      <c r="AM7" s="18">
        <f>AL7*$G$7</f>
        <v>0</v>
      </c>
      <c r="AN7" s="18"/>
      <c r="AO7" s="18">
        <f>AN7*$G$7</f>
        <v>0</v>
      </c>
      <c r="AP7" s="18">
        <f t="shared" si="4"/>
        <v>0</v>
      </c>
      <c r="AQ7" s="18">
        <f t="shared" si="4"/>
        <v>0</v>
      </c>
      <c r="AR7" s="17"/>
      <c r="AS7" s="18"/>
      <c r="AT7" s="18">
        <f>AS7*$G$7</f>
        <v>0</v>
      </c>
      <c r="AU7" s="18"/>
      <c r="AV7" s="18">
        <f>AU7*$G$7</f>
        <v>0</v>
      </c>
      <c r="AW7" s="18"/>
      <c r="AX7" s="18">
        <f>AW7*$G$7</f>
        <v>0</v>
      </c>
      <c r="AY7" s="18"/>
      <c r="AZ7" s="18">
        <f>AY7*$G$7</f>
        <v>0</v>
      </c>
      <c r="BA7" s="18">
        <f t="shared" si="5"/>
        <v>0</v>
      </c>
      <c r="BB7" s="18">
        <f t="shared" si="5"/>
        <v>0</v>
      </c>
      <c r="BC7" s="18"/>
      <c r="BD7" s="18">
        <f>BC7*$G$7</f>
        <v>0</v>
      </c>
      <c r="BE7" s="18"/>
      <c r="BF7" s="17">
        <f t="shared" si="8"/>
        <v>0</v>
      </c>
      <c r="BG7" s="17">
        <f t="shared" si="9"/>
        <v>0</v>
      </c>
      <c r="BH7" s="17">
        <f t="shared" si="0"/>
        <v>0</v>
      </c>
    </row>
    <row r="8" spans="1:65" ht="15.5" x14ac:dyDescent="0.35">
      <c r="A8" t="s">
        <v>40</v>
      </c>
      <c r="B8" s="19">
        <f>71.5790475094142/100</f>
        <v>0.71579047509414195</v>
      </c>
      <c r="C8" s="20">
        <f>94.3521526442189/100</f>
        <v>0.94352152644218901</v>
      </c>
      <c r="D8" s="16">
        <f t="shared" si="6"/>
        <v>0.67536372167360448</v>
      </c>
      <c r="E8" s="19">
        <f>71.5790479667689/100</f>
        <v>0.71579047966768894</v>
      </c>
      <c r="F8" s="20">
        <f>94.3453044054252/100</f>
        <v>0.94345304405425201</v>
      </c>
      <c r="G8" s="16">
        <f t="shared" si="1"/>
        <v>0.67531470694753426</v>
      </c>
      <c r="H8" s="19">
        <f>71.5817694369973/100</f>
        <v>0.715817694369973</v>
      </c>
      <c r="I8" s="20">
        <f>95.3222222222222/100</f>
        <v>0.95322222222222197</v>
      </c>
      <c r="J8" s="16">
        <f t="shared" ref="J8:J9" si="10">H8*I8</f>
        <v>0.68233333333333301</v>
      </c>
      <c r="K8" s="17"/>
      <c r="L8" s="18"/>
      <c r="M8" s="18">
        <f>L8*J8</f>
        <v>0</v>
      </c>
      <c r="N8" s="18"/>
      <c r="O8" s="18">
        <f>N8*M8</f>
        <v>0</v>
      </c>
      <c r="P8" s="18"/>
      <c r="Q8" s="18">
        <f>P8*O8</f>
        <v>0</v>
      </c>
      <c r="R8" s="18"/>
      <c r="S8" s="18">
        <f>R8*Q8</f>
        <v>0</v>
      </c>
      <c r="T8" s="18">
        <f t="shared" si="2"/>
        <v>0</v>
      </c>
      <c r="U8" s="18">
        <f t="shared" si="2"/>
        <v>0</v>
      </c>
      <c r="V8" s="17"/>
      <c r="W8" s="18"/>
      <c r="X8" s="18">
        <f>W8*U8</f>
        <v>0</v>
      </c>
      <c r="Y8" s="18"/>
      <c r="Z8" s="18">
        <f>Y8*X8</f>
        <v>0</v>
      </c>
      <c r="AA8" s="18"/>
      <c r="AB8" s="18">
        <f>AA8*Z8</f>
        <v>0</v>
      </c>
      <c r="AC8" s="18"/>
      <c r="AD8" s="18">
        <f>AC8*AB8</f>
        <v>0</v>
      </c>
      <c r="AE8" s="18">
        <f t="shared" si="3"/>
        <v>0</v>
      </c>
      <c r="AF8" s="18">
        <f t="shared" si="3"/>
        <v>0</v>
      </c>
      <c r="AG8" s="17"/>
      <c r="AH8" s="18"/>
      <c r="AI8" s="18">
        <f>AH8*AF8</f>
        <v>0</v>
      </c>
      <c r="AJ8" s="18"/>
      <c r="AK8" s="18">
        <f>AJ8*AI8</f>
        <v>0</v>
      </c>
      <c r="AL8" s="18"/>
      <c r="AM8" s="18">
        <f>AL8*AK8</f>
        <v>0</v>
      </c>
      <c r="AN8" s="18"/>
      <c r="AO8" s="18">
        <f>AN8*AM8</f>
        <v>0</v>
      </c>
      <c r="AP8" s="18">
        <f t="shared" si="4"/>
        <v>0</v>
      </c>
      <c r="AQ8" s="18">
        <f t="shared" si="4"/>
        <v>0</v>
      </c>
      <c r="AR8" s="17"/>
      <c r="AS8" s="18"/>
      <c r="AT8" s="18">
        <f>AS8*AQ8</f>
        <v>0</v>
      </c>
      <c r="AU8" s="18"/>
      <c r="AV8" s="18">
        <f>AU8*AT8</f>
        <v>0</v>
      </c>
      <c r="AW8" s="18"/>
      <c r="AX8" s="18">
        <f>AW8*AV8</f>
        <v>0</v>
      </c>
      <c r="AY8" s="18"/>
      <c r="AZ8" s="18">
        <f>AY8*AX8</f>
        <v>0</v>
      </c>
      <c r="BA8" s="18">
        <f t="shared" si="5"/>
        <v>0</v>
      </c>
      <c r="BB8" s="18">
        <f t="shared" si="5"/>
        <v>0</v>
      </c>
      <c r="BC8" s="18"/>
      <c r="BD8" s="18">
        <f>BC8*BB8</f>
        <v>0</v>
      </c>
      <c r="BE8" s="18"/>
      <c r="BF8" s="17">
        <f t="shared" si="8"/>
        <v>0</v>
      </c>
      <c r="BG8" s="17">
        <f t="shared" si="9"/>
        <v>0</v>
      </c>
      <c r="BH8" s="17">
        <f t="shared" si="0"/>
        <v>0</v>
      </c>
    </row>
    <row r="9" spans="1:65" ht="15.5" x14ac:dyDescent="0.35">
      <c r="A9" t="s">
        <v>41</v>
      </c>
      <c r="B9" s="19">
        <f>56.6187218789087/100</f>
        <v>0.56618721878908707</v>
      </c>
      <c r="C9" s="20">
        <f>102.345168006917/100</f>
        <v>1.02345168006917</v>
      </c>
      <c r="D9" s="16">
        <f t="shared" si="6"/>
        <v>0.57946526030338186</v>
      </c>
      <c r="E9" s="19">
        <f>56.6446350333497/100</f>
        <v>0.566446350333497</v>
      </c>
      <c r="F9" s="20">
        <f>109.975522865141/100</f>
        <v>1.0997552286514101</v>
      </c>
      <c r="G9" s="16">
        <f t="shared" si="1"/>
        <v>0.62295233552977169</v>
      </c>
      <c r="H9" s="19">
        <f>56.6186546247275/100</f>
        <v>0.56618654624727494</v>
      </c>
      <c r="I9" s="20">
        <f>114.145552464829/100</f>
        <v>1.14145552464829</v>
      </c>
      <c r="J9" s="16">
        <f t="shared" si="10"/>
        <v>0.64627676119548649</v>
      </c>
      <c r="K9" s="17"/>
      <c r="L9" s="18"/>
      <c r="M9" s="18">
        <f>L9*$J$9</f>
        <v>0</v>
      </c>
      <c r="N9" s="18"/>
      <c r="O9" s="18">
        <f>N9*$J$9</f>
        <v>0</v>
      </c>
      <c r="P9" s="18"/>
      <c r="Q9" s="18">
        <f>P9*$J$9</f>
        <v>0</v>
      </c>
      <c r="R9" s="18"/>
      <c r="S9" s="18">
        <f>R9*$J$9</f>
        <v>0</v>
      </c>
      <c r="T9" s="18">
        <f t="shared" si="2"/>
        <v>0</v>
      </c>
      <c r="U9" s="18">
        <f t="shared" si="2"/>
        <v>0</v>
      </c>
      <c r="V9" s="17"/>
      <c r="W9" s="18"/>
      <c r="X9" s="18">
        <f>W9*$J$9</f>
        <v>0</v>
      </c>
      <c r="Y9" s="18"/>
      <c r="Z9" s="18">
        <f>Y9*$J$9</f>
        <v>0</v>
      </c>
      <c r="AA9" s="18"/>
      <c r="AB9" s="18">
        <f>AA9*$J$9</f>
        <v>0</v>
      </c>
      <c r="AC9" s="18"/>
      <c r="AD9" s="18">
        <f>AC9*$J$9</f>
        <v>0</v>
      </c>
      <c r="AE9" s="18">
        <f t="shared" si="3"/>
        <v>0</v>
      </c>
      <c r="AF9" s="18">
        <f t="shared" si="3"/>
        <v>0</v>
      </c>
      <c r="AG9" s="17"/>
      <c r="AH9" s="18"/>
      <c r="AI9" s="18">
        <f>AH9*$J$9</f>
        <v>0</v>
      </c>
      <c r="AJ9" s="18"/>
      <c r="AK9" s="18">
        <f>AJ9*$J$9</f>
        <v>0</v>
      </c>
      <c r="AL9" s="18"/>
      <c r="AM9" s="18">
        <f>AL9*$J$9</f>
        <v>0</v>
      </c>
      <c r="AN9" s="18"/>
      <c r="AO9" s="18">
        <f>AN9*$J$9</f>
        <v>0</v>
      </c>
      <c r="AP9" s="18">
        <f t="shared" si="4"/>
        <v>0</v>
      </c>
      <c r="AQ9" s="18">
        <f t="shared" si="4"/>
        <v>0</v>
      </c>
      <c r="AR9" s="17"/>
      <c r="AS9" s="18"/>
      <c r="AT9" s="18">
        <f>AS9*$J$9</f>
        <v>0</v>
      </c>
      <c r="AU9" s="18"/>
      <c r="AV9" s="18">
        <f>AU9*$J$9</f>
        <v>0</v>
      </c>
      <c r="AW9" s="18"/>
      <c r="AX9" s="18">
        <f>AW9*$J$9</f>
        <v>0</v>
      </c>
      <c r="AY9" s="18"/>
      <c r="AZ9" s="18">
        <f>AY9*$J$9</f>
        <v>0</v>
      </c>
      <c r="BA9" s="18">
        <f t="shared" si="5"/>
        <v>0</v>
      </c>
      <c r="BB9" s="18">
        <f t="shared" si="5"/>
        <v>0</v>
      </c>
      <c r="BC9" s="18"/>
      <c r="BD9" s="18">
        <f>BC9*$J$9</f>
        <v>0</v>
      </c>
      <c r="BE9" s="18"/>
      <c r="BF9" s="17">
        <f t="shared" si="8"/>
        <v>0</v>
      </c>
      <c r="BG9" s="17">
        <f t="shared" si="9"/>
        <v>0</v>
      </c>
      <c r="BH9" s="17">
        <f t="shared" si="0"/>
        <v>0</v>
      </c>
    </row>
    <row r="10" spans="1:65" ht="15.5" x14ac:dyDescent="0.35">
      <c r="A10" t="s">
        <v>42</v>
      </c>
      <c r="B10" s="19">
        <f>99.8647354051409/100</f>
        <v>0.99864735405140903</v>
      </c>
      <c r="C10" s="20">
        <f>86.6764870412701/100</f>
        <v>0.86676487041270089</v>
      </c>
      <c r="D10" s="16">
        <f t="shared" si="6"/>
        <v>0.86559244442235617</v>
      </c>
      <c r="E10" s="19">
        <f>94.2617885249844/100</f>
        <v>0.94261788524984391</v>
      </c>
      <c r="F10" s="20">
        <f>86.6764925586958/100</f>
        <v>0.86676492558695795</v>
      </c>
      <c r="G10" s="16">
        <f t="shared" si="1"/>
        <v>0.8170281211655166</v>
      </c>
      <c r="H10" s="22" t="s">
        <v>36</v>
      </c>
      <c r="I10" s="23" t="s">
        <v>36</v>
      </c>
      <c r="J10" s="21" t="s">
        <v>36</v>
      </c>
      <c r="K10" s="24"/>
      <c r="L10" s="18"/>
      <c r="M10" s="18">
        <f>L10*$G$10</f>
        <v>0</v>
      </c>
      <c r="N10" s="18"/>
      <c r="O10" s="18">
        <f>N10*$G$10</f>
        <v>0</v>
      </c>
      <c r="P10" s="18"/>
      <c r="Q10" s="18">
        <f>P10*$G$10</f>
        <v>0</v>
      </c>
      <c r="R10" s="18"/>
      <c r="S10" s="18">
        <f>R10*$G$10</f>
        <v>0</v>
      </c>
      <c r="T10" s="18">
        <f t="shared" si="2"/>
        <v>0</v>
      </c>
      <c r="U10" s="18">
        <f t="shared" si="2"/>
        <v>0</v>
      </c>
      <c r="V10" s="24"/>
      <c r="W10" s="18"/>
      <c r="X10" s="18">
        <f>W10*$G$10</f>
        <v>0</v>
      </c>
      <c r="Y10" s="18"/>
      <c r="Z10" s="18">
        <f>Y10*$G$10</f>
        <v>0</v>
      </c>
      <c r="AA10" s="18"/>
      <c r="AB10" s="18">
        <f>AA10*$G$10</f>
        <v>0</v>
      </c>
      <c r="AC10" s="18"/>
      <c r="AD10" s="18">
        <f>AC10*$G$10</f>
        <v>0</v>
      </c>
      <c r="AE10" s="18">
        <f t="shared" si="3"/>
        <v>0</v>
      </c>
      <c r="AF10" s="18">
        <f t="shared" si="3"/>
        <v>0</v>
      </c>
      <c r="AG10" s="24"/>
      <c r="AH10" s="18"/>
      <c r="AI10" s="18">
        <f>AH10*$G$10</f>
        <v>0</v>
      </c>
      <c r="AJ10" s="18"/>
      <c r="AK10" s="18">
        <f>AJ10*$G$10</f>
        <v>0</v>
      </c>
      <c r="AL10" s="18"/>
      <c r="AM10" s="18">
        <f>AL10*$G$10</f>
        <v>0</v>
      </c>
      <c r="AN10" s="18"/>
      <c r="AO10" s="18">
        <f>AN10*$G$10</f>
        <v>0</v>
      </c>
      <c r="AP10" s="18">
        <f t="shared" si="4"/>
        <v>0</v>
      </c>
      <c r="AQ10" s="18">
        <f t="shared" si="4"/>
        <v>0</v>
      </c>
      <c r="AR10" s="24"/>
      <c r="AS10" s="18"/>
      <c r="AT10" s="18">
        <f>AS10*$G$10</f>
        <v>0</v>
      </c>
      <c r="AU10" s="18"/>
      <c r="AV10" s="18">
        <f>AU10*$G$10</f>
        <v>0</v>
      </c>
      <c r="AW10" s="18"/>
      <c r="AX10" s="18">
        <f>AW10*$G$10</f>
        <v>0</v>
      </c>
      <c r="AY10" s="18"/>
      <c r="AZ10" s="18">
        <f>AY10*$G$10</f>
        <v>0</v>
      </c>
      <c r="BA10" s="18">
        <f t="shared" si="5"/>
        <v>0</v>
      </c>
      <c r="BB10" s="18">
        <f t="shared" si="5"/>
        <v>0</v>
      </c>
      <c r="BC10" s="18"/>
      <c r="BD10" s="18">
        <f>BC10*$G$10</f>
        <v>0</v>
      </c>
      <c r="BE10" s="18"/>
      <c r="BF10" s="17">
        <f t="shared" si="8"/>
        <v>0</v>
      </c>
      <c r="BG10" s="17">
        <f t="shared" si="9"/>
        <v>0</v>
      </c>
      <c r="BH10" s="17">
        <f t="shared" si="0"/>
        <v>0</v>
      </c>
    </row>
    <row r="11" spans="1:65" ht="15.5" x14ac:dyDescent="0.35">
      <c r="A11" s="25" t="s">
        <v>43</v>
      </c>
      <c r="B11" s="26">
        <f>78.5411718681552/100</f>
        <v>0.78541171868155202</v>
      </c>
      <c r="C11" s="27">
        <f>109.643694772933/100</f>
        <v>1.0964369477293301</v>
      </c>
      <c r="D11" s="16">
        <f t="shared" si="6"/>
        <v>0.86115442754204818</v>
      </c>
      <c r="E11" s="26">
        <f>78.1322237553607/100</f>
        <v>0.78132223755360697</v>
      </c>
      <c r="F11" s="27">
        <f>107.311695184877/100</f>
        <v>1.07311695184877</v>
      </c>
      <c r="G11" s="16">
        <f t="shared" si="1"/>
        <v>0.8384501379751873</v>
      </c>
      <c r="H11" s="26">
        <f>78.1484258483332/100</f>
        <v>0.78148425848333203</v>
      </c>
      <c r="I11" s="27">
        <f>108.188577275788/100</f>
        <v>1.0818857727578801</v>
      </c>
      <c r="J11" s="28">
        <f t="shared" ref="J11" si="11">H11*I11</f>
        <v>0.8454767008873586</v>
      </c>
      <c r="K11" s="29"/>
      <c r="L11" s="30"/>
      <c r="M11" s="30">
        <f>L11*$J$11</f>
        <v>0</v>
      </c>
      <c r="N11" s="30"/>
      <c r="O11" s="30">
        <f>N11*$J$11</f>
        <v>0</v>
      </c>
      <c r="P11" s="30"/>
      <c r="Q11" s="30">
        <f>P11*$J$11</f>
        <v>0</v>
      </c>
      <c r="R11" s="30"/>
      <c r="S11" s="30">
        <f>R11*$J$11</f>
        <v>0</v>
      </c>
      <c r="T11" s="30">
        <f t="shared" si="2"/>
        <v>0</v>
      </c>
      <c r="U11" s="30">
        <f t="shared" si="2"/>
        <v>0</v>
      </c>
      <c r="V11" s="29"/>
      <c r="W11" s="30"/>
      <c r="X11" s="30">
        <f>W11*$J$11</f>
        <v>0</v>
      </c>
      <c r="Y11" s="30"/>
      <c r="Z11" s="30">
        <f>Y11*$J$11</f>
        <v>0</v>
      </c>
      <c r="AA11" s="30"/>
      <c r="AB11" s="30">
        <f>AA11*$J$11</f>
        <v>0</v>
      </c>
      <c r="AC11" s="30"/>
      <c r="AD11" s="30">
        <f>AC11*$J$11</f>
        <v>0</v>
      </c>
      <c r="AE11" s="18">
        <f t="shared" si="3"/>
        <v>0</v>
      </c>
      <c r="AF11" s="18">
        <f t="shared" si="3"/>
        <v>0</v>
      </c>
      <c r="AG11" s="29"/>
      <c r="AH11" s="30"/>
      <c r="AI11" s="30">
        <f>AH11*$J$11</f>
        <v>0</v>
      </c>
      <c r="AJ11" s="30"/>
      <c r="AK11" s="30">
        <f>AJ11*$J$11</f>
        <v>0</v>
      </c>
      <c r="AL11" s="30"/>
      <c r="AM11" s="30">
        <f>AL11*$J$11</f>
        <v>0</v>
      </c>
      <c r="AN11" s="30"/>
      <c r="AO11" s="30">
        <f>AN11*$J$11</f>
        <v>0</v>
      </c>
      <c r="AP11" s="18">
        <f t="shared" si="4"/>
        <v>0</v>
      </c>
      <c r="AQ11" s="18">
        <f t="shared" si="4"/>
        <v>0</v>
      </c>
      <c r="AR11" s="29"/>
      <c r="AS11" s="30"/>
      <c r="AT11" s="30">
        <f>AS11*$J$11</f>
        <v>0</v>
      </c>
      <c r="AU11" s="30"/>
      <c r="AV11" s="30">
        <f>AU11*$J$11</f>
        <v>0</v>
      </c>
      <c r="AW11" s="30"/>
      <c r="AX11" s="30">
        <f>AW11*$J$11</f>
        <v>0</v>
      </c>
      <c r="AY11" s="30"/>
      <c r="AZ11" s="30">
        <f>AY11*$J$11</f>
        <v>0</v>
      </c>
      <c r="BA11" s="18">
        <f t="shared" si="5"/>
        <v>0</v>
      </c>
      <c r="BB11" s="18">
        <f t="shared" si="5"/>
        <v>0</v>
      </c>
      <c r="BC11" s="18"/>
      <c r="BD11" s="30">
        <f>BC11*$J$11</f>
        <v>0</v>
      </c>
      <c r="BE11" s="18"/>
      <c r="BF11" s="17">
        <f t="shared" si="8"/>
        <v>0</v>
      </c>
      <c r="BG11" s="17">
        <f t="shared" si="9"/>
        <v>0</v>
      </c>
      <c r="BH11" s="17">
        <f t="shared" si="0"/>
        <v>0</v>
      </c>
    </row>
    <row r="12" spans="1:65" x14ac:dyDescent="0.35">
      <c r="A12" s="31" t="s">
        <v>34</v>
      </c>
      <c r="B12" s="31"/>
      <c r="C12" s="31"/>
      <c r="D12" s="31"/>
      <c r="E12" s="31"/>
      <c r="F12" s="31"/>
      <c r="G12" s="31"/>
      <c r="H12" s="31"/>
      <c r="I12" s="31"/>
      <c r="J12" s="32"/>
      <c r="K12" s="33">
        <f>SUM(K4:K11)</f>
        <v>0</v>
      </c>
      <c r="L12" s="34"/>
      <c r="M12" s="34"/>
      <c r="N12" s="34"/>
      <c r="O12" s="34"/>
      <c r="P12" s="34"/>
      <c r="Q12" s="34"/>
      <c r="R12" s="34"/>
      <c r="S12" s="34"/>
      <c r="T12" s="35">
        <f>SUM(T4:T11)</f>
        <v>0</v>
      </c>
      <c r="U12" s="35">
        <f>SUM(U4:U11)</f>
        <v>0</v>
      </c>
      <c r="V12" s="33">
        <f>SUM(V4:V11)</f>
        <v>1329724</v>
      </c>
      <c r="W12" s="34"/>
      <c r="X12" s="34"/>
      <c r="Y12" s="34"/>
      <c r="Z12" s="34"/>
      <c r="AA12" s="34"/>
      <c r="AB12" s="34"/>
      <c r="AC12" s="34"/>
      <c r="AD12" s="34"/>
      <c r="AE12" s="35">
        <f>SUM(AE4:AE11)</f>
        <v>1999938.9</v>
      </c>
      <c r="AF12" s="35">
        <f>SUM(AF4:AF11)</f>
        <v>1859942.1419474785</v>
      </c>
      <c r="AG12" s="33">
        <f>SUM(AG4:AG11)</f>
        <v>1438661</v>
      </c>
      <c r="AH12" s="33"/>
      <c r="AI12" s="33"/>
      <c r="AJ12" s="33"/>
      <c r="AK12" s="33"/>
      <c r="AL12" s="33"/>
      <c r="AM12" s="33"/>
      <c r="AN12" s="33"/>
      <c r="AO12" s="33"/>
      <c r="AP12" s="35">
        <f>SUM(AP4:AP11)</f>
        <v>959802.8</v>
      </c>
      <c r="AQ12" s="35">
        <f>SUM(AQ4:AQ11)</f>
        <v>892616.10726167052</v>
      </c>
      <c r="AR12" s="33">
        <f>SUM(AR4:AR11)</f>
        <v>0</v>
      </c>
      <c r="AS12" s="33"/>
      <c r="AT12" s="33"/>
      <c r="AU12" s="33"/>
      <c r="AV12" s="33"/>
      <c r="AW12" s="33"/>
      <c r="AX12" s="33"/>
      <c r="AY12" s="33"/>
      <c r="AZ12" s="33"/>
      <c r="BA12" s="35">
        <f>SUM(BA4:BA11)</f>
        <v>0</v>
      </c>
      <c r="BB12" s="35">
        <f>SUM(BB4:BB11)</f>
        <v>0</v>
      </c>
      <c r="BC12" s="35"/>
      <c r="BD12" s="35"/>
      <c r="BE12" s="35"/>
      <c r="BF12" s="33">
        <f>SUM(BF5:BF11)</f>
        <v>2768385</v>
      </c>
      <c r="BG12" s="33">
        <f>SUM(BG4:BG11)</f>
        <v>2959741.7</v>
      </c>
      <c r="BH12" s="33">
        <f>SUM(BH4:BH11)</f>
        <v>2752558.2492091488</v>
      </c>
    </row>
    <row r="13" spans="1:65" ht="58" x14ac:dyDescent="0.35">
      <c r="A13" s="36"/>
      <c r="B13" s="46" t="s">
        <v>1</v>
      </c>
      <c r="C13" s="47"/>
      <c r="D13" s="48"/>
      <c r="E13" s="46" t="s">
        <v>2</v>
      </c>
      <c r="F13" s="47"/>
      <c r="G13" s="48"/>
      <c r="H13" s="46" t="s">
        <v>3</v>
      </c>
      <c r="I13" s="47"/>
      <c r="J13" s="48"/>
      <c r="K13" s="6" t="s">
        <v>4</v>
      </c>
      <c r="L13" s="7" t="s">
        <v>5</v>
      </c>
      <c r="M13" s="7" t="s">
        <v>6</v>
      </c>
      <c r="N13" s="7" t="s">
        <v>7</v>
      </c>
      <c r="O13" s="7" t="s">
        <v>8</v>
      </c>
      <c r="P13" s="7" t="s">
        <v>9</v>
      </c>
      <c r="Q13" s="7" t="s">
        <v>10</v>
      </c>
      <c r="R13" s="7" t="s">
        <v>11</v>
      </c>
      <c r="S13" s="7" t="s">
        <v>12</v>
      </c>
      <c r="T13" s="7" t="s">
        <v>13</v>
      </c>
      <c r="U13" s="7" t="s">
        <v>14</v>
      </c>
      <c r="V13" s="6" t="s">
        <v>4</v>
      </c>
      <c r="W13" s="7" t="s">
        <v>5</v>
      </c>
      <c r="X13" s="7" t="s">
        <v>6</v>
      </c>
      <c r="Y13" s="7" t="s">
        <v>7</v>
      </c>
      <c r="Z13" s="7" t="s">
        <v>8</v>
      </c>
      <c r="AA13" s="7" t="s">
        <v>9</v>
      </c>
      <c r="AB13" s="7" t="s">
        <v>10</v>
      </c>
      <c r="AC13" s="7" t="s">
        <v>11</v>
      </c>
      <c r="AD13" s="7" t="s">
        <v>12</v>
      </c>
      <c r="AE13" s="7" t="s">
        <v>15</v>
      </c>
      <c r="AF13" s="7" t="s">
        <v>16</v>
      </c>
      <c r="AG13" s="6" t="s">
        <v>4</v>
      </c>
      <c r="AH13" s="7" t="s">
        <v>5</v>
      </c>
      <c r="AI13" s="7" t="s">
        <v>6</v>
      </c>
      <c r="AJ13" s="7" t="s">
        <v>7</v>
      </c>
      <c r="AK13" s="7" t="s">
        <v>8</v>
      </c>
      <c r="AL13" s="7" t="s">
        <v>9</v>
      </c>
      <c r="AM13" s="7" t="s">
        <v>10</v>
      </c>
      <c r="AN13" s="7" t="s">
        <v>11</v>
      </c>
      <c r="AO13" s="7" t="s">
        <v>12</v>
      </c>
      <c r="AP13" s="7" t="s">
        <v>17</v>
      </c>
      <c r="AQ13" s="7" t="s">
        <v>18</v>
      </c>
      <c r="AR13" s="6" t="s">
        <v>4</v>
      </c>
      <c r="AS13" s="7" t="s">
        <v>5</v>
      </c>
      <c r="AT13" s="7" t="s">
        <v>6</v>
      </c>
      <c r="AU13" s="7" t="s">
        <v>7</v>
      </c>
      <c r="AV13" s="7" t="s">
        <v>8</v>
      </c>
      <c r="AW13" s="7" t="s">
        <v>9</v>
      </c>
      <c r="AX13" s="7" t="s">
        <v>10</v>
      </c>
      <c r="AY13" s="7" t="s">
        <v>11</v>
      </c>
      <c r="AZ13" s="7" t="s">
        <v>12</v>
      </c>
      <c r="BA13" s="7" t="s">
        <v>19</v>
      </c>
      <c r="BB13" s="7" t="s">
        <v>20</v>
      </c>
      <c r="BC13" s="7" t="s">
        <v>11</v>
      </c>
      <c r="BD13" s="7" t="s">
        <v>12</v>
      </c>
      <c r="BE13" s="7" t="s">
        <v>21</v>
      </c>
      <c r="BF13" s="8" t="s">
        <v>22</v>
      </c>
      <c r="BG13" s="8" t="s">
        <v>23</v>
      </c>
      <c r="BH13" s="8" t="s">
        <v>24</v>
      </c>
    </row>
    <row r="14" spans="1:65" ht="15.5" x14ac:dyDescent="0.35">
      <c r="A14" s="5" t="s">
        <v>44</v>
      </c>
      <c r="B14" s="4" t="s">
        <v>26</v>
      </c>
      <c r="C14" s="5" t="s">
        <v>27</v>
      </c>
      <c r="D14" s="9" t="s">
        <v>28</v>
      </c>
      <c r="E14" s="4" t="s">
        <v>26</v>
      </c>
      <c r="F14" s="5" t="s">
        <v>27</v>
      </c>
      <c r="G14" s="9" t="s">
        <v>28</v>
      </c>
      <c r="H14" s="4" t="s">
        <v>26</v>
      </c>
      <c r="I14" s="5" t="s">
        <v>27</v>
      </c>
      <c r="J14" s="9" t="s">
        <v>28</v>
      </c>
      <c r="K14" s="37" t="s">
        <v>29</v>
      </c>
      <c r="L14" s="11" t="s">
        <v>29</v>
      </c>
      <c r="M14" s="11" t="s">
        <v>29</v>
      </c>
      <c r="N14" s="11" t="s">
        <v>29</v>
      </c>
      <c r="O14" s="11" t="s">
        <v>29</v>
      </c>
      <c r="P14" s="11" t="s">
        <v>29</v>
      </c>
      <c r="Q14" s="11" t="s">
        <v>29</v>
      </c>
      <c r="R14" s="11" t="s">
        <v>29</v>
      </c>
      <c r="S14" s="11" t="s">
        <v>29</v>
      </c>
      <c r="T14" s="11" t="s">
        <v>29</v>
      </c>
      <c r="U14" s="11" t="s">
        <v>29</v>
      </c>
      <c r="V14" s="11" t="s">
        <v>30</v>
      </c>
      <c r="W14" s="11" t="s">
        <v>30</v>
      </c>
      <c r="X14" s="11" t="s">
        <v>30</v>
      </c>
      <c r="Y14" s="11" t="s">
        <v>30</v>
      </c>
      <c r="Z14" s="11" t="s">
        <v>30</v>
      </c>
      <c r="AA14" s="11" t="s">
        <v>30</v>
      </c>
      <c r="AB14" s="11" t="s">
        <v>30</v>
      </c>
      <c r="AC14" s="11" t="s">
        <v>30</v>
      </c>
      <c r="AD14" s="11" t="s">
        <v>30</v>
      </c>
      <c r="AE14" s="11" t="s">
        <v>30</v>
      </c>
      <c r="AF14" s="11" t="s">
        <v>30</v>
      </c>
      <c r="AG14" s="11" t="s">
        <v>31</v>
      </c>
      <c r="AH14" s="38" t="s">
        <v>31</v>
      </c>
      <c r="AI14" s="38" t="s">
        <v>31</v>
      </c>
      <c r="AJ14" s="38" t="s">
        <v>31</v>
      </c>
      <c r="AK14" s="38" t="s">
        <v>31</v>
      </c>
      <c r="AL14" s="38" t="s">
        <v>31</v>
      </c>
      <c r="AM14" s="38" t="s">
        <v>31</v>
      </c>
      <c r="AN14" s="38" t="s">
        <v>31</v>
      </c>
      <c r="AO14" s="38" t="s">
        <v>31</v>
      </c>
      <c r="AP14" s="38" t="s">
        <v>31</v>
      </c>
      <c r="AQ14" s="38" t="s">
        <v>31</v>
      </c>
      <c r="AR14" s="10" t="s">
        <v>32</v>
      </c>
      <c r="AS14" s="11" t="s">
        <v>32</v>
      </c>
      <c r="AT14" s="11" t="s">
        <v>32</v>
      </c>
      <c r="AU14" s="11" t="s">
        <v>32</v>
      </c>
      <c r="AV14" s="11" t="s">
        <v>32</v>
      </c>
      <c r="AW14" s="11" t="s">
        <v>32</v>
      </c>
      <c r="AX14" s="11" t="s">
        <v>32</v>
      </c>
      <c r="AY14" s="11" t="s">
        <v>32</v>
      </c>
      <c r="AZ14" s="11" t="s">
        <v>32</v>
      </c>
      <c r="BA14" s="11" t="s">
        <v>32</v>
      </c>
      <c r="BB14" s="11" t="s">
        <v>32</v>
      </c>
      <c r="BC14" s="10" t="s">
        <v>33</v>
      </c>
      <c r="BD14" s="10" t="s">
        <v>33</v>
      </c>
      <c r="BE14" s="10" t="s">
        <v>33</v>
      </c>
      <c r="BF14" s="39" t="s">
        <v>34</v>
      </c>
      <c r="BG14" s="39" t="s">
        <v>34</v>
      </c>
      <c r="BH14" s="39" t="s">
        <v>34</v>
      </c>
    </row>
    <row r="15" spans="1:65" ht="15.5" x14ac:dyDescent="0.35">
      <c r="A15" t="s">
        <v>35</v>
      </c>
      <c r="B15" s="13" t="s">
        <v>36</v>
      </c>
      <c r="C15" s="14" t="s">
        <v>36</v>
      </c>
      <c r="D15" s="15"/>
      <c r="E15" s="13" t="s">
        <v>36</v>
      </c>
      <c r="F15" s="14" t="s">
        <v>36</v>
      </c>
      <c r="G15" s="14" t="s">
        <v>36</v>
      </c>
      <c r="H15" s="13" t="s">
        <v>36</v>
      </c>
      <c r="I15" s="14" t="s">
        <v>36</v>
      </c>
      <c r="J15" s="16">
        <v>1</v>
      </c>
      <c r="K15" s="17"/>
      <c r="L15" s="18"/>
      <c r="M15" s="18">
        <f>L15*$J$15</f>
        <v>0</v>
      </c>
      <c r="N15" s="18"/>
      <c r="O15" s="18">
        <f>N15*$J$15</f>
        <v>0</v>
      </c>
      <c r="P15" s="18"/>
      <c r="Q15" s="18">
        <f>P15*$J$15</f>
        <v>0</v>
      </c>
      <c r="R15" s="18"/>
      <c r="S15" s="18">
        <f>R15*$J$15</f>
        <v>0</v>
      </c>
      <c r="T15" s="18">
        <f t="shared" ref="T15:U22" si="12">R15+P15+N15+L15</f>
        <v>0</v>
      </c>
      <c r="U15" s="18">
        <f t="shared" si="12"/>
        <v>0</v>
      </c>
      <c r="V15" s="17"/>
      <c r="W15" s="18"/>
      <c r="X15" s="18">
        <f>W15*$J$15</f>
        <v>0</v>
      </c>
      <c r="Y15" s="18"/>
      <c r="Z15" s="18">
        <f>Y15*$J$15</f>
        <v>0</v>
      </c>
      <c r="AA15" s="18"/>
      <c r="AB15" s="18">
        <f>AA15*$J$15</f>
        <v>0</v>
      </c>
      <c r="AC15" s="18"/>
      <c r="AD15" s="18">
        <f>AC15*$J$15</f>
        <v>0</v>
      </c>
      <c r="AE15" s="18">
        <f t="shared" ref="AE15:AF22" si="13">AC15+AA15+Y15+W15</f>
        <v>0</v>
      </c>
      <c r="AF15" s="18">
        <f t="shared" si="13"/>
        <v>0</v>
      </c>
      <c r="AG15" s="17"/>
      <c r="AH15" s="18"/>
      <c r="AI15" s="18">
        <f>AH15*$J$15</f>
        <v>0</v>
      </c>
      <c r="AJ15" s="18"/>
      <c r="AK15" s="18">
        <f>AJ15*$J$15</f>
        <v>0</v>
      </c>
      <c r="AL15" s="18"/>
      <c r="AM15" s="18">
        <f>AL15*$J$15</f>
        <v>0</v>
      </c>
      <c r="AN15" s="18"/>
      <c r="AO15" s="18">
        <f>AN15*$J$15</f>
        <v>0</v>
      </c>
      <c r="AP15" s="18">
        <f>AN15+AL15+AJ15+AH15</f>
        <v>0</v>
      </c>
      <c r="AQ15" s="18">
        <f>AO15+AM15+AK15+AI15</f>
        <v>0</v>
      </c>
      <c r="AR15" s="17"/>
      <c r="AS15" s="18"/>
      <c r="AT15" s="18">
        <f>AS15*$J$15</f>
        <v>0</v>
      </c>
      <c r="AU15" s="18"/>
      <c r="AV15" s="18">
        <f>AU15*$J$15</f>
        <v>0</v>
      </c>
      <c r="AW15" s="18"/>
      <c r="AX15" s="18">
        <f>AW15*$J$15</f>
        <v>0</v>
      </c>
      <c r="AY15" s="18"/>
      <c r="AZ15" s="18">
        <f>AY15*$J$15</f>
        <v>0</v>
      </c>
      <c r="BA15" s="18">
        <f>AY15+AW15+AU15+AS15</f>
        <v>0</v>
      </c>
      <c r="BB15" s="18">
        <f>AZ15+AX15+AV15+AT15</f>
        <v>0</v>
      </c>
      <c r="BC15" s="18"/>
      <c r="BD15" s="18"/>
      <c r="BE15" s="18"/>
      <c r="BF15" s="17">
        <f>K15+V15+AG15+AR15</f>
        <v>0</v>
      </c>
      <c r="BG15" s="17">
        <f>BA15+AP15+AE15+T15</f>
        <v>0</v>
      </c>
      <c r="BH15" s="17">
        <f t="shared" ref="BH15:BH22" si="14">AQ15+AF15+U15+BB15+BE15</f>
        <v>0</v>
      </c>
    </row>
    <row r="16" spans="1:65" ht="15.5" x14ac:dyDescent="0.35">
      <c r="A16" t="s">
        <v>37</v>
      </c>
      <c r="B16" s="19">
        <f>92.3076923076923/100</f>
        <v>0.92307692307692302</v>
      </c>
      <c r="C16" s="20">
        <f>106.122448979592/100</f>
        <v>1.06122448979592</v>
      </c>
      <c r="D16" s="16">
        <f>B16*C16</f>
        <v>0.9795918367346953</v>
      </c>
      <c r="E16" s="19">
        <f>93.9587775408671/100</f>
        <v>0.939587775408671</v>
      </c>
      <c r="F16" s="20">
        <f>-205.251641137856/100</f>
        <v>-2.0525164113785603</v>
      </c>
      <c r="G16" s="16">
        <f>E16*F16</f>
        <v>-1.9285193289569702</v>
      </c>
      <c r="H16" s="13" t="s">
        <v>36</v>
      </c>
      <c r="I16" s="14" t="s">
        <v>36</v>
      </c>
      <c r="J16" s="21" t="s">
        <v>36</v>
      </c>
      <c r="K16" s="17"/>
      <c r="L16" s="18"/>
      <c r="M16" s="18">
        <f>L16*$D$16</f>
        <v>0</v>
      </c>
      <c r="N16" s="18"/>
      <c r="O16" s="18">
        <f>N16*$D$16</f>
        <v>0</v>
      </c>
      <c r="P16" s="18"/>
      <c r="Q16" s="18">
        <f>P16*$D$16</f>
        <v>0</v>
      </c>
      <c r="R16" s="18"/>
      <c r="S16" s="18">
        <f>R16*$D$16</f>
        <v>0</v>
      </c>
      <c r="T16" s="18">
        <f t="shared" si="12"/>
        <v>0</v>
      </c>
      <c r="U16" s="18">
        <f t="shared" si="12"/>
        <v>0</v>
      </c>
      <c r="V16" s="17"/>
      <c r="W16" s="18"/>
      <c r="X16" s="18">
        <f>W16*$D$16</f>
        <v>0</v>
      </c>
      <c r="Y16" s="18"/>
      <c r="Z16" s="18">
        <f>Y16*$D$16</f>
        <v>0</v>
      </c>
      <c r="AA16" s="18"/>
      <c r="AB16" s="18">
        <f>AA16*$D$16</f>
        <v>0</v>
      </c>
      <c r="AC16" s="18"/>
      <c r="AD16" s="18">
        <f>AC16*$D$16</f>
        <v>0</v>
      </c>
      <c r="AE16" s="18">
        <f t="shared" si="13"/>
        <v>0</v>
      </c>
      <c r="AF16" s="18">
        <f t="shared" si="13"/>
        <v>0</v>
      </c>
      <c r="AG16" s="17"/>
      <c r="AH16" s="18"/>
      <c r="AI16" s="18">
        <f>AH16*$D$16</f>
        <v>0</v>
      </c>
      <c r="AJ16" s="18"/>
      <c r="AK16" s="18">
        <f>AJ16*$D$16</f>
        <v>0</v>
      </c>
      <c r="AL16" s="18"/>
      <c r="AM16" s="18">
        <f>AL16*$D$16</f>
        <v>0</v>
      </c>
      <c r="AN16" s="18"/>
      <c r="AO16" s="18">
        <f>AN16*$D$16</f>
        <v>0</v>
      </c>
      <c r="AP16" s="18">
        <f t="shared" ref="AP16:AQ22" si="15">AN16+AL16+AJ16+AH16</f>
        <v>0</v>
      </c>
      <c r="AQ16" s="18">
        <f t="shared" si="15"/>
        <v>0</v>
      </c>
      <c r="AR16" s="17"/>
      <c r="AS16" s="18"/>
      <c r="AT16" s="18">
        <f>AS16*$D$16</f>
        <v>0</v>
      </c>
      <c r="AU16" s="18"/>
      <c r="AV16" s="18">
        <f>AU16*$D$16</f>
        <v>0</v>
      </c>
      <c r="AW16" s="18"/>
      <c r="AX16" s="18">
        <f>AW16*$D$16</f>
        <v>0</v>
      </c>
      <c r="AY16" s="18"/>
      <c r="AZ16" s="18">
        <f>AY16*$D$16</f>
        <v>0</v>
      </c>
      <c r="BA16" s="18">
        <f t="shared" ref="BA16:BB22" si="16">AY16+AW16+AU16+AS16</f>
        <v>0</v>
      </c>
      <c r="BB16" s="18">
        <f t="shared" si="16"/>
        <v>0</v>
      </c>
      <c r="BC16" s="18"/>
      <c r="BD16" s="18"/>
      <c r="BE16" s="18"/>
      <c r="BF16" s="17">
        <f t="shared" ref="BF16:BF22" si="17">K16+V16+AG16+AR16</f>
        <v>0</v>
      </c>
      <c r="BG16" s="17">
        <f t="shared" ref="BG16:BG22" si="18">BA16+AP16+AE16+T16</f>
        <v>0</v>
      </c>
      <c r="BH16" s="17">
        <f>AP16+AE16+T16+BA16-AP16-AE16-T16-BA16</f>
        <v>0</v>
      </c>
      <c r="BI16" s="1"/>
      <c r="BJ16" s="1"/>
      <c r="BK16" s="1"/>
      <c r="BL16" s="1"/>
      <c r="BM16" s="1"/>
    </row>
    <row r="17" spans="1:60" ht="15.5" x14ac:dyDescent="0.35">
      <c r="A17" t="s">
        <v>38</v>
      </c>
      <c r="B17" s="19">
        <f>94.2756680731364/100</f>
        <v>0.94275668073136398</v>
      </c>
      <c r="C17" s="20">
        <f>109.767393989296/100</f>
        <v>1.09767393989296</v>
      </c>
      <c r="D17" s="16">
        <f t="shared" ref="D17:D22" si="19">B17*C17</f>
        <v>1.0348394400988057</v>
      </c>
      <c r="E17" s="19">
        <f>94.8206914937626/100</f>
        <v>0.94820691493762599</v>
      </c>
      <c r="F17" s="20">
        <f>107.746785792112/100</f>
        <v>1.0774678579211199</v>
      </c>
      <c r="G17" s="16">
        <f t="shared" ref="G17:G22" si="20">E17*F17</f>
        <v>1.0216624735038373</v>
      </c>
      <c r="H17" s="19">
        <f>101.237113402062/100</f>
        <v>1.0123711340206198</v>
      </c>
      <c r="I17" s="20">
        <f>104.04004290311/100</f>
        <v>1.0404004290311</v>
      </c>
      <c r="J17" s="16">
        <f t="shared" ref="J17" si="21">H17*I17</f>
        <v>1.0532713621737542</v>
      </c>
      <c r="K17" s="17"/>
      <c r="L17" s="18"/>
      <c r="M17" s="18">
        <f>L17*$J$17</f>
        <v>0</v>
      </c>
      <c r="N17" s="18"/>
      <c r="O17" s="18">
        <f>N17*$J$17</f>
        <v>0</v>
      </c>
      <c r="P17" s="18"/>
      <c r="Q17" s="18">
        <f>P17*$J$17</f>
        <v>0</v>
      </c>
      <c r="R17" s="18"/>
      <c r="S17" s="18">
        <f>R17*$J$17</f>
        <v>0</v>
      </c>
      <c r="T17" s="18">
        <f t="shared" si="12"/>
        <v>0</v>
      </c>
      <c r="U17" s="18">
        <f t="shared" si="12"/>
        <v>0</v>
      </c>
      <c r="V17" s="17">
        <v>238</v>
      </c>
      <c r="W17" s="18"/>
      <c r="X17" s="18">
        <f>W17*$J$17</f>
        <v>0</v>
      </c>
      <c r="Y17" s="18">
        <v>235.4</v>
      </c>
      <c r="Z17" s="18">
        <f>Y17*$J$17</f>
        <v>247.94007865570174</v>
      </c>
      <c r="AA17" s="18">
        <v>36.4</v>
      </c>
      <c r="AB17" s="18">
        <f>AA17*$J$17</f>
        <v>38.339077583124649</v>
      </c>
      <c r="AC17" s="18"/>
      <c r="AD17" s="18">
        <f>AC17*$J$17</f>
        <v>0</v>
      </c>
      <c r="AE17" s="18">
        <f t="shared" si="13"/>
        <v>271.8</v>
      </c>
      <c r="AF17" s="18">
        <f t="shared" si="13"/>
        <v>286.27915623882637</v>
      </c>
      <c r="AG17" s="17">
        <v>210</v>
      </c>
      <c r="AH17" s="18"/>
      <c r="AI17" s="18">
        <f>AH17*$J$17</f>
        <v>0</v>
      </c>
      <c r="AJ17" s="18">
        <v>100.5</v>
      </c>
      <c r="AK17" s="18">
        <f>AJ17*$J$17</f>
        <v>105.8537718984623</v>
      </c>
      <c r="AL17" s="18"/>
      <c r="AM17" s="18">
        <f>AL17*$J$17</f>
        <v>0</v>
      </c>
      <c r="AN17" s="18"/>
      <c r="AO17" s="18">
        <f>AN17*$J$17</f>
        <v>0</v>
      </c>
      <c r="AP17" s="18">
        <f t="shared" si="15"/>
        <v>100.5</v>
      </c>
      <c r="AQ17" s="18">
        <f t="shared" si="15"/>
        <v>105.8537718984623</v>
      </c>
      <c r="AR17" s="17"/>
      <c r="AS17" s="18"/>
      <c r="AT17" s="18">
        <f>AS17*$J$17</f>
        <v>0</v>
      </c>
      <c r="AU17" s="18"/>
      <c r="AV17" s="18">
        <f>AU17*$J$17</f>
        <v>0</v>
      </c>
      <c r="AW17" s="18"/>
      <c r="AX17" s="18">
        <f>AW17*$J$17</f>
        <v>0</v>
      </c>
      <c r="AY17" s="18"/>
      <c r="AZ17" s="18">
        <f>AY17*$J$17</f>
        <v>0</v>
      </c>
      <c r="BA17" s="18">
        <f t="shared" si="16"/>
        <v>0</v>
      </c>
      <c r="BB17" s="18">
        <f t="shared" si="16"/>
        <v>0</v>
      </c>
      <c r="BC17" s="18"/>
      <c r="BD17" s="18"/>
      <c r="BE17" s="18"/>
      <c r="BF17" s="17">
        <f t="shared" si="17"/>
        <v>448</v>
      </c>
      <c r="BG17" s="17">
        <f t="shared" si="18"/>
        <v>372.3</v>
      </c>
      <c r="BH17" s="17">
        <f t="shared" si="14"/>
        <v>392.13292813728867</v>
      </c>
    </row>
    <row r="18" spans="1:60" ht="15.5" x14ac:dyDescent="0.35">
      <c r="A18" t="s">
        <v>39</v>
      </c>
      <c r="B18" s="19">
        <f>94.0766550522648/100</f>
        <v>0.94076655052264802</v>
      </c>
      <c r="C18" s="20">
        <f>100/100</f>
        <v>1</v>
      </c>
      <c r="D18" s="16">
        <f t="shared" si="19"/>
        <v>0.94076655052264802</v>
      </c>
      <c r="E18" s="19">
        <f>94.1449814126394/100</f>
        <v>0.94144981412639395</v>
      </c>
      <c r="F18" s="20">
        <f>100/100</f>
        <v>1</v>
      </c>
      <c r="G18" s="16">
        <f t="shared" si="20"/>
        <v>0.94144981412639395</v>
      </c>
      <c r="H18" s="22" t="s">
        <v>36</v>
      </c>
      <c r="I18" s="23" t="s">
        <v>36</v>
      </c>
      <c r="J18" s="21" t="s">
        <v>36</v>
      </c>
      <c r="K18" s="17"/>
      <c r="L18" s="18"/>
      <c r="M18" s="18">
        <f>L18*$G$18</f>
        <v>0</v>
      </c>
      <c r="N18" s="18"/>
      <c r="O18" s="18">
        <f>N18*$G$18</f>
        <v>0</v>
      </c>
      <c r="P18" s="18"/>
      <c r="Q18" s="18">
        <f>P18*$G$18</f>
        <v>0</v>
      </c>
      <c r="R18" s="18"/>
      <c r="S18" s="18">
        <f>R18*$G$18</f>
        <v>0</v>
      </c>
      <c r="T18" s="18">
        <f t="shared" si="12"/>
        <v>0</v>
      </c>
      <c r="U18" s="18">
        <f t="shared" si="12"/>
        <v>0</v>
      </c>
      <c r="V18" s="17"/>
      <c r="W18" s="18"/>
      <c r="X18" s="18">
        <f>W18*$G$18</f>
        <v>0</v>
      </c>
      <c r="Y18" s="18"/>
      <c r="Z18" s="18">
        <f>Y18*$G$18</f>
        <v>0</v>
      </c>
      <c r="AA18" s="18"/>
      <c r="AB18" s="18">
        <f>AA18*$G$18</f>
        <v>0</v>
      </c>
      <c r="AC18" s="18"/>
      <c r="AD18" s="18">
        <f>AC18*$G$18</f>
        <v>0</v>
      </c>
      <c r="AE18" s="18">
        <f t="shared" si="13"/>
        <v>0</v>
      </c>
      <c r="AF18" s="18">
        <f t="shared" si="13"/>
        <v>0</v>
      </c>
      <c r="AG18" s="17"/>
      <c r="AH18" s="18"/>
      <c r="AI18" s="18">
        <f>AH18*$G$18</f>
        <v>0</v>
      </c>
      <c r="AJ18" s="18"/>
      <c r="AK18" s="18">
        <f>AJ18*$G$18</f>
        <v>0</v>
      </c>
      <c r="AL18" s="18"/>
      <c r="AM18" s="18">
        <f>AL18*$G$18</f>
        <v>0</v>
      </c>
      <c r="AN18" s="18"/>
      <c r="AO18" s="18">
        <f>AN18*$G$18</f>
        <v>0</v>
      </c>
      <c r="AP18" s="18">
        <f t="shared" si="15"/>
        <v>0</v>
      </c>
      <c r="AQ18" s="18">
        <f t="shared" si="15"/>
        <v>0</v>
      </c>
      <c r="AR18" s="17"/>
      <c r="AS18" s="18"/>
      <c r="AT18" s="18">
        <f>AS18*$G$18</f>
        <v>0</v>
      </c>
      <c r="AU18" s="18"/>
      <c r="AV18" s="18">
        <f>AU18*$G$18</f>
        <v>0</v>
      </c>
      <c r="AW18" s="18"/>
      <c r="AX18" s="18">
        <f>AW18*$G$18</f>
        <v>0</v>
      </c>
      <c r="AY18" s="18"/>
      <c r="AZ18" s="18">
        <f>AY18*$G$18</f>
        <v>0</v>
      </c>
      <c r="BA18" s="18">
        <f t="shared" si="16"/>
        <v>0</v>
      </c>
      <c r="BB18" s="18">
        <f t="shared" si="16"/>
        <v>0</v>
      </c>
      <c r="BC18" s="18"/>
      <c r="BD18" s="18"/>
      <c r="BE18" s="18"/>
      <c r="BF18" s="17">
        <f t="shared" si="17"/>
        <v>0</v>
      </c>
      <c r="BG18" s="17">
        <f t="shared" si="18"/>
        <v>0</v>
      </c>
      <c r="BH18" s="17">
        <f t="shared" si="14"/>
        <v>0</v>
      </c>
    </row>
    <row r="19" spans="1:60" ht="15.5" x14ac:dyDescent="0.35">
      <c r="A19" t="s">
        <v>40</v>
      </c>
      <c r="B19" s="19">
        <f>71.5393133997785/100</f>
        <v>0.71539313399778492</v>
      </c>
      <c r="C19" s="20">
        <f>113.299874529486/100</f>
        <v>1.13299874529486</v>
      </c>
      <c r="D19" s="16">
        <f t="shared" si="19"/>
        <v>0.81053952321204792</v>
      </c>
      <c r="E19" s="19">
        <f>71.575772807238/100</f>
        <v>0.71575772807237992</v>
      </c>
      <c r="F19" s="20">
        <f>111.08319374651/100</f>
        <v>1.1108319374651001</v>
      </c>
      <c r="G19" s="16">
        <f t="shared" si="20"/>
        <v>0.79508654383026012</v>
      </c>
      <c r="H19" s="22" t="s">
        <v>36</v>
      </c>
      <c r="I19" s="23" t="s">
        <v>36</v>
      </c>
      <c r="J19" s="21" t="s">
        <v>36</v>
      </c>
      <c r="K19" s="17"/>
      <c r="L19" s="18"/>
      <c r="M19" s="18">
        <f>L19*$G$19</f>
        <v>0</v>
      </c>
      <c r="N19" s="18"/>
      <c r="O19" s="18">
        <f>N19*$G$19</f>
        <v>0</v>
      </c>
      <c r="P19" s="18"/>
      <c r="Q19" s="18">
        <f>P19*$G$19</f>
        <v>0</v>
      </c>
      <c r="R19" s="18"/>
      <c r="S19" s="18">
        <f>R19*$G$19</f>
        <v>0</v>
      </c>
      <c r="T19" s="18">
        <f t="shared" si="12"/>
        <v>0</v>
      </c>
      <c r="U19" s="18">
        <f t="shared" si="12"/>
        <v>0</v>
      </c>
      <c r="V19" s="17"/>
      <c r="W19" s="18"/>
      <c r="X19" s="18">
        <f>W19*$G$19</f>
        <v>0</v>
      </c>
      <c r="Y19" s="18"/>
      <c r="Z19" s="18">
        <f>Y19*$G$19</f>
        <v>0</v>
      </c>
      <c r="AA19" s="18"/>
      <c r="AB19" s="18">
        <f>AA19*$G$19</f>
        <v>0</v>
      </c>
      <c r="AC19" s="18"/>
      <c r="AD19" s="18">
        <f>AC19*$G$19</f>
        <v>0</v>
      </c>
      <c r="AE19" s="18">
        <f t="shared" si="13"/>
        <v>0</v>
      </c>
      <c r="AF19" s="18">
        <f t="shared" si="13"/>
        <v>0</v>
      </c>
      <c r="AG19" s="17"/>
      <c r="AH19" s="18"/>
      <c r="AI19" s="18">
        <f>AH19*$G$19</f>
        <v>0</v>
      </c>
      <c r="AJ19" s="18"/>
      <c r="AK19" s="18">
        <f>AJ19*$G$19</f>
        <v>0</v>
      </c>
      <c r="AL19" s="18"/>
      <c r="AM19" s="18">
        <f>AL19*$G$19</f>
        <v>0</v>
      </c>
      <c r="AN19" s="18"/>
      <c r="AO19" s="18">
        <f>AN19*$G$19</f>
        <v>0</v>
      </c>
      <c r="AP19" s="18">
        <f t="shared" si="15"/>
        <v>0</v>
      </c>
      <c r="AQ19" s="18">
        <f t="shared" si="15"/>
        <v>0</v>
      </c>
      <c r="AR19" s="17"/>
      <c r="AS19" s="18"/>
      <c r="AT19" s="18">
        <f>AS19*$G$19</f>
        <v>0</v>
      </c>
      <c r="AU19" s="18"/>
      <c r="AV19" s="18">
        <f>AU19*$G$19</f>
        <v>0</v>
      </c>
      <c r="AW19" s="18"/>
      <c r="AX19" s="18">
        <f>AW19*$G$19</f>
        <v>0</v>
      </c>
      <c r="AY19" s="18"/>
      <c r="AZ19" s="18">
        <f>AY19*$G$19</f>
        <v>0</v>
      </c>
      <c r="BA19" s="18">
        <f t="shared" si="16"/>
        <v>0</v>
      </c>
      <c r="BB19" s="18">
        <f t="shared" si="16"/>
        <v>0</v>
      </c>
      <c r="BC19" s="18"/>
      <c r="BD19" s="18"/>
      <c r="BE19" s="18"/>
      <c r="BF19" s="17">
        <f t="shared" si="17"/>
        <v>0</v>
      </c>
      <c r="BG19" s="17">
        <f t="shared" si="18"/>
        <v>0</v>
      </c>
      <c r="BH19" s="17">
        <f t="shared" si="14"/>
        <v>0</v>
      </c>
    </row>
    <row r="20" spans="1:60" ht="15.5" x14ac:dyDescent="0.35">
      <c r="A20" t="s">
        <v>41</v>
      </c>
      <c r="B20" s="19">
        <f>56.6091409065048/100</f>
        <v>0.56609140906504796</v>
      </c>
      <c r="C20" s="20">
        <f>101.697203471553/100</f>
        <v>1.01697203471553</v>
      </c>
      <c r="D20" s="16">
        <f t="shared" si="19"/>
        <v>0.57569913211186319</v>
      </c>
      <c r="E20" s="19">
        <f>56.6193344807803/100</f>
        <v>0.56619334480780303</v>
      </c>
      <c r="F20" s="20">
        <f>106.14295501256/100</f>
        <v>1.0614295501255999</v>
      </c>
      <c r="G20" s="16">
        <f t="shared" si="20"/>
        <v>0.600974347263455</v>
      </c>
      <c r="H20" s="19">
        <f>55.1724137931034/100</f>
        <v>0.55172413793103403</v>
      </c>
      <c r="I20" s="20">
        <f>116/100</f>
        <v>1.1599999999999999</v>
      </c>
      <c r="J20" s="16">
        <f>H20*I20</f>
        <v>0.63999999999999946</v>
      </c>
      <c r="K20" s="17"/>
      <c r="L20" s="18"/>
      <c r="M20" s="18">
        <f>L20*$J$20</f>
        <v>0</v>
      </c>
      <c r="N20" s="18"/>
      <c r="O20" s="18">
        <f>N20*$J$20</f>
        <v>0</v>
      </c>
      <c r="P20" s="18"/>
      <c r="Q20" s="18">
        <f>P20*$J$20</f>
        <v>0</v>
      </c>
      <c r="R20" s="18"/>
      <c r="S20" s="18">
        <f>R20*$J$20</f>
        <v>0</v>
      </c>
      <c r="T20" s="18">
        <f t="shared" si="12"/>
        <v>0</v>
      </c>
      <c r="U20" s="18">
        <f t="shared" si="12"/>
        <v>0</v>
      </c>
      <c r="V20" s="17"/>
      <c r="W20" s="18"/>
      <c r="X20" s="18">
        <f>W20*$J$20</f>
        <v>0</v>
      </c>
      <c r="Y20" s="18"/>
      <c r="Z20" s="18">
        <f>Y20*$J$20</f>
        <v>0</v>
      </c>
      <c r="AA20" s="18"/>
      <c r="AB20" s="18">
        <f>AA20*$J$20</f>
        <v>0</v>
      </c>
      <c r="AC20" s="18"/>
      <c r="AD20" s="18">
        <f>AC20*$J$20</f>
        <v>0</v>
      </c>
      <c r="AE20" s="18">
        <f t="shared" si="13"/>
        <v>0</v>
      </c>
      <c r="AF20" s="18">
        <f t="shared" si="13"/>
        <v>0</v>
      </c>
      <c r="AG20" s="17"/>
      <c r="AH20" s="18"/>
      <c r="AI20" s="18">
        <f>AH20*$J$20</f>
        <v>0</v>
      </c>
      <c r="AJ20" s="18"/>
      <c r="AK20" s="18">
        <f>AJ20*$J$20</f>
        <v>0</v>
      </c>
      <c r="AL20" s="18"/>
      <c r="AM20" s="18">
        <f>AL20*$J$20</f>
        <v>0</v>
      </c>
      <c r="AN20" s="18"/>
      <c r="AO20" s="18">
        <f>AN20*$J$20</f>
        <v>0</v>
      </c>
      <c r="AP20" s="18">
        <f t="shared" si="15"/>
        <v>0</v>
      </c>
      <c r="AQ20" s="18">
        <f t="shared" si="15"/>
        <v>0</v>
      </c>
      <c r="AR20" s="17"/>
      <c r="AS20" s="18"/>
      <c r="AT20" s="18">
        <f>AS20*$J$20</f>
        <v>0</v>
      </c>
      <c r="AU20" s="18"/>
      <c r="AV20" s="18">
        <f>AU20*$J$20</f>
        <v>0</v>
      </c>
      <c r="AW20" s="18"/>
      <c r="AX20" s="18">
        <f>AW20*$J$20</f>
        <v>0</v>
      </c>
      <c r="AY20" s="18"/>
      <c r="AZ20" s="18">
        <f>AY20*$J$20</f>
        <v>0</v>
      </c>
      <c r="BA20" s="18">
        <f t="shared" si="16"/>
        <v>0</v>
      </c>
      <c r="BB20" s="18">
        <f t="shared" si="16"/>
        <v>0</v>
      </c>
      <c r="BC20" s="18"/>
      <c r="BD20" s="18"/>
      <c r="BE20" s="18"/>
      <c r="BF20" s="17">
        <f t="shared" si="17"/>
        <v>0</v>
      </c>
      <c r="BG20" s="17">
        <f t="shared" si="18"/>
        <v>0</v>
      </c>
      <c r="BH20" s="17">
        <f t="shared" si="14"/>
        <v>0</v>
      </c>
    </row>
    <row r="21" spans="1:60" ht="15.5" x14ac:dyDescent="0.35">
      <c r="A21" t="s">
        <v>42</v>
      </c>
      <c r="B21" s="19">
        <f>97.1231300345224/100</f>
        <v>0.97123130034522409</v>
      </c>
      <c r="C21" s="20">
        <f>67.3382409918636/100</f>
        <v>0.67338240991863596</v>
      </c>
      <c r="D21" s="16">
        <f t="shared" si="19"/>
        <v>0.65401007361487751</v>
      </c>
      <c r="E21" s="19">
        <f>93.5914203505101/100</f>
        <v>0.93591420350510102</v>
      </c>
      <c r="F21" s="20">
        <f>67.3260933372468/100</f>
        <v>0.67326093337246806</v>
      </c>
      <c r="G21" s="16">
        <f t="shared" si="20"/>
        <v>0.63011447020839428</v>
      </c>
      <c r="H21" s="22" t="s">
        <v>36</v>
      </c>
      <c r="I21" s="23" t="s">
        <v>36</v>
      </c>
      <c r="J21" s="21" t="s">
        <v>36</v>
      </c>
      <c r="K21" s="24"/>
      <c r="L21" s="18"/>
      <c r="M21" s="18">
        <f>L21*$G$21</f>
        <v>0</v>
      </c>
      <c r="N21" s="18"/>
      <c r="O21" s="18">
        <f>N21*$G$21</f>
        <v>0</v>
      </c>
      <c r="P21" s="18"/>
      <c r="Q21" s="18">
        <f>P21*$G$21</f>
        <v>0</v>
      </c>
      <c r="R21" s="18"/>
      <c r="S21" s="18">
        <f>R21*$G$21</f>
        <v>0</v>
      </c>
      <c r="T21" s="18">
        <f t="shared" si="12"/>
        <v>0</v>
      </c>
      <c r="U21" s="18">
        <f t="shared" si="12"/>
        <v>0</v>
      </c>
      <c r="V21" s="24"/>
      <c r="W21" s="18"/>
      <c r="X21" s="18">
        <f>W21*$G$21</f>
        <v>0</v>
      </c>
      <c r="Y21" s="18"/>
      <c r="Z21" s="18">
        <f>Y21*$G$21</f>
        <v>0</v>
      </c>
      <c r="AA21" s="18"/>
      <c r="AB21" s="18">
        <f>AA21*$G$21</f>
        <v>0</v>
      </c>
      <c r="AC21" s="18"/>
      <c r="AD21" s="18">
        <f>AC21*$G$21</f>
        <v>0</v>
      </c>
      <c r="AE21" s="18">
        <f t="shared" si="13"/>
        <v>0</v>
      </c>
      <c r="AF21" s="18">
        <f t="shared" si="13"/>
        <v>0</v>
      </c>
      <c r="AG21" s="24"/>
      <c r="AH21" s="18"/>
      <c r="AI21" s="18">
        <f>AH21*$G$21</f>
        <v>0</v>
      </c>
      <c r="AJ21" s="18"/>
      <c r="AK21" s="18">
        <f>AJ21*$G$21</f>
        <v>0</v>
      </c>
      <c r="AL21" s="18"/>
      <c r="AM21" s="18">
        <f>AL21*$G$21</f>
        <v>0</v>
      </c>
      <c r="AN21" s="18"/>
      <c r="AO21" s="18">
        <f>AN21*$G$21</f>
        <v>0</v>
      </c>
      <c r="AP21" s="18">
        <f t="shared" si="15"/>
        <v>0</v>
      </c>
      <c r="AQ21" s="18">
        <f t="shared" si="15"/>
        <v>0</v>
      </c>
      <c r="AR21" s="24"/>
      <c r="AS21" s="18"/>
      <c r="AT21" s="18">
        <f>AS21*$G$21</f>
        <v>0</v>
      </c>
      <c r="AU21" s="18"/>
      <c r="AV21" s="18">
        <f>AU21*$G$21</f>
        <v>0</v>
      </c>
      <c r="AW21" s="18"/>
      <c r="AX21" s="18">
        <f>AW21*$G$21</f>
        <v>0</v>
      </c>
      <c r="AY21" s="18"/>
      <c r="AZ21" s="18">
        <f>AY21*$G$21</f>
        <v>0</v>
      </c>
      <c r="BA21" s="18">
        <f t="shared" si="16"/>
        <v>0</v>
      </c>
      <c r="BB21" s="18">
        <f t="shared" si="16"/>
        <v>0</v>
      </c>
      <c r="BC21" s="18"/>
      <c r="BD21" s="18"/>
      <c r="BE21" s="18"/>
      <c r="BF21" s="17">
        <f t="shared" si="17"/>
        <v>0</v>
      </c>
      <c r="BG21" s="17">
        <f t="shared" si="18"/>
        <v>0</v>
      </c>
      <c r="BH21" s="17">
        <f t="shared" si="14"/>
        <v>0</v>
      </c>
    </row>
    <row r="22" spans="1:60" ht="15.5" x14ac:dyDescent="0.35">
      <c r="A22" t="s">
        <v>43</v>
      </c>
      <c r="B22" s="26">
        <f>82.4209575429088/100</f>
        <v>0.8242095754290879</v>
      </c>
      <c r="C22" s="27">
        <f>77.2613065326633/100</f>
        <v>0.77261306532663299</v>
      </c>
      <c r="D22" s="16">
        <f t="shared" si="19"/>
        <v>0.63679508654383032</v>
      </c>
      <c r="E22" s="26">
        <f>81.1138833678691/100</f>
        <v>0.81113883367869088</v>
      </c>
      <c r="F22" s="27">
        <f>71.8600905582399/100</f>
        <v>0.71860090558239909</v>
      </c>
      <c r="G22" s="16">
        <f t="shared" si="20"/>
        <v>0.58288510043455821</v>
      </c>
      <c r="H22" s="26">
        <f>81.0650887573965/100</f>
        <v>0.81065088757396497</v>
      </c>
      <c r="I22" s="27">
        <f>76.8181818181818/100</f>
        <v>0.76818181818181797</v>
      </c>
      <c r="J22" s="28">
        <f t="shared" ref="J22" si="22">H22*I22</f>
        <v>0.62272727272727291</v>
      </c>
      <c r="K22" s="17"/>
      <c r="L22" s="30"/>
      <c r="M22" s="30">
        <f>L22*$J$22</f>
        <v>0</v>
      </c>
      <c r="N22" s="30"/>
      <c r="O22" s="30">
        <f>N22*$J$22</f>
        <v>0</v>
      </c>
      <c r="P22" s="30"/>
      <c r="Q22" s="30">
        <f>P22*$J$22</f>
        <v>0</v>
      </c>
      <c r="R22" s="30"/>
      <c r="S22" s="30">
        <f>R22*$J$22</f>
        <v>0</v>
      </c>
      <c r="T22" s="18">
        <f t="shared" si="12"/>
        <v>0</v>
      </c>
      <c r="U22" s="18">
        <f t="shared" si="12"/>
        <v>0</v>
      </c>
      <c r="V22" s="17"/>
      <c r="W22" s="18"/>
      <c r="X22" s="30">
        <f>W22*$J$22</f>
        <v>0</v>
      </c>
      <c r="Y22" s="18"/>
      <c r="Z22" s="30">
        <f>Y22*$J$22</f>
        <v>0</v>
      </c>
      <c r="AA22" s="18"/>
      <c r="AB22" s="30">
        <f>AA22*$J$22</f>
        <v>0</v>
      </c>
      <c r="AC22" s="18"/>
      <c r="AD22" s="30">
        <f>AC22*$J$22</f>
        <v>0</v>
      </c>
      <c r="AE22" s="18">
        <f t="shared" si="13"/>
        <v>0</v>
      </c>
      <c r="AF22" s="18">
        <f t="shared" si="13"/>
        <v>0</v>
      </c>
      <c r="AG22" s="17"/>
      <c r="AH22" s="30"/>
      <c r="AI22" s="30">
        <f>AH22*$J$22</f>
        <v>0</v>
      </c>
      <c r="AJ22" s="30"/>
      <c r="AK22" s="30">
        <f>AJ22*$J$22</f>
        <v>0</v>
      </c>
      <c r="AL22" s="30"/>
      <c r="AM22" s="30">
        <f>AL22*$J$22</f>
        <v>0</v>
      </c>
      <c r="AN22" s="30"/>
      <c r="AO22" s="30">
        <f>AN22*$J$22</f>
        <v>0</v>
      </c>
      <c r="AP22" s="18">
        <f t="shared" si="15"/>
        <v>0</v>
      </c>
      <c r="AQ22" s="18">
        <f t="shared" si="15"/>
        <v>0</v>
      </c>
      <c r="AR22" s="17"/>
      <c r="AS22" s="30"/>
      <c r="AT22" s="30">
        <f>AS22*$J$22</f>
        <v>0</v>
      </c>
      <c r="AU22" s="30"/>
      <c r="AV22" s="30">
        <f>AU22*$J$22</f>
        <v>0</v>
      </c>
      <c r="AW22" s="30"/>
      <c r="AX22" s="30">
        <f>AW22*$J$22</f>
        <v>0</v>
      </c>
      <c r="AY22" s="30"/>
      <c r="AZ22" s="30">
        <f>AY22*$J$22</f>
        <v>0</v>
      </c>
      <c r="BA22" s="18">
        <f t="shared" si="16"/>
        <v>0</v>
      </c>
      <c r="BB22" s="18">
        <f t="shared" si="16"/>
        <v>0</v>
      </c>
      <c r="BC22" s="18"/>
      <c r="BD22" s="18"/>
      <c r="BE22" s="18"/>
      <c r="BF22" s="17">
        <f t="shared" si="17"/>
        <v>0</v>
      </c>
      <c r="BG22" s="17">
        <f t="shared" si="18"/>
        <v>0</v>
      </c>
      <c r="BH22" s="17">
        <f t="shared" si="14"/>
        <v>0</v>
      </c>
    </row>
    <row r="23" spans="1:60" x14ac:dyDescent="0.35">
      <c r="A23" s="31" t="s">
        <v>34</v>
      </c>
      <c r="B23" s="31"/>
      <c r="C23" s="31"/>
      <c r="D23" s="31"/>
      <c r="E23" s="31"/>
      <c r="F23" s="31"/>
      <c r="G23" s="31"/>
      <c r="H23" s="31"/>
      <c r="I23" s="31"/>
      <c r="J23" s="32"/>
      <c r="K23" s="33">
        <f>SUM(K15:K22)</f>
        <v>0</v>
      </c>
      <c r="L23" s="34"/>
      <c r="M23" s="34"/>
      <c r="N23" s="34"/>
      <c r="O23" s="34"/>
      <c r="P23" s="34"/>
      <c r="Q23" s="34"/>
      <c r="R23" s="34"/>
      <c r="S23" s="34"/>
      <c r="T23" s="35">
        <f>SUM(T15:T22)</f>
        <v>0</v>
      </c>
      <c r="U23" s="35">
        <f>SUM(U15:U22)</f>
        <v>0</v>
      </c>
      <c r="V23" s="33">
        <f>SUM(V15:V22)</f>
        <v>238</v>
      </c>
      <c r="W23" s="34"/>
      <c r="X23" s="34"/>
      <c r="Y23" s="34"/>
      <c r="Z23" s="34"/>
      <c r="AA23" s="34"/>
      <c r="AB23" s="34"/>
      <c r="AC23" s="34"/>
      <c r="AD23" s="34"/>
      <c r="AE23" s="35">
        <f>SUM(AE15:AE22)</f>
        <v>271.8</v>
      </c>
      <c r="AF23" s="35">
        <f>SUM(AF15:AF22)</f>
        <v>286.27915623882637</v>
      </c>
      <c r="AG23" s="33">
        <f>SUM(AG15:AG22)</f>
        <v>210</v>
      </c>
      <c r="AH23" s="33"/>
      <c r="AI23" s="33"/>
      <c r="AJ23" s="33"/>
      <c r="AK23" s="33"/>
      <c r="AL23" s="33"/>
      <c r="AM23" s="33"/>
      <c r="AN23" s="33"/>
      <c r="AO23" s="33"/>
      <c r="AP23" s="35">
        <f>SUM(AP15:AP22)</f>
        <v>100.5</v>
      </c>
      <c r="AQ23" s="35">
        <f>SUM(AQ15:AQ22)</f>
        <v>105.8537718984623</v>
      </c>
      <c r="AR23" s="33">
        <f>SUM(AR15:AR22)</f>
        <v>0</v>
      </c>
      <c r="AS23" s="33"/>
      <c r="AT23" s="33"/>
      <c r="AU23" s="33"/>
      <c r="AV23" s="33"/>
      <c r="AW23" s="33"/>
      <c r="AX23" s="33"/>
      <c r="AY23" s="33"/>
      <c r="AZ23" s="33"/>
      <c r="BA23" s="35">
        <f>SUM(BA15:BA22)</f>
        <v>0</v>
      </c>
      <c r="BB23" s="35">
        <f>SUM(BB15:BB22)</f>
        <v>0</v>
      </c>
      <c r="BC23" s="35"/>
      <c r="BD23" s="35"/>
      <c r="BE23" s="35"/>
      <c r="BF23" s="33">
        <f>SUM(BF15:BF22)</f>
        <v>448</v>
      </c>
      <c r="BG23" s="33">
        <f>SUM(BG15:BG22)</f>
        <v>372.3</v>
      </c>
      <c r="BH23" s="33">
        <f>SUM(BH15:BH22)</f>
        <v>392.13292813728867</v>
      </c>
    </row>
    <row r="25" spans="1:60" x14ac:dyDescent="0.35">
      <c r="A25" s="40" t="s">
        <v>45</v>
      </c>
      <c r="B25" s="40" t="s">
        <v>46</v>
      </c>
      <c r="C25" s="40" t="s">
        <v>47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60" x14ac:dyDescent="0.35">
      <c r="A26" s="43" t="s">
        <v>48</v>
      </c>
      <c r="B26" s="44" t="s">
        <v>29</v>
      </c>
      <c r="C26" s="44" t="s">
        <v>49</v>
      </c>
      <c r="M26" s="42"/>
      <c r="N26" s="42"/>
      <c r="O26" s="42"/>
      <c r="P26" s="42"/>
      <c r="Q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60" x14ac:dyDescent="0.35">
      <c r="A27" s="43" t="s">
        <v>50</v>
      </c>
      <c r="B27" s="44" t="s">
        <v>30</v>
      </c>
      <c r="C27" s="44" t="s">
        <v>51</v>
      </c>
      <c r="M27" s="42"/>
      <c r="N27" s="42"/>
      <c r="O27" s="42"/>
      <c r="P27" s="42"/>
      <c r="Q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60" x14ac:dyDescent="0.35">
      <c r="A28" s="43" t="s">
        <v>52</v>
      </c>
      <c r="B28" s="44" t="s">
        <v>31</v>
      </c>
      <c r="C28" s="44" t="s">
        <v>51</v>
      </c>
      <c r="M28" s="42"/>
      <c r="N28" s="42"/>
      <c r="O28" s="42"/>
      <c r="P28" s="42"/>
      <c r="Q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60" x14ac:dyDescent="0.35">
      <c r="A29" s="43" t="s">
        <v>53</v>
      </c>
      <c r="B29" s="44" t="s">
        <v>32</v>
      </c>
      <c r="C29" s="44" t="s">
        <v>51</v>
      </c>
      <c r="M29" s="42"/>
      <c r="N29" s="42"/>
      <c r="O29" s="42"/>
      <c r="P29" s="42"/>
      <c r="Q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60" x14ac:dyDescent="0.35">
      <c r="A30" s="43" t="s">
        <v>54</v>
      </c>
      <c r="B30" s="44" t="s">
        <v>55</v>
      </c>
      <c r="C30" s="44" t="s">
        <v>49</v>
      </c>
      <c r="M30" s="42"/>
      <c r="N30" s="42"/>
      <c r="O30" s="42"/>
      <c r="P30" s="42"/>
      <c r="Q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1:60" x14ac:dyDescent="0.35">
      <c r="A31" s="43" t="s">
        <v>56</v>
      </c>
      <c r="B31" s="44" t="s">
        <v>57</v>
      </c>
      <c r="C31" s="44" t="s">
        <v>51</v>
      </c>
      <c r="M31" s="42"/>
      <c r="N31" s="42"/>
      <c r="O31" s="42"/>
      <c r="P31" s="42"/>
      <c r="Q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1:60" x14ac:dyDescent="0.35">
      <c r="A32" s="43" t="s">
        <v>58</v>
      </c>
      <c r="B32" s="44" t="s">
        <v>33</v>
      </c>
      <c r="C32" s="44" t="s">
        <v>51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1:33" x14ac:dyDescent="0.35">
      <c r="A33" s="43" t="s">
        <v>59</v>
      </c>
      <c r="B33" s="44" t="s">
        <v>60</v>
      </c>
      <c r="C33" s="44" t="s">
        <v>49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1:33" x14ac:dyDescent="0.35"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1:33" x14ac:dyDescent="0.35">
      <c r="A35" s="36" t="s">
        <v>61</v>
      </c>
      <c r="B35" s="36"/>
      <c r="C35" s="36"/>
      <c r="D35" s="36"/>
      <c r="E35" s="36"/>
      <c r="F35" s="36"/>
      <c r="G35" s="36"/>
      <c r="H35" s="36"/>
      <c r="I35" s="36"/>
      <c r="J35" s="2"/>
      <c r="K35" s="2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33" x14ac:dyDescent="0.35">
      <c r="A36" s="45" t="s">
        <v>62</v>
      </c>
      <c r="B36" s="45"/>
      <c r="C36" s="45"/>
      <c r="D36" s="45"/>
      <c r="E36" s="45"/>
      <c r="F36" s="45"/>
      <c r="G36" s="45"/>
      <c r="H36" s="45"/>
      <c r="I36" s="45"/>
    </row>
    <row r="37" spans="1:33" x14ac:dyDescent="0.35">
      <c r="A37" s="45" t="s">
        <v>63</v>
      </c>
    </row>
  </sheetData>
  <mergeCells count="6">
    <mergeCell ref="B2:D2"/>
    <mergeCell ref="E2:G2"/>
    <mergeCell ref="H2:J2"/>
    <mergeCell ref="B13:D13"/>
    <mergeCell ref="E13:G13"/>
    <mergeCell ref="H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8BF2-72E6-4BE4-8E70-105CB7ACB7EA}">
  <sheetPr>
    <pageSetUpPr fitToPage="1"/>
  </sheetPr>
  <dimension ref="A1:J22"/>
  <sheetViews>
    <sheetView zoomScale="85" zoomScaleNormal="85" workbookViewId="0">
      <pane xSplit="1" ySplit="1" topLeftCell="B2" activePane="bottomRight" state="frozen"/>
      <selection activeCell="T2" sqref="T2"/>
      <selection pane="topRight" activeCell="T2" sqref="T2"/>
      <selection pane="bottomLeft" activeCell="T2" sqref="T2"/>
      <selection pane="bottomRight" activeCell="H5" sqref="H5"/>
    </sheetView>
  </sheetViews>
  <sheetFormatPr defaultColWidth="9.1796875" defaultRowHeight="14.5" x14ac:dyDescent="0.35"/>
  <cols>
    <col min="1" max="1" width="14.1796875" style="53" customWidth="1"/>
    <col min="2" max="2" width="18" style="51" customWidth="1"/>
    <col min="3" max="3" width="19.1796875" style="51" customWidth="1"/>
    <col min="4" max="4" width="13.81640625" style="52" customWidth="1"/>
    <col min="5" max="5" width="15.81640625" style="52" customWidth="1"/>
    <col min="6" max="6" width="19.54296875" style="53" customWidth="1"/>
    <col min="7" max="7" width="16" style="53" customWidth="1"/>
    <col min="8" max="8" width="17.1796875" style="53" customWidth="1"/>
    <col min="9" max="9" width="20.1796875" style="53" customWidth="1"/>
    <col min="10" max="10" width="14.81640625" style="54" customWidth="1"/>
    <col min="11" max="17" width="20.81640625" style="53" customWidth="1"/>
    <col min="18" max="16384" width="9.1796875" style="53"/>
  </cols>
  <sheetData>
    <row r="1" spans="1:10" ht="18.5" x14ac:dyDescent="0.45">
      <c r="A1" s="49" t="s">
        <v>64</v>
      </c>
      <c r="B1" s="50"/>
    </row>
    <row r="2" spans="1:10" ht="18.5" x14ac:dyDescent="0.45">
      <c r="A2" s="49"/>
      <c r="B2" s="50"/>
    </row>
    <row r="3" spans="1:10" ht="29" x14ac:dyDescent="0.35">
      <c r="A3" s="55"/>
      <c r="B3" s="55"/>
      <c r="C3" s="55" t="s">
        <v>65</v>
      </c>
      <c r="D3" s="56" t="s">
        <v>66</v>
      </c>
      <c r="E3" s="56" t="s">
        <v>67</v>
      </c>
      <c r="F3" s="55" t="s">
        <v>68</v>
      </c>
      <c r="G3" s="55" t="s">
        <v>69</v>
      </c>
      <c r="H3" s="55" t="s">
        <v>70</v>
      </c>
      <c r="I3" s="55" t="s">
        <v>71</v>
      </c>
      <c r="J3" s="57" t="s">
        <v>72</v>
      </c>
    </row>
    <row r="4" spans="1:10" x14ac:dyDescent="0.35">
      <c r="A4" s="55"/>
      <c r="B4" s="55"/>
      <c r="C4" s="55"/>
      <c r="D4" s="56" t="s">
        <v>73</v>
      </c>
      <c r="E4" s="56" t="s">
        <v>74</v>
      </c>
      <c r="F4" s="55" t="s">
        <v>75</v>
      </c>
      <c r="G4" s="55" t="s">
        <v>75</v>
      </c>
      <c r="H4" s="55"/>
      <c r="I4" s="55"/>
      <c r="J4" s="57"/>
    </row>
    <row r="5" spans="1:10" ht="49" customHeight="1" x14ac:dyDescent="0.35">
      <c r="A5" s="55" t="s">
        <v>76</v>
      </c>
      <c r="B5" s="55" t="s">
        <v>77</v>
      </c>
      <c r="C5" s="55" t="s">
        <v>78</v>
      </c>
      <c r="D5" s="55" t="s">
        <v>79</v>
      </c>
      <c r="E5" s="55" t="s">
        <v>80</v>
      </c>
      <c r="F5" s="55" t="s">
        <v>81</v>
      </c>
      <c r="G5" s="55" t="s">
        <v>82</v>
      </c>
      <c r="H5" s="55" t="s">
        <v>70</v>
      </c>
      <c r="I5" s="55" t="s">
        <v>71</v>
      </c>
      <c r="J5" s="57" t="s">
        <v>72</v>
      </c>
    </row>
    <row r="6" spans="1:10" x14ac:dyDescent="0.35">
      <c r="A6" s="55"/>
      <c r="B6" s="55"/>
      <c r="C6" s="55"/>
      <c r="D6" s="56"/>
      <c r="E6" s="56"/>
      <c r="F6" s="55"/>
      <c r="G6" s="55"/>
      <c r="H6" s="55"/>
      <c r="I6" s="55"/>
      <c r="J6" s="57"/>
    </row>
    <row r="7" spans="1:10" x14ac:dyDescent="0.35">
      <c r="A7" s="58">
        <v>1</v>
      </c>
      <c r="B7" s="59" t="s">
        <v>83</v>
      </c>
      <c r="C7" s="60" t="s">
        <v>84</v>
      </c>
      <c r="D7" s="61">
        <v>171.67</v>
      </c>
      <c r="E7" s="61">
        <v>745037.45</v>
      </c>
      <c r="F7" s="62">
        <v>51864</v>
      </c>
      <c r="G7" s="62">
        <v>6742.3200000000006</v>
      </c>
      <c r="H7" s="62">
        <v>58606.32</v>
      </c>
      <c r="I7" s="63">
        <v>701870</v>
      </c>
      <c r="J7" s="64">
        <v>44676</v>
      </c>
    </row>
    <row r="8" spans="1:10" x14ac:dyDescent="0.35">
      <c r="A8" s="58">
        <v>2</v>
      </c>
      <c r="B8" s="59" t="s">
        <v>83</v>
      </c>
      <c r="C8" s="60" t="s">
        <v>84</v>
      </c>
      <c r="D8" s="61">
        <v>63.7</v>
      </c>
      <c r="E8" s="61">
        <v>362887</v>
      </c>
      <c r="F8" s="62">
        <v>25480</v>
      </c>
      <c r="G8" s="62">
        <v>3312.4</v>
      </c>
      <c r="H8" s="62">
        <v>28792.400000000001</v>
      </c>
      <c r="I8" s="63">
        <v>76453.820000000007</v>
      </c>
      <c r="J8" s="64">
        <v>44676</v>
      </c>
    </row>
    <row r="9" spans="1:10" x14ac:dyDescent="0.35">
      <c r="A9" s="58">
        <v>3</v>
      </c>
      <c r="B9" s="59" t="s">
        <v>85</v>
      </c>
      <c r="C9" s="60" t="s">
        <v>84</v>
      </c>
      <c r="D9" s="61">
        <v>11.3</v>
      </c>
      <c r="E9" s="61">
        <v>71610</v>
      </c>
      <c r="F9" s="62">
        <v>7875</v>
      </c>
      <c r="G9" s="62">
        <v>1023.75</v>
      </c>
      <c r="H9" s="62">
        <v>8898.75</v>
      </c>
      <c r="I9" s="63">
        <v>38535.26</v>
      </c>
      <c r="J9" s="64">
        <v>44676</v>
      </c>
    </row>
    <row r="10" spans="1:10" x14ac:dyDescent="0.35">
      <c r="A10" s="58">
        <v>4</v>
      </c>
      <c r="B10" s="59" t="s">
        <v>85</v>
      </c>
      <c r="C10" s="60" t="s">
        <v>84</v>
      </c>
      <c r="D10" s="61">
        <v>89.2</v>
      </c>
      <c r="E10" s="61">
        <v>780831</v>
      </c>
      <c r="F10" s="62">
        <v>39041.550000000003</v>
      </c>
      <c r="G10" s="62">
        <v>5075.4015000000009</v>
      </c>
      <c r="H10" s="62">
        <v>44116.951500000003</v>
      </c>
      <c r="I10" s="63">
        <v>83645.19</v>
      </c>
      <c r="J10" s="64">
        <v>44735</v>
      </c>
    </row>
    <row r="11" spans="1:10" x14ac:dyDescent="0.35">
      <c r="A11" s="58">
        <v>5</v>
      </c>
      <c r="B11" s="59" t="s">
        <v>85</v>
      </c>
      <c r="C11" s="60" t="s">
        <v>84</v>
      </c>
      <c r="D11" s="61">
        <v>0</v>
      </c>
      <c r="E11" s="61">
        <v>107361.78</v>
      </c>
      <c r="F11" s="62">
        <v>5700</v>
      </c>
      <c r="G11" s="62">
        <v>741</v>
      </c>
      <c r="H11" s="62">
        <v>6441</v>
      </c>
      <c r="I11" s="63">
        <v>20773.599999999999</v>
      </c>
      <c r="J11" s="64">
        <v>44735</v>
      </c>
    </row>
    <row r="12" spans="1:10" x14ac:dyDescent="0.35">
      <c r="A12" s="58">
        <v>6</v>
      </c>
      <c r="B12" s="59" t="s">
        <v>83</v>
      </c>
      <c r="C12" s="60" t="s">
        <v>86</v>
      </c>
      <c r="D12" s="61">
        <v>0</v>
      </c>
      <c r="E12" s="61">
        <v>426041.44</v>
      </c>
      <c r="F12" s="62">
        <v>42604.14</v>
      </c>
      <c r="G12" s="62">
        <v>5538.5382</v>
      </c>
      <c r="H12" s="62">
        <v>48142.678200000002</v>
      </c>
      <c r="I12" s="63">
        <v>574541</v>
      </c>
      <c r="J12" s="64">
        <v>44760</v>
      </c>
    </row>
    <row r="13" spans="1:10" x14ac:dyDescent="0.35">
      <c r="A13" s="58">
        <v>7</v>
      </c>
      <c r="B13" s="59" t="s">
        <v>83</v>
      </c>
      <c r="C13" s="60" t="s">
        <v>87</v>
      </c>
      <c r="D13" s="61">
        <v>0</v>
      </c>
      <c r="E13" s="61">
        <v>232690</v>
      </c>
      <c r="F13" s="62">
        <v>23269</v>
      </c>
      <c r="G13" s="62">
        <v>3024.9700000000003</v>
      </c>
      <c r="H13" s="62">
        <v>26293.97</v>
      </c>
      <c r="I13" s="63">
        <v>145368</v>
      </c>
      <c r="J13" s="64">
        <v>44806</v>
      </c>
    </row>
    <row r="14" spans="1:10" x14ac:dyDescent="0.35">
      <c r="A14" s="58">
        <v>8</v>
      </c>
      <c r="B14" s="59" t="s">
        <v>83</v>
      </c>
      <c r="C14" s="60" t="s">
        <v>84</v>
      </c>
      <c r="D14" s="61">
        <v>36.4</v>
      </c>
      <c r="E14" s="61">
        <v>233283</v>
      </c>
      <c r="F14" s="62">
        <v>14500</v>
      </c>
      <c r="G14" s="62">
        <v>1885</v>
      </c>
      <c r="H14" s="62">
        <v>16385</v>
      </c>
      <c r="I14" s="63">
        <v>57714.15</v>
      </c>
      <c r="J14" s="64" t="s">
        <v>88</v>
      </c>
    </row>
    <row r="15" spans="1:10" ht="15" thickBot="1" x14ac:dyDescent="0.4">
      <c r="A15" s="58"/>
      <c r="B15" s="59"/>
      <c r="C15" s="65"/>
      <c r="D15" s="66"/>
      <c r="E15" s="66"/>
      <c r="F15" s="62"/>
      <c r="G15" s="62"/>
      <c r="H15" s="62"/>
      <c r="I15" s="63"/>
      <c r="J15" s="64"/>
    </row>
    <row r="16" spans="1:10" ht="15" thickBot="1" x14ac:dyDescent="0.4">
      <c r="A16" s="58"/>
      <c r="B16" s="67"/>
      <c r="C16" s="68" t="s">
        <v>89</v>
      </c>
      <c r="D16" s="69">
        <f>SUM(D7:D15)</f>
        <v>372.27</v>
      </c>
      <c r="E16" s="69">
        <f>SUM(E7:E15)</f>
        <v>2959741.67</v>
      </c>
      <c r="F16" s="70"/>
      <c r="G16" s="62"/>
      <c r="H16" s="62"/>
      <c r="I16" s="63"/>
      <c r="J16" s="64"/>
    </row>
    <row r="17" spans="1:10" x14ac:dyDescent="0.35">
      <c r="A17" s="58"/>
      <c r="B17" s="59"/>
      <c r="C17" s="71"/>
      <c r="D17" s="72"/>
      <c r="E17" s="72"/>
      <c r="F17" s="62"/>
      <c r="G17" s="62"/>
      <c r="H17" s="62"/>
      <c r="I17" s="63"/>
      <c r="J17" s="64"/>
    </row>
    <row r="18" spans="1:10" x14ac:dyDescent="0.35">
      <c r="A18" s="58"/>
      <c r="B18" s="59"/>
      <c r="C18" s="60"/>
      <c r="D18" s="61"/>
      <c r="E18" s="61"/>
      <c r="F18" s="62"/>
      <c r="G18" s="62"/>
      <c r="H18" s="62"/>
      <c r="I18" s="63"/>
      <c r="J18" s="64"/>
    </row>
    <row r="19" spans="1:10" x14ac:dyDescent="0.35">
      <c r="A19" s="58"/>
      <c r="B19" s="73"/>
      <c r="C19" s="60"/>
      <c r="D19" s="61"/>
      <c r="E19" s="61"/>
      <c r="F19" s="62"/>
      <c r="G19" s="62"/>
      <c r="H19" s="62"/>
      <c r="I19" s="63"/>
      <c r="J19" s="64"/>
    </row>
    <row r="20" spans="1:10" x14ac:dyDescent="0.35">
      <c r="A20" s="58"/>
      <c r="B20" s="59"/>
      <c r="C20" s="60"/>
      <c r="D20" s="61"/>
      <c r="E20" s="61"/>
      <c r="F20" s="62"/>
      <c r="G20" s="62"/>
      <c r="H20" s="62"/>
      <c r="I20" s="63"/>
      <c r="J20" s="64"/>
    </row>
    <row r="21" spans="1:10" x14ac:dyDescent="0.35">
      <c r="A21" s="58"/>
      <c r="B21" s="73"/>
      <c r="C21" s="60"/>
      <c r="D21" s="61"/>
      <c r="E21" s="61"/>
      <c r="F21" s="62"/>
      <c r="G21" s="62"/>
      <c r="H21" s="62"/>
      <c r="I21" s="63"/>
      <c r="J21" s="64"/>
    </row>
    <row r="22" spans="1:10" x14ac:dyDescent="0.35">
      <c r="A22" s="58"/>
      <c r="B22" s="73"/>
      <c r="C22" s="60"/>
      <c r="D22" s="61"/>
      <c r="E22" s="61"/>
      <c r="F22" s="62"/>
      <c r="G22" s="62"/>
      <c r="H22" s="62"/>
      <c r="I22" s="63"/>
      <c r="J22" s="64"/>
    </row>
  </sheetData>
  <printOptions horizontalCentered="1"/>
  <pageMargins left="0.7" right="0.7" top="0.75" bottom="0.75" header="0.3" footer="0.3"/>
  <pageSetup paperSize="17" scale="52" fitToHeight="0" orientation="portrait" r:id="rId1"/>
  <headerFooter alignWithMargins="0"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Guelph 2022 Actual</vt:lpstr>
      <vt:lpstr>Retrofit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Kong</dc:creator>
  <cp:lastModifiedBy>Debbie Kong</cp:lastModifiedBy>
  <dcterms:created xsi:type="dcterms:W3CDTF">2023-07-11T17:42:15Z</dcterms:created>
  <dcterms:modified xsi:type="dcterms:W3CDTF">2023-07-12T19:42:09Z</dcterms:modified>
</cp:coreProperties>
</file>