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defaultThemeVersion="124226"/>
  <xr:revisionPtr revIDLastSave="0" documentId="8_{957A90F2-6044-43FC-8E4C-2039BDC2DEBD}" xr6:coauthVersionLast="47" xr6:coauthVersionMax="47" xr10:uidLastSave="{00000000-0000-0000-0000-000000000000}"/>
  <bookViews>
    <workbookView xWindow="-120" yWindow="-120" windowWidth="29040" windowHeight="15840" tabRatio="799" firstSheet="3" activeTab="9" xr2:uid="{00000000-000D-0000-FFFF-FFFF00000000}"/>
  </bookViews>
  <sheets>
    <sheet name="1. LDC Info" sheetId="45" r:id="rId1"/>
    <sheet name="2. Customer Classes" sheetId="44" r:id="rId2"/>
    <sheet name="3. Consumption by Rate Class" sheetId="30" r:id="rId3"/>
    <sheet name="4. Customer Growth" sheetId="6" r:id="rId4"/>
    <sheet name="5.Variables" sheetId="52" r:id="rId5"/>
    <sheet name="6. WS Regression Analysis" sheetId="4" r:id="rId6"/>
    <sheet name="6. WS Regression Analysis no DH" sheetId="59" r:id="rId7"/>
    <sheet name="6.1 Regression Scenarios" sheetId="17" r:id="rId8"/>
    <sheet name="7. Weather Senstive Class" sheetId="29" r:id="rId9"/>
    <sheet name="8. KW and Non-Weather Sensitive" sheetId="46" r:id="rId10"/>
    <sheet name="9. Weather Adj LF" sheetId="32" r:id="rId11"/>
    <sheet name="10. CDM Adjustment" sheetId="42" state="hidden" r:id="rId12"/>
    <sheet name="10.CDM Allocation V2" sheetId="56" state="hidden" r:id="rId13"/>
    <sheet name="10.1 CDM Allocation" sheetId="53" state="hidden" r:id="rId14"/>
    <sheet name="11. Final Load Forecast" sheetId="51" r:id="rId15"/>
    <sheet name="12. Analysis_ Avg Per Cust" sheetId="38" r:id="rId16"/>
    <sheet name="13. Analysis_Weather adj LF" sheetId="47" state="hidden" r:id="rId17"/>
  </sheets>
  <externalReferences>
    <externalReference r:id="rId18"/>
    <externalReference r:id="rId19"/>
  </externalReferences>
  <definedNames>
    <definedName name="_xlnm._FilterDatabase" localSheetId="5" hidden="1">'6. WS Regression Analysis'!$A$20:$E$163</definedName>
    <definedName name="_xlnm._FilterDatabase" localSheetId="6" hidden="1">'6. WS Regression Analysis no DH'!$A$20:$E$163</definedName>
    <definedName name="AllVariables" localSheetId="12">'[1]5.Variables'!$B$120:$B$125</definedName>
    <definedName name="AllVariables">'5.Variables'!$B$120:$B$125</definedName>
    <definedName name="EBNUMBER" localSheetId="12">'[2]LDC Info'!$E$16</definedName>
    <definedName name="_xlnm.Print_Area" localSheetId="4">'5.Variables'!$A$10:$Y$132</definedName>
    <definedName name="_xlnm.Print_Area" localSheetId="5">'6. WS Regression Analysis'!$C$127:$I$139</definedName>
    <definedName name="_xlnm.Print_Area" localSheetId="6">'6. WS Regression Analysis no DH'!$C$127:$I$139</definedName>
    <definedName name="Variable1" localSheetId="12">'[1]5.Variables'!$B$16</definedName>
    <definedName name="Variable1">'5.Variables'!$B$16</definedName>
    <definedName name="Variable2" localSheetId="12">'[1]5.Variables'!$B$39</definedName>
    <definedName name="Variable2">'5.Variables'!$B$39</definedName>
    <definedName name="Variable3" localSheetId="12">'[1]5.Variables'!$B$62</definedName>
    <definedName name="Variable3">'5.Variables'!$B$62</definedName>
    <definedName name="Variable5" localSheetId="12">'[1]5.Variables'!$B$90</definedName>
    <definedName name="Variable5">'5.Variables'!$B$90</definedName>
    <definedName name="Variable6" localSheetId="12">'[1]5.Variables'!$B$104</definedName>
    <definedName name="Variable6">'5.Variables'!$B$104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41" i="59" l="1"/>
  <c r="Q142" i="59"/>
  <c r="Q143" i="59"/>
  <c r="Q144" i="59"/>
  <c r="Q145" i="59"/>
  <c r="Q146" i="59"/>
  <c r="Q147" i="59"/>
  <c r="Q148" i="59"/>
  <c r="Q149" i="59"/>
  <c r="Q150" i="59"/>
  <c r="Q151" i="59"/>
  <c r="Q152" i="59"/>
  <c r="Q153" i="59"/>
  <c r="Q154" i="59"/>
  <c r="Q155" i="59"/>
  <c r="Q156" i="59"/>
  <c r="Q157" i="59"/>
  <c r="Q158" i="59"/>
  <c r="Q159" i="59"/>
  <c r="Q160" i="59"/>
  <c r="Q161" i="59"/>
  <c r="Q162" i="59"/>
  <c r="Q163" i="59"/>
  <c r="Q140" i="59"/>
  <c r="Q21" i="59"/>
  <c r="Q22" i="59"/>
  <c r="Q23" i="59"/>
  <c r="Q24" i="59"/>
  <c r="Q25" i="59"/>
  <c r="Q26" i="59"/>
  <c r="Q27" i="59"/>
  <c r="Q28" i="59"/>
  <c r="Q29" i="59"/>
  <c r="Q30" i="59"/>
  <c r="Q31" i="59"/>
  <c r="Q32" i="59"/>
  <c r="Q33" i="59"/>
  <c r="Q34" i="59"/>
  <c r="Q35" i="59"/>
  <c r="Q36" i="59"/>
  <c r="Q37" i="59"/>
  <c r="Q38" i="59"/>
  <c r="Q39" i="59"/>
  <c r="Q40" i="59"/>
  <c r="Q41" i="59"/>
  <c r="Q42" i="59"/>
  <c r="Q43" i="59"/>
  <c r="Q44" i="59"/>
  <c r="Q45" i="59"/>
  <c r="Q46" i="59"/>
  <c r="Q47" i="59"/>
  <c r="Q48" i="59"/>
  <c r="Q49" i="59"/>
  <c r="Q50" i="59"/>
  <c r="Q51" i="59"/>
  <c r="Q52" i="59"/>
  <c r="Q53" i="59"/>
  <c r="Q54" i="59"/>
  <c r="Q55" i="59"/>
  <c r="Q56" i="59"/>
  <c r="Q57" i="59"/>
  <c r="Q58" i="59"/>
  <c r="Q59" i="59"/>
  <c r="Q60" i="59"/>
  <c r="Q61" i="59"/>
  <c r="Q62" i="59"/>
  <c r="Q63" i="59"/>
  <c r="Q64" i="59"/>
  <c r="Q65" i="59"/>
  <c r="Q66" i="59"/>
  <c r="Q67" i="59"/>
  <c r="Q68" i="59"/>
  <c r="Q69" i="59"/>
  <c r="Q70" i="59"/>
  <c r="Q71" i="59"/>
  <c r="Q72" i="59"/>
  <c r="Q73" i="59"/>
  <c r="Q74" i="59"/>
  <c r="Q75" i="59"/>
  <c r="Q76" i="59"/>
  <c r="Q77" i="59"/>
  <c r="Q78" i="59"/>
  <c r="Q79" i="59"/>
  <c r="Q80" i="59"/>
  <c r="Q81" i="59"/>
  <c r="Q82" i="59"/>
  <c r="Q83" i="59"/>
  <c r="Q84" i="59"/>
  <c r="Q85" i="59"/>
  <c r="Q86" i="59"/>
  <c r="Q87" i="59"/>
  <c r="Q88" i="59"/>
  <c r="Q89" i="59"/>
  <c r="Q90" i="59"/>
  <c r="Q91" i="59"/>
  <c r="Q92" i="59"/>
  <c r="Q93" i="59"/>
  <c r="Q94" i="59"/>
  <c r="Q95" i="59"/>
  <c r="Q96" i="59"/>
  <c r="Q97" i="59"/>
  <c r="Q98" i="59"/>
  <c r="Q99" i="59"/>
  <c r="Q100" i="59"/>
  <c r="Q101" i="59"/>
  <c r="Q102" i="59"/>
  <c r="Q103" i="59"/>
  <c r="Q104" i="59"/>
  <c r="Q105" i="59"/>
  <c r="Q106" i="59"/>
  <c r="Q107" i="59"/>
  <c r="Q108" i="59"/>
  <c r="Q109" i="59"/>
  <c r="Q110" i="59"/>
  <c r="Q111" i="59"/>
  <c r="Q112" i="59"/>
  <c r="Q113" i="59"/>
  <c r="Q114" i="59"/>
  <c r="Q115" i="59"/>
  <c r="Q116" i="59"/>
  <c r="Q117" i="59"/>
  <c r="Q118" i="59"/>
  <c r="Q119" i="59"/>
  <c r="Q120" i="59"/>
  <c r="Q121" i="59"/>
  <c r="Q122" i="59"/>
  <c r="Q123" i="59"/>
  <c r="Q124" i="59"/>
  <c r="Q125" i="59"/>
  <c r="Q126" i="59"/>
  <c r="Q127" i="59"/>
  <c r="Q128" i="59"/>
  <c r="Q129" i="59"/>
  <c r="Q130" i="59"/>
  <c r="Q131" i="59"/>
  <c r="Q132" i="59"/>
  <c r="Q133" i="59"/>
  <c r="Q134" i="59"/>
  <c r="Q135" i="59"/>
  <c r="Q136" i="59"/>
  <c r="Q137" i="59"/>
  <c r="Q138" i="59"/>
  <c r="Q139" i="59"/>
  <c r="Q20" i="59"/>
  <c r="C179" i="59"/>
  <c r="B163" i="59"/>
  <c r="B162" i="59"/>
  <c r="B161" i="59"/>
  <c r="B160" i="59"/>
  <c r="B159" i="59"/>
  <c r="B158" i="59"/>
  <c r="B157" i="59"/>
  <c r="B156" i="59"/>
  <c r="B155" i="59"/>
  <c r="B154" i="59"/>
  <c r="B153" i="59"/>
  <c r="B152" i="59"/>
  <c r="B151" i="59"/>
  <c r="B150" i="59"/>
  <c r="B149" i="59"/>
  <c r="B148" i="59"/>
  <c r="B147" i="59"/>
  <c r="B146" i="59"/>
  <c r="B145" i="59"/>
  <c r="B144" i="59"/>
  <c r="B143" i="59"/>
  <c r="B142" i="59"/>
  <c r="B141" i="59"/>
  <c r="B140" i="59"/>
  <c r="N139" i="59"/>
  <c r="M139" i="59"/>
  <c r="L139" i="59"/>
  <c r="K139" i="59"/>
  <c r="J139" i="59"/>
  <c r="I139" i="59"/>
  <c r="B139" i="59"/>
  <c r="N138" i="59"/>
  <c r="M138" i="59"/>
  <c r="L138" i="59"/>
  <c r="K138" i="59"/>
  <c r="J138" i="59"/>
  <c r="I138" i="59"/>
  <c r="B138" i="59"/>
  <c r="N137" i="59"/>
  <c r="M137" i="59"/>
  <c r="L137" i="59"/>
  <c r="K137" i="59"/>
  <c r="J137" i="59"/>
  <c r="I137" i="59"/>
  <c r="B137" i="59"/>
  <c r="N136" i="59"/>
  <c r="M136" i="59"/>
  <c r="L136" i="59"/>
  <c r="K136" i="59"/>
  <c r="J136" i="59"/>
  <c r="I136" i="59"/>
  <c r="B136" i="59"/>
  <c r="N135" i="59"/>
  <c r="M135" i="59"/>
  <c r="L135" i="59"/>
  <c r="K135" i="59"/>
  <c r="J135" i="59"/>
  <c r="I135" i="59"/>
  <c r="B135" i="59"/>
  <c r="N134" i="59"/>
  <c r="M134" i="59"/>
  <c r="L134" i="59"/>
  <c r="K134" i="59"/>
  <c r="J134" i="59"/>
  <c r="I134" i="59"/>
  <c r="B134" i="59"/>
  <c r="N133" i="59"/>
  <c r="M133" i="59"/>
  <c r="L133" i="59"/>
  <c r="K133" i="59"/>
  <c r="J133" i="59"/>
  <c r="I133" i="59"/>
  <c r="B133" i="59"/>
  <c r="N132" i="59"/>
  <c r="M132" i="59"/>
  <c r="L132" i="59"/>
  <c r="K132" i="59"/>
  <c r="J132" i="59"/>
  <c r="I132" i="59"/>
  <c r="B132" i="59"/>
  <c r="N131" i="59"/>
  <c r="M131" i="59"/>
  <c r="L131" i="59"/>
  <c r="K131" i="59"/>
  <c r="J131" i="59"/>
  <c r="I131" i="59"/>
  <c r="B131" i="59"/>
  <c r="N130" i="59"/>
  <c r="M130" i="59"/>
  <c r="L130" i="59"/>
  <c r="K130" i="59"/>
  <c r="J130" i="59"/>
  <c r="I130" i="59"/>
  <c r="B130" i="59"/>
  <c r="N129" i="59"/>
  <c r="M129" i="59"/>
  <c r="L129" i="59"/>
  <c r="K129" i="59"/>
  <c r="J129" i="59"/>
  <c r="I129" i="59"/>
  <c r="B129" i="59"/>
  <c r="N128" i="59"/>
  <c r="M128" i="59"/>
  <c r="L128" i="59"/>
  <c r="K128" i="59"/>
  <c r="J128" i="59"/>
  <c r="I128" i="59"/>
  <c r="B128" i="59"/>
  <c r="N127" i="59"/>
  <c r="M127" i="59"/>
  <c r="L127" i="59"/>
  <c r="K127" i="59"/>
  <c r="J127" i="59"/>
  <c r="I127" i="59"/>
  <c r="B127" i="59"/>
  <c r="N126" i="59"/>
  <c r="M126" i="59"/>
  <c r="L126" i="59"/>
  <c r="K126" i="59"/>
  <c r="J126" i="59"/>
  <c r="I126" i="59"/>
  <c r="B126" i="59"/>
  <c r="N125" i="59"/>
  <c r="M125" i="59"/>
  <c r="L125" i="59"/>
  <c r="K125" i="59"/>
  <c r="J125" i="59"/>
  <c r="I125" i="59"/>
  <c r="B125" i="59"/>
  <c r="N124" i="59"/>
  <c r="M124" i="59"/>
  <c r="L124" i="59"/>
  <c r="K124" i="59"/>
  <c r="J124" i="59"/>
  <c r="I124" i="59"/>
  <c r="B124" i="59"/>
  <c r="N123" i="59"/>
  <c r="M123" i="59"/>
  <c r="L123" i="59"/>
  <c r="K123" i="59"/>
  <c r="J123" i="59"/>
  <c r="I123" i="59"/>
  <c r="B123" i="59"/>
  <c r="N122" i="59"/>
  <c r="M122" i="59"/>
  <c r="L122" i="59"/>
  <c r="K122" i="59"/>
  <c r="J122" i="59"/>
  <c r="I122" i="59"/>
  <c r="B122" i="59"/>
  <c r="N121" i="59"/>
  <c r="M121" i="59"/>
  <c r="L121" i="59"/>
  <c r="K121" i="59"/>
  <c r="J121" i="59"/>
  <c r="I121" i="59"/>
  <c r="B121" i="59"/>
  <c r="N120" i="59"/>
  <c r="M120" i="59"/>
  <c r="L120" i="59"/>
  <c r="K120" i="59"/>
  <c r="J120" i="59"/>
  <c r="I120" i="59"/>
  <c r="B120" i="59"/>
  <c r="N119" i="59"/>
  <c r="M119" i="59"/>
  <c r="L119" i="59"/>
  <c r="K119" i="59"/>
  <c r="J119" i="59"/>
  <c r="I119" i="59"/>
  <c r="U54" i="59" s="1"/>
  <c r="U67" i="59" s="1"/>
  <c r="B119" i="59"/>
  <c r="N118" i="59"/>
  <c r="M118" i="59"/>
  <c r="L118" i="59"/>
  <c r="K118" i="59"/>
  <c r="J118" i="59"/>
  <c r="I118" i="59"/>
  <c r="B118" i="59"/>
  <c r="N117" i="59"/>
  <c r="M117" i="59"/>
  <c r="L117" i="59"/>
  <c r="K117" i="59"/>
  <c r="J117" i="59"/>
  <c r="I117" i="59"/>
  <c r="B117" i="59"/>
  <c r="N116" i="59"/>
  <c r="M116" i="59"/>
  <c r="L116" i="59"/>
  <c r="K116" i="59"/>
  <c r="J116" i="59"/>
  <c r="I116" i="59"/>
  <c r="B116" i="59"/>
  <c r="N115" i="59"/>
  <c r="M115" i="59"/>
  <c r="L115" i="59"/>
  <c r="K115" i="59"/>
  <c r="J115" i="59"/>
  <c r="I115" i="59"/>
  <c r="B115" i="59"/>
  <c r="N114" i="59"/>
  <c r="M114" i="59"/>
  <c r="L114" i="59"/>
  <c r="K114" i="59"/>
  <c r="J114" i="59"/>
  <c r="I114" i="59"/>
  <c r="B114" i="59"/>
  <c r="N113" i="59"/>
  <c r="M113" i="59"/>
  <c r="L113" i="59"/>
  <c r="K113" i="59"/>
  <c r="J113" i="59"/>
  <c r="I113" i="59"/>
  <c r="B113" i="59"/>
  <c r="N112" i="59"/>
  <c r="M112" i="59"/>
  <c r="L112" i="59"/>
  <c r="K112" i="59"/>
  <c r="J112" i="59"/>
  <c r="I112" i="59"/>
  <c r="B112" i="59"/>
  <c r="N111" i="59"/>
  <c r="M111" i="59"/>
  <c r="L111" i="59"/>
  <c r="K111" i="59"/>
  <c r="J111" i="59"/>
  <c r="I111" i="59"/>
  <c r="B111" i="59"/>
  <c r="N110" i="59"/>
  <c r="M110" i="59"/>
  <c r="L110" i="59"/>
  <c r="K110" i="59"/>
  <c r="J110" i="59"/>
  <c r="I110" i="59"/>
  <c r="B110" i="59"/>
  <c r="N109" i="59"/>
  <c r="M109" i="59"/>
  <c r="L109" i="59"/>
  <c r="K109" i="59"/>
  <c r="J109" i="59"/>
  <c r="I109" i="59"/>
  <c r="B109" i="59"/>
  <c r="N108" i="59"/>
  <c r="M108" i="59"/>
  <c r="L108" i="59"/>
  <c r="K108" i="59"/>
  <c r="J108" i="59"/>
  <c r="I108" i="59"/>
  <c r="B108" i="59"/>
  <c r="N107" i="59"/>
  <c r="M107" i="59"/>
  <c r="L107" i="59"/>
  <c r="K107" i="59"/>
  <c r="J107" i="59"/>
  <c r="I107" i="59"/>
  <c r="B107" i="59"/>
  <c r="N106" i="59"/>
  <c r="M106" i="59"/>
  <c r="L106" i="59"/>
  <c r="K106" i="59"/>
  <c r="J106" i="59"/>
  <c r="I106" i="59"/>
  <c r="U53" i="59" s="1"/>
  <c r="U66" i="59" s="1"/>
  <c r="B106" i="59"/>
  <c r="N105" i="59"/>
  <c r="M105" i="59"/>
  <c r="L105" i="59"/>
  <c r="K105" i="59"/>
  <c r="J105" i="59"/>
  <c r="I105" i="59"/>
  <c r="B105" i="59"/>
  <c r="N104" i="59"/>
  <c r="M104" i="59"/>
  <c r="L104" i="59"/>
  <c r="K104" i="59"/>
  <c r="J104" i="59"/>
  <c r="I104" i="59"/>
  <c r="B104" i="59"/>
  <c r="N103" i="59"/>
  <c r="M103" i="59"/>
  <c r="L103" i="59"/>
  <c r="K103" i="59"/>
  <c r="J103" i="59"/>
  <c r="I103" i="59"/>
  <c r="B103" i="59"/>
  <c r="N102" i="59"/>
  <c r="M102" i="59"/>
  <c r="L102" i="59"/>
  <c r="K102" i="59"/>
  <c r="J102" i="59"/>
  <c r="I102" i="59"/>
  <c r="B102" i="59"/>
  <c r="N101" i="59"/>
  <c r="M101" i="59"/>
  <c r="L101" i="59"/>
  <c r="K101" i="59"/>
  <c r="J101" i="59"/>
  <c r="I101" i="59"/>
  <c r="B101" i="59"/>
  <c r="N100" i="59"/>
  <c r="M100" i="59"/>
  <c r="L100" i="59"/>
  <c r="K100" i="59"/>
  <c r="J100" i="59"/>
  <c r="I100" i="59"/>
  <c r="B100" i="59"/>
  <c r="N99" i="59"/>
  <c r="M99" i="59"/>
  <c r="L99" i="59"/>
  <c r="K99" i="59"/>
  <c r="J99" i="59"/>
  <c r="I99" i="59"/>
  <c r="B99" i="59"/>
  <c r="N98" i="59"/>
  <c r="M98" i="59"/>
  <c r="L98" i="59"/>
  <c r="K98" i="59"/>
  <c r="J98" i="59"/>
  <c r="I98" i="59"/>
  <c r="B98" i="59"/>
  <c r="N97" i="59"/>
  <c r="M97" i="59"/>
  <c r="L97" i="59"/>
  <c r="K97" i="59"/>
  <c r="J97" i="59"/>
  <c r="I97" i="59"/>
  <c r="U52" i="59" s="1"/>
  <c r="B97" i="59"/>
  <c r="N96" i="59"/>
  <c r="M96" i="59"/>
  <c r="L96" i="59"/>
  <c r="K96" i="59"/>
  <c r="J96" i="59"/>
  <c r="I96" i="59"/>
  <c r="B96" i="59"/>
  <c r="N95" i="59"/>
  <c r="M95" i="59"/>
  <c r="L95" i="59"/>
  <c r="K95" i="59"/>
  <c r="J95" i="59"/>
  <c r="I95" i="59"/>
  <c r="B95" i="59"/>
  <c r="N94" i="59"/>
  <c r="M94" i="59"/>
  <c r="L94" i="59"/>
  <c r="K94" i="59"/>
  <c r="J94" i="59"/>
  <c r="I94" i="59"/>
  <c r="B94" i="59"/>
  <c r="N93" i="59"/>
  <c r="M93" i="59"/>
  <c r="L93" i="59"/>
  <c r="K93" i="59"/>
  <c r="J93" i="59"/>
  <c r="I93" i="59"/>
  <c r="B93" i="59"/>
  <c r="N92" i="59"/>
  <c r="M92" i="59"/>
  <c r="L92" i="59"/>
  <c r="K92" i="59"/>
  <c r="J92" i="59"/>
  <c r="I92" i="59"/>
  <c r="B92" i="59"/>
  <c r="N91" i="59"/>
  <c r="M91" i="59"/>
  <c r="L91" i="59"/>
  <c r="K91" i="59"/>
  <c r="J91" i="59"/>
  <c r="I91" i="59"/>
  <c r="B91" i="59"/>
  <c r="N90" i="59"/>
  <c r="M90" i="59"/>
  <c r="L90" i="59"/>
  <c r="K90" i="59"/>
  <c r="J90" i="59"/>
  <c r="I90" i="59"/>
  <c r="B90" i="59"/>
  <c r="N89" i="59"/>
  <c r="M89" i="59"/>
  <c r="L89" i="59"/>
  <c r="K89" i="59"/>
  <c r="J89" i="59"/>
  <c r="I89" i="59"/>
  <c r="B89" i="59"/>
  <c r="N88" i="59"/>
  <c r="M88" i="59"/>
  <c r="L88" i="59"/>
  <c r="K88" i="59"/>
  <c r="J88" i="59"/>
  <c r="I88" i="59"/>
  <c r="B88" i="59"/>
  <c r="N87" i="59"/>
  <c r="M87" i="59"/>
  <c r="L87" i="59"/>
  <c r="K87" i="59"/>
  <c r="J87" i="59"/>
  <c r="I87" i="59"/>
  <c r="B87" i="59"/>
  <c r="N86" i="59"/>
  <c r="M86" i="59"/>
  <c r="L86" i="59"/>
  <c r="K86" i="59"/>
  <c r="J86" i="59"/>
  <c r="I86" i="59"/>
  <c r="B86" i="59"/>
  <c r="N85" i="59"/>
  <c r="M85" i="59"/>
  <c r="L85" i="59"/>
  <c r="K85" i="59"/>
  <c r="J85" i="59"/>
  <c r="I85" i="59"/>
  <c r="B85" i="59"/>
  <c r="N84" i="59"/>
  <c r="M84" i="59"/>
  <c r="L84" i="59"/>
  <c r="K84" i="59"/>
  <c r="J84" i="59"/>
  <c r="I84" i="59"/>
  <c r="B84" i="59"/>
  <c r="N83" i="59"/>
  <c r="M83" i="59"/>
  <c r="L83" i="59"/>
  <c r="K83" i="59"/>
  <c r="J83" i="59"/>
  <c r="I83" i="59"/>
  <c r="B83" i="59"/>
  <c r="N82" i="59"/>
  <c r="M82" i="59"/>
  <c r="L82" i="59"/>
  <c r="K82" i="59"/>
  <c r="J82" i="59"/>
  <c r="I82" i="59"/>
  <c r="B82" i="59"/>
  <c r="N81" i="59"/>
  <c r="M81" i="59"/>
  <c r="L81" i="59"/>
  <c r="K81" i="59"/>
  <c r="J81" i="59"/>
  <c r="I81" i="59"/>
  <c r="B81" i="59"/>
  <c r="N80" i="59"/>
  <c r="M80" i="59"/>
  <c r="L80" i="59"/>
  <c r="K80" i="59"/>
  <c r="J80" i="59"/>
  <c r="I80" i="59"/>
  <c r="B80" i="59"/>
  <c r="N79" i="59"/>
  <c r="M79" i="59"/>
  <c r="L79" i="59"/>
  <c r="K79" i="59"/>
  <c r="J79" i="59"/>
  <c r="I79" i="59"/>
  <c r="B79" i="59"/>
  <c r="N78" i="59"/>
  <c r="M78" i="59"/>
  <c r="L78" i="59"/>
  <c r="K78" i="59"/>
  <c r="J78" i="59"/>
  <c r="I78" i="59"/>
  <c r="B78" i="59"/>
  <c r="N77" i="59"/>
  <c r="M77" i="59"/>
  <c r="L77" i="59"/>
  <c r="K77" i="59"/>
  <c r="J77" i="59"/>
  <c r="I77" i="59"/>
  <c r="B77" i="59"/>
  <c r="N76" i="59"/>
  <c r="M76" i="59"/>
  <c r="L76" i="59"/>
  <c r="K76" i="59"/>
  <c r="J76" i="59"/>
  <c r="I76" i="59"/>
  <c r="B76" i="59"/>
  <c r="N75" i="59"/>
  <c r="M75" i="59"/>
  <c r="L75" i="59"/>
  <c r="K75" i="59"/>
  <c r="J75" i="59"/>
  <c r="I75" i="59"/>
  <c r="B75" i="59"/>
  <c r="N74" i="59"/>
  <c r="M74" i="59"/>
  <c r="L74" i="59"/>
  <c r="K74" i="59"/>
  <c r="J74" i="59"/>
  <c r="I74" i="59"/>
  <c r="B74" i="59"/>
  <c r="N73" i="59"/>
  <c r="M73" i="59"/>
  <c r="L73" i="59"/>
  <c r="K73" i="59"/>
  <c r="J73" i="59"/>
  <c r="I73" i="59"/>
  <c r="B73" i="59"/>
  <c r="N72" i="59"/>
  <c r="M72" i="59"/>
  <c r="L72" i="59"/>
  <c r="K72" i="59"/>
  <c r="J72" i="59"/>
  <c r="I72" i="59"/>
  <c r="B72" i="59"/>
  <c r="N71" i="59"/>
  <c r="M71" i="59"/>
  <c r="L71" i="59"/>
  <c r="K71" i="59"/>
  <c r="J71" i="59"/>
  <c r="I71" i="59"/>
  <c r="B71" i="59"/>
  <c r="N70" i="59"/>
  <c r="M70" i="59"/>
  <c r="L70" i="59"/>
  <c r="K70" i="59"/>
  <c r="J70" i="59"/>
  <c r="I70" i="59"/>
  <c r="B70" i="59"/>
  <c r="N69" i="59"/>
  <c r="M69" i="59"/>
  <c r="L69" i="59"/>
  <c r="K69" i="59"/>
  <c r="J69" i="59"/>
  <c r="I69" i="59"/>
  <c r="B69" i="59"/>
  <c r="T68" i="59"/>
  <c r="N68" i="59"/>
  <c r="M68" i="59"/>
  <c r="L68" i="59"/>
  <c r="K68" i="59"/>
  <c r="J68" i="59"/>
  <c r="I68" i="59"/>
  <c r="B68" i="59"/>
  <c r="T67" i="59"/>
  <c r="N67" i="59"/>
  <c r="M67" i="59"/>
  <c r="L67" i="59"/>
  <c r="K67" i="59"/>
  <c r="J67" i="59"/>
  <c r="I67" i="59"/>
  <c r="B67" i="59"/>
  <c r="T66" i="59"/>
  <c r="N66" i="59"/>
  <c r="M66" i="59"/>
  <c r="L66" i="59"/>
  <c r="K66" i="59"/>
  <c r="J66" i="59"/>
  <c r="I66" i="59"/>
  <c r="B66" i="59"/>
  <c r="T65" i="59"/>
  <c r="N65" i="59"/>
  <c r="M65" i="59"/>
  <c r="L65" i="59"/>
  <c r="K65" i="59"/>
  <c r="J65" i="59"/>
  <c r="I65" i="59"/>
  <c r="B65" i="59"/>
  <c r="T64" i="59"/>
  <c r="N64" i="59"/>
  <c r="M64" i="59"/>
  <c r="L64" i="59"/>
  <c r="K64" i="59"/>
  <c r="J64" i="59"/>
  <c r="I64" i="59"/>
  <c r="B64" i="59"/>
  <c r="T63" i="59"/>
  <c r="N63" i="59"/>
  <c r="M63" i="59"/>
  <c r="L63" i="59"/>
  <c r="K63" i="59"/>
  <c r="J63" i="59"/>
  <c r="I63" i="59"/>
  <c r="B63" i="59"/>
  <c r="T62" i="59"/>
  <c r="N62" i="59"/>
  <c r="M62" i="59"/>
  <c r="L62" i="59"/>
  <c r="K62" i="59"/>
  <c r="J62" i="59"/>
  <c r="I62" i="59"/>
  <c r="B62" i="59"/>
  <c r="T61" i="59"/>
  <c r="N61" i="59"/>
  <c r="M61" i="59"/>
  <c r="L61" i="59"/>
  <c r="K61" i="59"/>
  <c r="J61" i="59"/>
  <c r="I61" i="59"/>
  <c r="B61" i="59"/>
  <c r="T60" i="59"/>
  <c r="N60" i="59"/>
  <c r="M60" i="59"/>
  <c r="L60" i="59"/>
  <c r="K60" i="59"/>
  <c r="J60" i="59"/>
  <c r="I60" i="59"/>
  <c r="B60" i="59"/>
  <c r="T59" i="59"/>
  <c r="N59" i="59"/>
  <c r="M59" i="59"/>
  <c r="L59" i="59"/>
  <c r="K59" i="59"/>
  <c r="J59" i="59"/>
  <c r="I59" i="59"/>
  <c r="B59" i="59"/>
  <c r="N58" i="59"/>
  <c r="M58" i="59"/>
  <c r="L58" i="59"/>
  <c r="K58" i="59"/>
  <c r="J58" i="59"/>
  <c r="I58" i="59"/>
  <c r="B58" i="59"/>
  <c r="N57" i="59"/>
  <c r="M57" i="59"/>
  <c r="L57" i="59"/>
  <c r="K57" i="59"/>
  <c r="J57" i="59"/>
  <c r="I57" i="59"/>
  <c r="B57" i="59"/>
  <c r="N56" i="59"/>
  <c r="M56" i="59"/>
  <c r="L56" i="59"/>
  <c r="K56" i="59"/>
  <c r="J56" i="59"/>
  <c r="I56" i="59"/>
  <c r="B56" i="59"/>
  <c r="T55" i="59"/>
  <c r="N55" i="59"/>
  <c r="M55" i="59"/>
  <c r="L55" i="59"/>
  <c r="K55" i="59"/>
  <c r="J55" i="59"/>
  <c r="I55" i="59"/>
  <c r="B55" i="59"/>
  <c r="T54" i="59"/>
  <c r="N54" i="59"/>
  <c r="M54" i="59"/>
  <c r="L54" i="59"/>
  <c r="K54" i="59"/>
  <c r="J54" i="59"/>
  <c r="I54" i="59"/>
  <c r="B54" i="59"/>
  <c r="T53" i="59"/>
  <c r="N53" i="59"/>
  <c r="M53" i="59"/>
  <c r="L53" i="59"/>
  <c r="K53" i="59"/>
  <c r="J53" i="59"/>
  <c r="I53" i="59"/>
  <c r="B53" i="59"/>
  <c r="T52" i="59"/>
  <c r="N52" i="59"/>
  <c r="M52" i="59"/>
  <c r="L52" i="59"/>
  <c r="K52" i="59"/>
  <c r="J52" i="59"/>
  <c r="I52" i="59"/>
  <c r="B52" i="59"/>
  <c r="T51" i="59"/>
  <c r="N51" i="59"/>
  <c r="M51" i="59"/>
  <c r="L51" i="59"/>
  <c r="K51" i="59"/>
  <c r="J51" i="59"/>
  <c r="I51" i="59"/>
  <c r="B51" i="59"/>
  <c r="T50" i="59"/>
  <c r="N50" i="59"/>
  <c r="M50" i="59"/>
  <c r="L50" i="59"/>
  <c r="K50" i="59"/>
  <c r="J50" i="59"/>
  <c r="I50" i="59"/>
  <c r="B50" i="59"/>
  <c r="T49" i="59"/>
  <c r="N49" i="59"/>
  <c r="M49" i="59"/>
  <c r="L49" i="59"/>
  <c r="K49" i="59"/>
  <c r="J49" i="59"/>
  <c r="I49" i="59"/>
  <c r="B49" i="59"/>
  <c r="T48" i="59"/>
  <c r="N48" i="59"/>
  <c r="M48" i="59"/>
  <c r="L48" i="59"/>
  <c r="K48" i="59"/>
  <c r="J48" i="59"/>
  <c r="I48" i="59"/>
  <c r="B48" i="59"/>
  <c r="T47" i="59"/>
  <c r="N47" i="59"/>
  <c r="M47" i="59"/>
  <c r="L47" i="59"/>
  <c r="K47" i="59"/>
  <c r="J47" i="59"/>
  <c r="I47" i="59"/>
  <c r="B47" i="59"/>
  <c r="T46" i="59"/>
  <c r="N46" i="59"/>
  <c r="M46" i="59"/>
  <c r="L46" i="59"/>
  <c r="K46" i="59"/>
  <c r="J46" i="59"/>
  <c r="I46" i="59"/>
  <c r="B46" i="59"/>
  <c r="N45" i="59"/>
  <c r="M45" i="59"/>
  <c r="L45" i="59"/>
  <c r="K45" i="59"/>
  <c r="J45" i="59"/>
  <c r="I45" i="59"/>
  <c r="B45" i="59"/>
  <c r="N44" i="59"/>
  <c r="M44" i="59"/>
  <c r="L44" i="59"/>
  <c r="K44" i="59"/>
  <c r="J44" i="59"/>
  <c r="I44" i="59"/>
  <c r="B44" i="59"/>
  <c r="N43" i="59"/>
  <c r="M43" i="59"/>
  <c r="L43" i="59"/>
  <c r="K43" i="59"/>
  <c r="J43" i="59"/>
  <c r="I43" i="59"/>
  <c r="B43" i="59"/>
  <c r="N42" i="59"/>
  <c r="M42" i="59"/>
  <c r="L42" i="59"/>
  <c r="K42" i="59"/>
  <c r="J42" i="59"/>
  <c r="I42" i="59"/>
  <c r="B42" i="59"/>
  <c r="N41" i="59"/>
  <c r="M41" i="59"/>
  <c r="L41" i="59"/>
  <c r="K41" i="59"/>
  <c r="J41" i="59"/>
  <c r="I41" i="59"/>
  <c r="B41" i="59"/>
  <c r="N40" i="59"/>
  <c r="M40" i="59"/>
  <c r="L40" i="59"/>
  <c r="K40" i="59"/>
  <c r="J40" i="59"/>
  <c r="I40" i="59"/>
  <c r="B40" i="59"/>
  <c r="N39" i="59"/>
  <c r="M39" i="59"/>
  <c r="L39" i="59"/>
  <c r="K39" i="59"/>
  <c r="J39" i="59"/>
  <c r="I39" i="59"/>
  <c r="B39" i="59"/>
  <c r="N38" i="59"/>
  <c r="M38" i="59"/>
  <c r="L38" i="59"/>
  <c r="K38" i="59"/>
  <c r="J38" i="59"/>
  <c r="I38" i="59"/>
  <c r="B38" i="59"/>
  <c r="N37" i="59"/>
  <c r="M37" i="59"/>
  <c r="L37" i="59"/>
  <c r="K37" i="59"/>
  <c r="J37" i="59"/>
  <c r="I37" i="59"/>
  <c r="B37" i="59"/>
  <c r="N36" i="59"/>
  <c r="M36" i="59"/>
  <c r="L36" i="59"/>
  <c r="K36" i="59"/>
  <c r="J36" i="59"/>
  <c r="I36" i="59"/>
  <c r="B36" i="59"/>
  <c r="N35" i="59"/>
  <c r="M35" i="59"/>
  <c r="L35" i="59"/>
  <c r="K35" i="59"/>
  <c r="J35" i="59"/>
  <c r="I35" i="59"/>
  <c r="B35" i="59"/>
  <c r="N34" i="59"/>
  <c r="M34" i="59"/>
  <c r="L34" i="59"/>
  <c r="K34" i="59"/>
  <c r="J34" i="59"/>
  <c r="I34" i="59"/>
  <c r="B34" i="59"/>
  <c r="N33" i="59"/>
  <c r="M33" i="59"/>
  <c r="L33" i="59"/>
  <c r="K33" i="59"/>
  <c r="J33" i="59"/>
  <c r="I33" i="59"/>
  <c r="B33" i="59"/>
  <c r="N32" i="59"/>
  <c r="M32" i="59"/>
  <c r="L32" i="59"/>
  <c r="K32" i="59"/>
  <c r="J32" i="59"/>
  <c r="I32" i="59"/>
  <c r="B32" i="59"/>
  <c r="N31" i="59"/>
  <c r="M31" i="59"/>
  <c r="L31" i="59"/>
  <c r="K31" i="59"/>
  <c r="J31" i="59"/>
  <c r="I31" i="59"/>
  <c r="B31" i="59"/>
  <c r="N30" i="59"/>
  <c r="M30" i="59"/>
  <c r="L30" i="59"/>
  <c r="K30" i="59"/>
  <c r="J30" i="59"/>
  <c r="I30" i="59"/>
  <c r="B30" i="59"/>
  <c r="N29" i="59"/>
  <c r="M29" i="59"/>
  <c r="L29" i="59"/>
  <c r="K29" i="59"/>
  <c r="J29" i="59"/>
  <c r="I29" i="59"/>
  <c r="B29" i="59"/>
  <c r="N28" i="59"/>
  <c r="M28" i="59"/>
  <c r="L28" i="59"/>
  <c r="K28" i="59"/>
  <c r="J28" i="59"/>
  <c r="I28" i="59"/>
  <c r="B28" i="59"/>
  <c r="N27" i="59"/>
  <c r="M27" i="59"/>
  <c r="L27" i="59"/>
  <c r="K27" i="59"/>
  <c r="K147" i="59" s="1"/>
  <c r="J27" i="59"/>
  <c r="I27" i="59"/>
  <c r="B27" i="59"/>
  <c r="N26" i="59"/>
  <c r="M26" i="59"/>
  <c r="L26" i="59"/>
  <c r="K26" i="59"/>
  <c r="J26" i="59"/>
  <c r="I26" i="59"/>
  <c r="B26" i="59"/>
  <c r="N25" i="59"/>
  <c r="M25" i="59"/>
  <c r="L25" i="59"/>
  <c r="K25" i="59"/>
  <c r="K145" i="59" s="1"/>
  <c r="J25" i="59"/>
  <c r="I25" i="59"/>
  <c r="B25" i="59"/>
  <c r="N24" i="59"/>
  <c r="N144" i="59" s="1"/>
  <c r="M24" i="59"/>
  <c r="L24" i="59"/>
  <c r="K24" i="59"/>
  <c r="J24" i="59"/>
  <c r="I24" i="59"/>
  <c r="B24" i="59"/>
  <c r="N23" i="59"/>
  <c r="M23" i="59"/>
  <c r="L23" i="59"/>
  <c r="K23" i="59"/>
  <c r="J23" i="59"/>
  <c r="I23" i="59"/>
  <c r="B23" i="59"/>
  <c r="N22" i="59"/>
  <c r="M22" i="59"/>
  <c r="L22" i="59"/>
  <c r="K22" i="59"/>
  <c r="J22" i="59"/>
  <c r="I22" i="59"/>
  <c r="B22" i="59"/>
  <c r="N21" i="59"/>
  <c r="M21" i="59"/>
  <c r="L21" i="59"/>
  <c r="L141" i="59" s="1"/>
  <c r="K21" i="59"/>
  <c r="K141" i="59" s="1"/>
  <c r="J21" i="59"/>
  <c r="I21" i="59"/>
  <c r="B21" i="59"/>
  <c r="A21" i="59"/>
  <c r="A22" i="59" s="1"/>
  <c r="A23" i="59" s="1"/>
  <c r="A24" i="59" s="1"/>
  <c r="A25" i="59" s="1"/>
  <c r="A26" i="59" s="1"/>
  <c r="A27" i="59" s="1"/>
  <c r="A28" i="59" s="1"/>
  <c r="A29" i="59" s="1"/>
  <c r="A30" i="59" s="1"/>
  <c r="A31" i="59" s="1"/>
  <c r="A32" i="59" s="1"/>
  <c r="A33" i="59" s="1"/>
  <c r="A34" i="59" s="1"/>
  <c r="A35" i="59" s="1"/>
  <c r="A36" i="59" s="1"/>
  <c r="A37" i="59" s="1"/>
  <c r="A38" i="59" s="1"/>
  <c r="A39" i="59" s="1"/>
  <c r="A40" i="59" s="1"/>
  <c r="A41" i="59" s="1"/>
  <c r="A42" i="59" s="1"/>
  <c r="A43" i="59" s="1"/>
  <c r="A44" i="59" s="1"/>
  <c r="A45" i="59" s="1"/>
  <c r="A46" i="59" s="1"/>
  <c r="A47" i="59" s="1"/>
  <c r="A48" i="59" s="1"/>
  <c r="A49" i="59" s="1"/>
  <c r="A50" i="59" s="1"/>
  <c r="A51" i="59" s="1"/>
  <c r="A52" i="59" s="1"/>
  <c r="A53" i="59" s="1"/>
  <c r="A54" i="59" s="1"/>
  <c r="A55" i="59" s="1"/>
  <c r="A56" i="59" s="1"/>
  <c r="A57" i="59" s="1"/>
  <c r="A58" i="59" s="1"/>
  <c r="A59" i="59" s="1"/>
  <c r="A60" i="59" s="1"/>
  <c r="A61" i="59" s="1"/>
  <c r="A62" i="59" s="1"/>
  <c r="A63" i="59" s="1"/>
  <c r="A64" i="59" s="1"/>
  <c r="A65" i="59" s="1"/>
  <c r="A66" i="59" s="1"/>
  <c r="A67" i="59" s="1"/>
  <c r="A68" i="59" s="1"/>
  <c r="A69" i="59" s="1"/>
  <c r="A70" i="59" s="1"/>
  <c r="A71" i="59" s="1"/>
  <c r="A72" i="59" s="1"/>
  <c r="A73" i="59" s="1"/>
  <c r="A74" i="59" s="1"/>
  <c r="A75" i="59" s="1"/>
  <c r="A76" i="59" s="1"/>
  <c r="A77" i="59" s="1"/>
  <c r="A78" i="59" s="1"/>
  <c r="A79" i="59" s="1"/>
  <c r="A80" i="59" s="1"/>
  <c r="A81" i="59" s="1"/>
  <c r="A82" i="59" s="1"/>
  <c r="A83" i="59" s="1"/>
  <c r="A84" i="59" s="1"/>
  <c r="A85" i="59" s="1"/>
  <c r="A86" i="59" s="1"/>
  <c r="A87" i="59" s="1"/>
  <c r="A88" i="59" s="1"/>
  <c r="A89" i="59" s="1"/>
  <c r="A90" i="59" s="1"/>
  <c r="A91" i="59" s="1"/>
  <c r="A92" i="59" s="1"/>
  <c r="A93" i="59" s="1"/>
  <c r="A94" i="59" s="1"/>
  <c r="A95" i="59" s="1"/>
  <c r="A96" i="59" s="1"/>
  <c r="A97" i="59" s="1"/>
  <c r="A98" i="59" s="1"/>
  <c r="A99" i="59" s="1"/>
  <c r="A100" i="59" s="1"/>
  <c r="A101" i="59" s="1"/>
  <c r="A102" i="59" s="1"/>
  <c r="A103" i="59" s="1"/>
  <c r="A104" i="59" s="1"/>
  <c r="A105" i="59" s="1"/>
  <c r="A106" i="59" s="1"/>
  <c r="A107" i="59" s="1"/>
  <c r="A108" i="59" s="1"/>
  <c r="A109" i="59" s="1"/>
  <c r="A110" i="59" s="1"/>
  <c r="A111" i="59" s="1"/>
  <c r="A112" i="59" s="1"/>
  <c r="A113" i="59" s="1"/>
  <c r="A114" i="59" s="1"/>
  <c r="A115" i="59" s="1"/>
  <c r="A116" i="59" s="1"/>
  <c r="A117" i="59" s="1"/>
  <c r="A118" i="59" s="1"/>
  <c r="A119" i="59" s="1"/>
  <c r="A120" i="59" s="1"/>
  <c r="A121" i="59" s="1"/>
  <c r="A122" i="59" s="1"/>
  <c r="A123" i="59" s="1"/>
  <c r="A124" i="59" s="1"/>
  <c r="A125" i="59" s="1"/>
  <c r="A126" i="59" s="1"/>
  <c r="A127" i="59" s="1"/>
  <c r="A128" i="59" s="1"/>
  <c r="A129" i="59" s="1"/>
  <c r="A130" i="59" s="1"/>
  <c r="A131" i="59" s="1"/>
  <c r="A132" i="59" s="1"/>
  <c r="A133" i="59" s="1"/>
  <c r="A134" i="59" s="1"/>
  <c r="A135" i="59" s="1"/>
  <c r="A136" i="59" s="1"/>
  <c r="A137" i="59" s="1"/>
  <c r="A138" i="59" s="1"/>
  <c r="A139" i="59" s="1"/>
  <c r="A140" i="59" s="1"/>
  <c r="A141" i="59" s="1"/>
  <c r="A142" i="59" s="1"/>
  <c r="A143" i="59" s="1"/>
  <c r="A144" i="59" s="1"/>
  <c r="A145" i="59" s="1"/>
  <c r="A146" i="59" s="1"/>
  <c r="A147" i="59" s="1"/>
  <c r="A148" i="59" s="1"/>
  <c r="A149" i="59" s="1"/>
  <c r="A150" i="59" s="1"/>
  <c r="A151" i="59" s="1"/>
  <c r="A152" i="59" s="1"/>
  <c r="A153" i="59" s="1"/>
  <c r="A154" i="59" s="1"/>
  <c r="A155" i="59" s="1"/>
  <c r="A156" i="59" s="1"/>
  <c r="A157" i="59" s="1"/>
  <c r="A158" i="59" s="1"/>
  <c r="A159" i="59" s="1"/>
  <c r="A160" i="59" s="1"/>
  <c r="A161" i="59" s="1"/>
  <c r="A162" i="59" s="1"/>
  <c r="A163" i="59" s="1"/>
  <c r="N20" i="59"/>
  <c r="M20" i="59"/>
  <c r="L20" i="59"/>
  <c r="K20" i="59"/>
  <c r="J20" i="59"/>
  <c r="I20" i="59"/>
  <c r="B20" i="59"/>
  <c r="N156" i="59" l="1"/>
  <c r="K150" i="59"/>
  <c r="U46" i="59"/>
  <c r="U59" i="59" s="1"/>
  <c r="J144" i="59"/>
  <c r="J156" i="59" s="1"/>
  <c r="M149" i="59"/>
  <c r="N150" i="59"/>
  <c r="U50" i="59"/>
  <c r="L145" i="59"/>
  <c r="L157" i="59" s="1"/>
  <c r="M148" i="59"/>
  <c r="M160" i="59" s="1"/>
  <c r="N149" i="59"/>
  <c r="U49" i="59"/>
  <c r="U55" i="59"/>
  <c r="M145" i="59"/>
  <c r="M146" i="59"/>
  <c r="M158" i="59" s="1"/>
  <c r="N148" i="59"/>
  <c r="L153" i="59"/>
  <c r="M144" i="59"/>
  <c r="M156" i="59" s="1"/>
  <c r="N146" i="59"/>
  <c r="N147" i="59"/>
  <c r="K153" i="59"/>
  <c r="K140" i="59"/>
  <c r="R91" i="59"/>
  <c r="W51" i="59" s="1"/>
  <c r="V64" i="59" s="1"/>
  <c r="L142" i="59"/>
  <c r="L154" i="59" s="1"/>
  <c r="M142" i="59"/>
  <c r="J148" i="59"/>
  <c r="K149" i="59"/>
  <c r="M151" i="59"/>
  <c r="M163" i="59" s="1"/>
  <c r="K148" i="59"/>
  <c r="K160" i="59" s="1"/>
  <c r="L146" i="59"/>
  <c r="L158" i="59" s="1"/>
  <c r="K159" i="59"/>
  <c r="M140" i="59"/>
  <c r="M152" i="59" s="1"/>
  <c r="J145" i="59"/>
  <c r="L149" i="59"/>
  <c r="M150" i="59"/>
  <c r="U65" i="59"/>
  <c r="J151" i="59"/>
  <c r="N159" i="59"/>
  <c r="N160" i="59"/>
  <c r="M161" i="59"/>
  <c r="M162" i="59"/>
  <c r="L147" i="59"/>
  <c r="L159" i="59" s="1"/>
  <c r="R67" i="59"/>
  <c r="W49" i="59" s="1"/>
  <c r="V50" i="59"/>
  <c r="U63" i="59"/>
  <c r="L140" i="59"/>
  <c r="L152" i="59" s="1"/>
  <c r="M143" i="59"/>
  <c r="M155" i="59" s="1"/>
  <c r="M141" i="59"/>
  <c r="M153" i="59" s="1"/>
  <c r="N143" i="59"/>
  <c r="N155" i="59" s="1"/>
  <c r="N140" i="59"/>
  <c r="N141" i="59"/>
  <c r="N153" i="59" s="1"/>
  <c r="N142" i="59"/>
  <c r="J150" i="59"/>
  <c r="L144" i="59"/>
  <c r="L156" i="59"/>
  <c r="M157" i="59"/>
  <c r="N158" i="59"/>
  <c r="N161" i="59"/>
  <c r="N162" i="59"/>
  <c r="U48" i="59"/>
  <c r="K144" i="59"/>
  <c r="K156" i="59" s="1"/>
  <c r="J160" i="59"/>
  <c r="R43" i="59"/>
  <c r="W47" i="59" s="1"/>
  <c r="L143" i="59"/>
  <c r="L155" i="59" s="1"/>
  <c r="V53" i="59"/>
  <c r="L150" i="59"/>
  <c r="R127" i="59"/>
  <c r="W54" i="59" s="1"/>
  <c r="J153" i="59"/>
  <c r="J161" i="59"/>
  <c r="J143" i="59"/>
  <c r="J146" i="59"/>
  <c r="N151" i="59"/>
  <c r="N163" i="59" s="1"/>
  <c r="N152" i="59"/>
  <c r="M154" i="59"/>
  <c r="K152" i="59"/>
  <c r="V54" i="59"/>
  <c r="R79" i="59"/>
  <c r="W50" i="59" s="1"/>
  <c r="U51" i="59"/>
  <c r="V52" i="59" s="1"/>
  <c r="R103" i="59"/>
  <c r="W52" i="59" s="1"/>
  <c r="C181" i="59"/>
  <c r="J140" i="59"/>
  <c r="J152" i="59" s="1"/>
  <c r="L148" i="59"/>
  <c r="K142" i="59"/>
  <c r="K154" i="59" s="1"/>
  <c r="K146" i="59"/>
  <c r="K158" i="59" s="1"/>
  <c r="J158" i="59"/>
  <c r="K161" i="59"/>
  <c r="L151" i="59"/>
  <c r="L163" i="59" s="1"/>
  <c r="R139" i="59"/>
  <c r="W55" i="59" s="1"/>
  <c r="N157" i="59"/>
  <c r="J142" i="59"/>
  <c r="N154" i="59"/>
  <c r="U62" i="59"/>
  <c r="N145" i="59"/>
  <c r="M147" i="59"/>
  <c r="M159" i="59" s="1"/>
  <c r="U47" i="59"/>
  <c r="K157" i="59"/>
  <c r="L161" i="59"/>
  <c r="L162" i="59"/>
  <c r="K162" i="59"/>
  <c r="R115" i="59"/>
  <c r="W53" i="59" s="1"/>
  <c r="K143" i="59"/>
  <c r="K155" i="59" s="1"/>
  <c r="K151" i="59"/>
  <c r="K163" i="59" s="1"/>
  <c r="J141" i="59"/>
  <c r="J147" i="59"/>
  <c r="J159" i="59" s="1"/>
  <c r="J149" i="59"/>
  <c r="C176" i="59"/>
  <c r="C177" i="59"/>
  <c r="C178" i="59"/>
  <c r="C180" i="59"/>
  <c r="U68" i="59" l="1"/>
  <c r="V55" i="59"/>
  <c r="Y51" i="59"/>
  <c r="J157" i="59"/>
  <c r="R55" i="59"/>
  <c r="W48" i="59" s="1"/>
  <c r="V61" i="59" s="1"/>
  <c r="V62" i="59"/>
  <c r="W62" i="59" s="1"/>
  <c r="Y49" i="59"/>
  <c r="Y50" i="59"/>
  <c r="V63" i="59"/>
  <c r="W63" i="59" s="1"/>
  <c r="X50" i="59"/>
  <c r="X51" i="59"/>
  <c r="Y48" i="59"/>
  <c r="J154" i="59"/>
  <c r="L160" i="59"/>
  <c r="Y47" i="59"/>
  <c r="V60" i="59"/>
  <c r="X52" i="59"/>
  <c r="Y52" i="59"/>
  <c r="V65" i="59"/>
  <c r="W65" i="59" s="1"/>
  <c r="V47" i="59"/>
  <c r="U60" i="59"/>
  <c r="U61" i="59"/>
  <c r="V48" i="59"/>
  <c r="V49" i="59"/>
  <c r="V67" i="59"/>
  <c r="W67" i="59" s="1"/>
  <c r="Y54" i="59"/>
  <c r="X54" i="59"/>
  <c r="J163" i="59"/>
  <c r="J155" i="59"/>
  <c r="Y53" i="59"/>
  <c r="X53" i="59"/>
  <c r="V66" i="59"/>
  <c r="W66" i="59" s="1"/>
  <c r="R31" i="59"/>
  <c r="W46" i="59" s="1"/>
  <c r="X47" i="59" s="1"/>
  <c r="Y55" i="59"/>
  <c r="X55" i="59"/>
  <c r="V68" i="59"/>
  <c r="V51" i="59"/>
  <c r="U64" i="59"/>
  <c r="W64" i="59" s="1"/>
  <c r="J162" i="59"/>
  <c r="X49" i="59" l="1"/>
  <c r="X48" i="59"/>
  <c r="W68" i="59"/>
  <c r="W61" i="59"/>
  <c r="R151" i="59"/>
  <c r="U76" i="59" s="1"/>
  <c r="V76" i="59" s="1"/>
  <c r="Y46" i="59"/>
  <c r="V59" i="59"/>
  <c r="W59" i="59" s="1"/>
  <c r="W60" i="59"/>
  <c r="R163" i="59"/>
  <c r="U77" i="59" s="1"/>
  <c r="N150" i="30"/>
  <c r="L150" i="30"/>
  <c r="D150" i="30"/>
  <c r="F150" i="30"/>
  <c r="N149" i="30"/>
  <c r="L149" i="30"/>
  <c r="D149" i="30"/>
  <c r="F149" i="30"/>
  <c r="N148" i="30"/>
  <c r="L148" i="30"/>
  <c r="D148" i="30"/>
  <c r="F148" i="30"/>
  <c r="N147" i="30"/>
  <c r="L147" i="30"/>
  <c r="D147" i="30"/>
  <c r="F147" i="30"/>
  <c r="N146" i="30"/>
  <c r="L146" i="30"/>
  <c r="D146" i="30"/>
  <c r="F146" i="30"/>
  <c r="N145" i="30"/>
  <c r="L145" i="30"/>
  <c r="D145" i="30"/>
  <c r="F145" i="30"/>
  <c r="M150" i="30"/>
  <c r="M149" i="30"/>
  <c r="M148" i="30"/>
  <c r="M147" i="30"/>
  <c r="M146" i="30"/>
  <c r="M145" i="30"/>
  <c r="V77" i="59" l="1"/>
  <c r="W69" i="59"/>
  <c r="W70" i="59"/>
  <c r="J134"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Q104" i="4"/>
  <c r="Q105" i="4"/>
  <c r="Q106" i="4"/>
  <c r="Q107" i="4"/>
  <c r="Q108" i="4"/>
  <c r="Q109" i="4"/>
  <c r="Q110" i="4"/>
  <c r="Q111" i="4"/>
  <c r="Q112" i="4"/>
  <c r="Q113" i="4"/>
  <c r="Q114" i="4"/>
  <c r="Q115" i="4"/>
  <c r="Q116" i="4"/>
  <c r="Q117" i="4"/>
  <c r="Q118" i="4"/>
  <c r="Q119" i="4"/>
  <c r="Q120" i="4"/>
  <c r="Q121" i="4"/>
  <c r="Q122" i="4"/>
  <c r="Q123" i="4"/>
  <c r="Q124" i="4"/>
  <c r="Q125" i="4"/>
  <c r="Q126" i="4"/>
  <c r="Q127" i="4"/>
  <c r="Q128" i="4"/>
  <c r="Q129" i="4"/>
  <c r="Q130" i="4"/>
  <c r="Q131" i="4"/>
  <c r="Q132" i="4"/>
  <c r="Q133" i="4"/>
  <c r="Q134" i="4"/>
  <c r="Q135" i="4"/>
  <c r="Q136" i="4"/>
  <c r="Q137" i="4"/>
  <c r="Q138" i="4"/>
  <c r="Q139" i="4"/>
  <c r="Q20" i="4"/>
  <c r="I20" i="4" l="1"/>
  <c r="C20" i="6" l="1"/>
  <c r="AE26" i="30" l="1"/>
  <c r="AE27" i="30"/>
  <c r="AE28" i="30"/>
  <c r="AE29" i="30"/>
  <c r="AE30" i="30"/>
  <c r="AE31" i="30"/>
  <c r="AE32" i="30"/>
  <c r="AE33" i="30"/>
  <c r="AE34" i="30"/>
  <c r="AE35" i="30"/>
  <c r="AE36" i="30"/>
  <c r="AE37" i="30"/>
  <c r="AE38" i="30"/>
  <c r="AE39" i="30"/>
  <c r="AE40" i="30"/>
  <c r="AE41" i="30"/>
  <c r="AE42" i="30"/>
  <c r="AE43" i="30"/>
  <c r="AE44" i="30"/>
  <c r="AE45" i="30"/>
  <c r="AE46" i="30"/>
  <c r="AE47" i="30"/>
  <c r="AE48" i="30"/>
  <c r="AE49" i="30"/>
  <c r="AE50" i="30"/>
  <c r="AE51" i="30"/>
  <c r="AE52" i="30"/>
  <c r="AE53" i="30"/>
  <c r="AE54" i="30"/>
  <c r="AE55" i="30"/>
  <c r="AE56" i="30"/>
  <c r="AE57" i="30"/>
  <c r="AE58" i="30"/>
  <c r="AE59" i="30"/>
  <c r="AE60" i="30"/>
  <c r="AE61" i="30"/>
  <c r="AE62" i="30"/>
  <c r="AE63" i="30"/>
  <c r="AE64" i="30"/>
  <c r="AE65" i="30"/>
  <c r="AE66" i="30"/>
  <c r="AE67" i="30"/>
  <c r="AE68" i="30"/>
  <c r="AE69" i="30"/>
  <c r="AE70" i="30"/>
  <c r="AE71" i="30"/>
  <c r="AE72" i="30"/>
  <c r="AE73" i="30"/>
  <c r="AE74" i="30"/>
  <c r="AE75" i="30"/>
  <c r="AE76" i="30"/>
  <c r="AE77" i="30"/>
  <c r="AE78" i="30"/>
  <c r="AE79" i="30"/>
  <c r="AE80" i="30"/>
  <c r="AE81" i="30"/>
  <c r="AE82" i="30"/>
  <c r="AE83" i="30"/>
  <c r="AE84" i="30"/>
  <c r="AE85" i="30"/>
  <c r="AE86" i="30"/>
  <c r="AE87" i="30"/>
  <c r="AE88" i="30"/>
  <c r="AE89" i="30"/>
  <c r="AE90" i="30"/>
  <c r="AE91" i="30"/>
  <c r="AE92" i="30"/>
  <c r="AE93" i="30"/>
  <c r="AE94" i="30"/>
  <c r="AE95" i="30"/>
  <c r="AE96" i="30"/>
  <c r="AE97" i="30"/>
  <c r="AE98" i="30"/>
  <c r="AE99" i="30"/>
  <c r="AE100" i="30"/>
  <c r="AE101" i="30"/>
  <c r="AE102" i="30"/>
  <c r="AE103" i="30"/>
  <c r="AE104" i="30"/>
  <c r="AE105" i="30"/>
  <c r="AE106" i="30"/>
  <c r="AE107" i="30"/>
  <c r="AE108" i="30"/>
  <c r="AE109" i="30"/>
  <c r="AE110" i="30"/>
  <c r="AE111" i="30"/>
  <c r="AE112" i="30"/>
  <c r="AE113" i="30"/>
  <c r="AE114" i="30"/>
  <c r="AE115" i="30"/>
  <c r="AE116" i="30"/>
  <c r="AE117" i="30"/>
  <c r="AE118" i="30"/>
  <c r="AE119" i="30"/>
  <c r="AE120" i="30"/>
  <c r="AE121" i="30"/>
  <c r="AE122" i="30"/>
  <c r="AE123" i="30"/>
  <c r="AE124" i="30"/>
  <c r="AE125" i="30"/>
  <c r="AE126" i="30"/>
  <c r="AE127" i="30"/>
  <c r="AE128" i="30"/>
  <c r="AE129" i="30"/>
  <c r="AE130" i="30"/>
  <c r="AE131" i="30"/>
  <c r="AE132" i="30"/>
  <c r="AE133" i="30"/>
  <c r="AE134" i="30"/>
  <c r="AE135" i="30"/>
  <c r="AE136" i="30"/>
  <c r="AE137" i="30"/>
  <c r="AE138" i="30"/>
  <c r="AE139" i="30"/>
  <c r="AE140" i="30"/>
  <c r="AE141" i="30"/>
  <c r="AE142" i="30"/>
  <c r="AE143" i="30"/>
  <c r="AE144" i="30"/>
  <c r="AE25" i="30"/>
  <c r="I21" i="4" l="1"/>
  <c r="I64" i="4" l="1"/>
  <c r="I22" i="4" l="1"/>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N20" i="4" l="1"/>
  <c r="M20" i="4" l="1"/>
  <c r="F120" i="56" l="1"/>
  <c r="E120" i="56"/>
  <c r="E118" i="56"/>
  <c r="D118" i="56"/>
  <c r="D89" i="56"/>
  <c r="F89" i="56" s="1"/>
  <c r="C89" i="56"/>
  <c r="E89" i="56" s="1"/>
  <c r="H70" i="56"/>
  <c r="B56" i="56" s="1"/>
  <c r="B70" i="56"/>
  <c r="A69" i="56"/>
  <c r="A68" i="56"/>
  <c r="A67" i="56"/>
  <c r="A66" i="56"/>
  <c r="A65" i="56"/>
  <c r="C70" i="56"/>
  <c r="A64" i="56"/>
  <c r="J39" i="56"/>
  <c r="J38" i="56"/>
  <c r="J37" i="56"/>
  <c r="K36" i="56"/>
  <c r="J36" i="56"/>
  <c r="N35" i="56"/>
  <c r="M35" i="56"/>
  <c r="L35" i="56"/>
  <c r="K35" i="56"/>
  <c r="H1" i="56"/>
  <c r="B62" i="56" l="1"/>
  <c r="H56" i="56"/>
  <c r="H64" i="56"/>
  <c r="C57" i="56"/>
  <c r="H120" i="56"/>
  <c r="H122" i="56" s="1"/>
  <c r="H125" i="56" s="1"/>
  <c r="E67" i="56"/>
  <c r="D58" i="56"/>
  <c r="D70" i="56"/>
  <c r="H66" i="56"/>
  <c r="F122" i="56"/>
  <c r="F125" i="56" s="1"/>
  <c r="H65" i="56"/>
  <c r="G120" i="56"/>
  <c r="G122" i="56" s="1"/>
  <c r="G125" i="56" s="1"/>
  <c r="I54" i="42"/>
  <c r="H57" i="56" l="1"/>
  <c r="C62" i="56"/>
  <c r="D62" i="56"/>
  <c r="H58" i="56"/>
  <c r="H67" i="56"/>
  <c r="E59" i="56"/>
  <c r="E70" i="56"/>
  <c r="F68" i="56"/>
  <c r="I120" i="56"/>
  <c r="E62" i="56" l="1"/>
  <c r="H59" i="56"/>
  <c r="H68" i="56"/>
  <c r="F60" i="56"/>
  <c r="F70" i="56"/>
  <c r="G69" i="56"/>
  <c r="F62" i="56" l="1"/>
  <c r="H60" i="56"/>
  <c r="G70" i="56"/>
  <c r="G61" i="56"/>
  <c r="H69" i="56"/>
  <c r="G62" i="56" l="1"/>
  <c r="H62" i="56" s="1"/>
  <c r="H61" i="56"/>
  <c r="AB100" i="30"/>
  <c r="AB101" i="30"/>
  <c r="AB102" i="30"/>
  <c r="AB103" i="30"/>
  <c r="AB104" i="30"/>
  <c r="AB105" i="30"/>
  <c r="AB106" i="30"/>
  <c r="AB107" i="30"/>
  <c r="AB108" i="30"/>
  <c r="AB109" i="30"/>
  <c r="AB110" i="30"/>
  <c r="AB111" i="30"/>
  <c r="AB112" i="30"/>
  <c r="AB113" i="30"/>
  <c r="AB114" i="30"/>
  <c r="AB115" i="30"/>
  <c r="AB116" i="30"/>
  <c r="AB117" i="30"/>
  <c r="AB118" i="30"/>
  <c r="AB119" i="30"/>
  <c r="AB120" i="30"/>
  <c r="AB121" i="30"/>
  <c r="AB122" i="30"/>
  <c r="AB123" i="30"/>
  <c r="AB124" i="30"/>
  <c r="AB125" i="30"/>
  <c r="AB126" i="30"/>
  <c r="AB127" i="30"/>
  <c r="AB128" i="30"/>
  <c r="AB129" i="30"/>
  <c r="AB130" i="30"/>
  <c r="AB131" i="30"/>
  <c r="AB132" i="30"/>
  <c r="AB133" i="30"/>
  <c r="AB134" i="30"/>
  <c r="AB135" i="30"/>
  <c r="AB136" i="30"/>
  <c r="AB137" i="30"/>
  <c r="AB138" i="30"/>
  <c r="AB85" i="30"/>
  <c r="AB86" i="30"/>
  <c r="AB87" i="30"/>
  <c r="AB88" i="30"/>
  <c r="AB89" i="30"/>
  <c r="AB90" i="30"/>
  <c r="AB91" i="30"/>
  <c r="AB92" i="30"/>
  <c r="AB93" i="30"/>
  <c r="AB94" i="30"/>
  <c r="AB95" i="30"/>
  <c r="AB96" i="30"/>
  <c r="AB97" i="30"/>
  <c r="AB98" i="30"/>
  <c r="AB99" i="30"/>
  <c r="AB74" i="30"/>
  <c r="AB75" i="30"/>
  <c r="AB76" i="30"/>
  <c r="AB77" i="30"/>
  <c r="AB78" i="30"/>
  <c r="AB79" i="30"/>
  <c r="AB80" i="30"/>
  <c r="AB81" i="30"/>
  <c r="AB82" i="30"/>
  <c r="AB83" i="30"/>
  <c r="AB84" i="30"/>
  <c r="AB73" i="30"/>
  <c r="AC84" i="30" l="1"/>
  <c r="AC108" i="30"/>
  <c r="AC96" i="30"/>
  <c r="AC120" i="30"/>
  <c r="AC132" i="30"/>
  <c r="E45" i="56"/>
  <c r="E44" i="56"/>
  <c r="E43" i="56"/>
  <c r="E42" i="56"/>
  <c r="D43" i="56"/>
  <c r="D42" i="56"/>
  <c r="C43" i="56"/>
  <c r="C42" i="56"/>
  <c r="G27" i="42"/>
  <c r="D44" i="56" l="1"/>
  <c r="G28" i="42"/>
  <c r="D116" i="56"/>
  <c r="D122" i="56" s="1"/>
  <c r="D125" i="56" s="1"/>
  <c r="C46" i="56"/>
  <c r="D45" i="56"/>
  <c r="F45" i="56" s="1"/>
  <c r="G29" i="42"/>
  <c r="E116" i="56"/>
  <c r="E122" i="56" s="1"/>
  <c r="E125" i="56" s="1"/>
  <c r="C116" i="56"/>
  <c r="C122" i="56" s="1"/>
  <c r="C125" i="56" s="1"/>
  <c r="F43" i="56"/>
  <c r="B42" i="56"/>
  <c r="G26" i="42"/>
  <c r="E46" i="56"/>
  <c r="B116" i="56"/>
  <c r="B122" i="56" s="1"/>
  <c r="I122" i="56" l="1"/>
  <c r="L34" i="53" s="1"/>
  <c r="B125" i="56"/>
  <c r="I125" i="56" s="1"/>
  <c r="F42" i="56"/>
  <c r="B46" i="56"/>
  <c r="D46" i="56"/>
  <c r="F44" i="56"/>
  <c r="F46" i="56" l="1"/>
  <c r="D37" i="56" l="1"/>
  <c r="E38" i="56"/>
  <c r="E37" i="56"/>
  <c r="E36" i="56"/>
  <c r="D36" i="56"/>
  <c r="C36" i="56"/>
  <c r="E39" i="56"/>
  <c r="F39" i="56" s="1"/>
  <c r="C37" i="56"/>
  <c r="D38" i="56"/>
  <c r="B36" i="56"/>
  <c r="F37" i="56" l="1"/>
  <c r="E40" i="56"/>
  <c r="F36" i="56"/>
  <c r="B40" i="56"/>
  <c r="C40" i="56"/>
  <c r="F38" i="56"/>
  <c r="D40" i="56"/>
  <c r="F40" i="56" l="1"/>
  <c r="J128" i="4" l="1"/>
  <c r="J127" i="4"/>
  <c r="AB144" i="30" l="1"/>
  <c r="AG144" i="30" s="1"/>
  <c r="AB143" i="30"/>
  <c r="AG143" i="30" s="1"/>
  <c r="AB140" i="30"/>
  <c r="AG140" i="30" s="1"/>
  <c r="AB139" i="30"/>
  <c r="AG139" i="30" s="1"/>
  <c r="AB141" i="30" l="1"/>
  <c r="AG141" i="30" s="1"/>
  <c r="AB142" i="30"/>
  <c r="AG142" i="30" s="1"/>
  <c r="AC144" i="30" l="1"/>
  <c r="C30" i="29" l="1"/>
  <c r="B120" i="52"/>
  <c r="Q30" i="6"/>
  <c r="Q31" i="6" s="1"/>
  <c r="U46" i="4"/>
  <c r="U59" i="4" s="1"/>
  <c r="R37" i="6" l="1"/>
  <c r="C18" i="6"/>
  <c r="C19" i="6"/>
  <c r="I15" i="6"/>
  <c r="AK28" i="46" l="1"/>
  <c r="AK30" i="46"/>
  <c r="AK29" i="46"/>
  <c r="AK27" i="46"/>
  <c r="AK26" i="46"/>
  <c r="AK25" i="46"/>
  <c r="AK24" i="46"/>
  <c r="AK23" i="46"/>
  <c r="AK22" i="46"/>
  <c r="AK21" i="46"/>
  <c r="G24" i="6"/>
  <c r="G23" i="6"/>
  <c r="AH30" i="46"/>
  <c r="AH29" i="46"/>
  <c r="AH28" i="46"/>
  <c r="AH27" i="46"/>
  <c r="AH26" i="46"/>
  <c r="AH25" i="46"/>
  <c r="AH24" i="46"/>
  <c r="AH23" i="46"/>
  <c r="AH22" i="46"/>
  <c r="AH21" i="46"/>
  <c r="AA24" i="46"/>
  <c r="U20" i="30"/>
  <c r="J139" i="4"/>
  <c r="J138" i="4"/>
  <c r="J137" i="4"/>
  <c r="J136" i="4"/>
  <c r="J135" i="4"/>
  <c r="J133" i="4"/>
  <c r="J132" i="4"/>
  <c r="J131" i="4"/>
  <c r="J130" i="4"/>
  <c r="J129"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B40" i="52"/>
  <c r="K20" i="4"/>
  <c r="K21" i="4"/>
  <c r="K22" i="4"/>
  <c r="K23" i="4"/>
  <c r="K24" i="4"/>
  <c r="K25" i="4"/>
  <c r="K26" i="4"/>
  <c r="K27" i="4"/>
  <c r="K28" i="4"/>
  <c r="K29" i="4"/>
  <c r="K30" i="4"/>
  <c r="K31" i="4"/>
  <c r="B18" i="52"/>
  <c r="J145" i="4" l="1"/>
  <c r="J140" i="4"/>
  <c r="A21" i="4"/>
  <c r="X21" i="46"/>
  <c r="Z21" i="46" s="1"/>
  <c r="AR30" i="46"/>
  <c r="AR29" i="46"/>
  <c r="AT29" i="46" s="1"/>
  <c r="AR28" i="46"/>
  <c r="AT28" i="46" s="1"/>
  <c r="AR27" i="46"/>
  <c r="AT27" i="46" s="1"/>
  <c r="AR26" i="46"/>
  <c r="AT26" i="46" s="1"/>
  <c r="AR25" i="46"/>
  <c r="AT25" i="46" s="1"/>
  <c r="AR24" i="46"/>
  <c r="AT24" i="46" s="1"/>
  <c r="AR23" i="46"/>
  <c r="AT23" i="46" s="1"/>
  <c r="AR22" i="46"/>
  <c r="AT22" i="46" s="1"/>
  <c r="AR21" i="46"/>
  <c r="AT21" i="46" s="1"/>
  <c r="AJ29" i="46"/>
  <c r="AJ28" i="46"/>
  <c r="AJ27" i="46"/>
  <c r="AJ26" i="46"/>
  <c r="AJ25" i="46"/>
  <c r="AJ24" i="46"/>
  <c r="AJ23" i="46"/>
  <c r="AJ22" i="46"/>
  <c r="AJ21" i="46"/>
  <c r="X30" i="46"/>
  <c r="X29" i="46"/>
  <c r="Z29" i="46" s="1"/>
  <c r="X28" i="46"/>
  <c r="Z28" i="46" s="1"/>
  <c r="X27" i="46"/>
  <c r="Z27" i="46" s="1"/>
  <c r="X26" i="46"/>
  <c r="Z26" i="46" s="1"/>
  <c r="X25" i="46"/>
  <c r="Z25" i="46" s="1"/>
  <c r="X24" i="46"/>
  <c r="Z24" i="46" s="1"/>
  <c r="X23" i="46"/>
  <c r="Z23" i="46" s="1"/>
  <c r="X22" i="46"/>
  <c r="Z22" i="46" s="1"/>
  <c r="N30" i="46"/>
  <c r="N29" i="46"/>
  <c r="P29" i="46" s="1"/>
  <c r="N28" i="46"/>
  <c r="P28" i="46" s="1"/>
  <c r="N27" i="46"/>
  <c r="P27" i="46" s="1"/>
  <c r="N26" i="46"/>
  <c r="P26" i="46" s="1"/>
  <c r="N25" i="46"/>
  <c r="P25" i="46" s="1"/>
  <c r="N24" i="46"/>
  <c r="P24" i="46" s="1"/>
  <c r="N23" i="46"/>
  <c r="P23" i="46" s="1"/>
  <c r="N22" i="46"/>
  <c r="P22" i="46" s="1"/>
  <c r="N21" i="46"/>
  <c r="P21" i="46" s="1"/>
  <c r="C30" i="46"/>
  <c r="C29" i="46"/>
  <c r="E29" i="46" s="1"/>
  <c r="C28" i="46"/>
  <c r="E28" i="46" s="1"/>
  <c r="C27" i="46"/>
  <c r="E27" i="46" s="1"/>
  <c r="C26" i="46"/>
  <c r="E26" i="46" s="1"/>
  <c r="C25" i="46"/>
  <c r="E25" i="46" s="1"/>
  <c r="C24" i="46"/>
  <c r="E24" i="46" s="1"/>
  <c r="C23" i="46"/>
  <c r="E23" i="46" s="1"/>
  <c r="C22" i="46"/>
  <c r="E22" i="46" s="1"/>
  <c r="C21" i="46"/>
  <c r="E21" i="46" s="1"/>
  <c r="N34" i="53"/>
  <c r="I19" i="53"/>
  <c r="I37" i="53" s="1"/>
  <c r="H19" i="53"/>
  <c r="H37" i="53" s="1"/>
  <c r="G19" i="53"/>
  <c r="G37" i="53" s="1"/>
  <c r="F19" i="53"/>
  <c r="F37" i="53" s="1"/>
  <c r="E19" i="53"/>
  <c r="E37" i="53" s="1"/>
  <c r="B73" i="32"/>
  <c r="F73" i="32" s="1"/>
  <c r="AU30" i="46"/>
  <c r="AU29" i="46"/>
  <c r="AU28" i="46"/>
  <c r="AU27" i="46"/>
  <c r="AU26" i="46"/>
  <c r="AU25" i="46"/>
  <c r="AU24" i="46"/>
  <c r="AU23" i="46"/>
  <c r="AU22" i="46"/>
  <c r="AU21" i="46"/>
  <c r="AQ47" i="46"/>
  <c r="AY23" i="46" l="1"/>
  <c r="AY27" i="46"/>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Z30" i="46"/>
  <c r="AJ30" i="46"/>
  <c r="P30" i="46"/>
  <c r="E30" i="46"/>
  <c r="AT30" i="46"/>
  <c r="AY28" i="46"/>
  <c r="AY29" i="46"/>
  <c r="AY25" i="46"/>
  <c r="AY26" i="46"/>
  <c r="AY21" i="46"/>
  <c r="AY24" i="46"/>
  <c r="AY22" i="46"/>
  <c r="AY30" i="46"/>
  <c r="AY34" i="46" l="1"/>
  <c r="F89" i="42"/>
  <c r="E89" i="42"/>
  <c r="D89" i="42"/>
  <c r="E87" i="42"/>
  <c r="D87" i="42"/>
  <c r="C87" i="42"/>
  <c r="E71" i="42"/>
  <c r="G71" i="42" s="1"/>
  <c r="D71" i="42"/>
  <c r="B53" i="42"/>
  <c r="B52" i="42"/>
  <c r="B51" i="42"/>
  <c r="B50" i="42"/>
  <c r="B49" i="42"/>
  <c r="G91" i="42"/>
  <c r="G95" i="42" s="1"/>
  <c r="B48" i="42"/>
  <c r="E30" i="42"/>
  <c r="D30" i="42"/>
  <c r="C30" i="42"/>
  <c r="H91" i="42" l="1"/>
  <c r="H95" i="42" s="1"/>
  <c r="D95" i="42"/>
  <c r="F71" i="42"/>
  <c r="C54" i="42"/>
  <c r="C40" i="42"/>
  <c r="C46" i="42" s="1"/>
  <c r="F87" i="42"/>
  <c r="F95" i="42" s="1"/>
  <c r="F30" i="42"/>
  <c r="G30" i="42"/>
  <c r="C20" i="42" s="1"/>
  <c r="I91" i="42"/>
  <c r="I48" i="42"/>
  <c r="I95" i="42" l="1"/>
  <c r="I49" i="42"/>
  <c r="I40" i="42"/>
  <c r="D41" i="42"/>
  <c r="D46" i="42" s="1"/>
  <c r="D54" i="42"/>
  <c r="F20" i="42"/>
  <c r="E20" i="42"/>
  <c r="D21" i="42"/>
  <c r="D20" i="42"/>
  <c r="F22" i="42"/>
  <c r="F21" i="42"/>
  <c r="E22" i="42"/>
  <c r="E21" i="42"/>
  <c r="F23" i="42"/>
  <c r="G23" i="42" s="1"/>
  <c r="D24" i="42" l="1"/>
  <c r="I41" i="42"/>
  <c r="E42" i="42"/>
  <c r="I50" i="42"/>
  <c r="E54" i="42"/>
  <c r="G21" i="42"/>
  <c r="E24" i="42"/>
  <c r="G22" i="42"/>
  <c r="C24" i="42"/>
  <c r="G20" i="42"/>
  <c r="F24" i="42"/>
  <c r="G24" i="42" l="1"/>
  <c r="F43" i="42"/>
  <c r="I51" i="42"/>
  <c r="F54" i="42"/>
  <c r="E46" i="42"/>
  <c r="I42" i="42"/>
  <c r="B64" i="32"/>
  <c r="F64" i="32" s="1"/>
  <c r="C16" i="32" s="1"/>
  <c r="B65" i="32"/>
  <c r="F65" i="32" s="1"/>
  <c r="B66" i="32"/>
  <c r="F66" i="32" s="1"/>
  <c r="B67" i="32"/>
  <c r="F67" i="32" s="1"/>
  <c r="B68" i="32"/>
  <c r="F68" i="32" s="1"/>
  <c r="B69" i="32"/>
  <c r="F69" i="32" s="1"/>
  <c r="C24" i="32" s="1"/>
  <c r="B70" i="32"/>
  <c r="F70" i="32" s="1"/>
  <c r="B71" i="32"/>
  <c r="F71" i="32" s="1"/>
  <c r="B72" i="32"/>
  <c r="F72" i="32" s="1"/>
  <c r="AA30" i="46"/>
  <c r="AA29" i="46"/>
  <c r="AA28" i="46"/>
  <c r="AA27" i="46"/>
  <c r="AA26" i="46"/>
  <c r="AA25" i="46"/>
  <c r="AE25" i="46" s="1"/>
  <c r="AA23" i="46"/>
  <c r="AE23" i="46" s="1"/>
  <c r="AA22" i="46"/>
  <c r="AE22" i="46" s="1"/>
  <c r="AA21" i="46"/>
  <c r="AE21" i="46" s="1"/>
  <c r="AE24" i="46"/>
  <c r="AO22" i="46"/>
  <c r="AO24" i="46"/>
  <c r="AO25" i="46"/>
  <c r="AO23" i="46"/>
  <c r="AO21" i="46"/>
  <c r="AO26" i="46"/>
  <c r="AG47" i="46"/>
  <c r="W47" i="46"/>
  <c r="M47" i="46"/>
  <c r="B47" i="46"/>
  <c r="V37" i="6"/>
  <c r="V36" i="6"/>
  <c r="W37" i="6" l="1"/>
  <c r="I33" i="32"/>
  <c r="H31" i="51" s="1"/>
  <c r="K29" i="32"/>
  <c r="J27" i="51" s="1"/>
  <c r="I29" i="32"/>
  <c r="H27" i="51" s="1"/>
  <c r="H33" i="32"/>
  <c r="G31" i="51" s="1"/>
  <c r="J29" i="32"/>
  <c r="I27" i="51" s="1"/>
  <c r="G33" i="32"/>
  <c r="F31" i="51" s="1"/>
  <c r="L29" i="32"/>
  <c r="N33" i="32"/>
  <c r="F33" i="32"/>
  <c r="E31" i="51" s="1"/>
  <c r="H29" i="32"/>
  <c r="G27" i="51" s="1"/>
  <c r="M33" i="32"/>
  <c r="E33" i="32"/>
  <c r="D31" i="51" s="1"/>
  <c r="G29" i="32"/>
  <c r="F27" i="51" s="1"/>
  <c r="L33" i="32"/>
  <c r="N29" i="32"/>
  <c r="F29" i="32"/>
  <c r="E27" i="51" s="1"/>
  <c r="K33" i="32"/>
  <c r="J31" i="51" s="1"/>
  <c r="M29" i="32"/>
  <c r="E29" i="32"/>
  <c r="D27" i="51" s="1"/>
  <c r="J33" i="32"/>
  <c r="I31" i="51" s="1"/>
  <c r="H42" i="32"/>
  <c r="G40" i="51" s="1"/>
  <c r="L38" i="32"/>
  <c r="L22" i="32"/>
  <c r="P18" i="32"/>
  <c r="H18" i="32"/>
  <c r="G16" i="51" s="1"/>
  <c r="N42" i="32"/>
  <c r="E42" i="32"/>
  <c r="D40" i="51" s="1"/>
  <c r="H38" i="32"/>
  <c r="G36" i="51" s="1"/>
  <c r="J22" i="32"/>
  <c r="I20" i="51" s="1"/>
  <c r="M18" i="32"/>
  <c r="M42" i="32"/>
  <c r="G38" i="32"/>
  <c r="F36" i="51" s="1"/>
  <c r="I22" i="32"/>
  <c r="H20" i="51" s="1"/>
  <c r="L18" i="32"/>
  <c r="L42" i="32"/>
  <c r="F38" i="32"/>
  <c r="E36" i="51" s="1"/>
  <c r="H22" i="32"/>
  <c r="G20" i="51" s="1"/>
  <c r="K18" i="32"/>
  <c r="J16" i="51" s="1"/>
  <c r="J42" i="32"/>
  <c r="I40" i="51" s="1"/>
  <c r="M38" i="32"/>
  <c r="O22" i="32"/>
  <c r="F22" i="32"/>
  <c r="E20" i="51" s="1"/>
  <c r="I18" i="32"/>
  <c r="H16" i="51" s="1"/>
  <c r="J38" i="32"/>
  <c r="I36" i="51" s="1"/>
  <c r="O18" i="32"/>
  <c r="E38" i="32"/>
  <c r="D36" i="51" s="1"/>
  <c r="P22" i="32"/>
  <c r="I40" i="53" s="1"/>
  <c r="G42" i="32"/>
  <c r="F40" i="51" s="1"/>
  <c r="F18" i="32"/>
  <c r="E16" i="51" s="1"/>
  <c r="E18" i="32"/>
  <c r="I38" i="32"/>
  <c r="H36" i="51" s="1"/>
  <c r="N18" i="32"/>
  <c r="K42" i="32"/>
  <c r="J40" i="51" s="1"/>
  <c r="J18" i="32"/>
  <c r="I16" i="51" s="1"/>
  <c r="F42" i="32"/>
  <c r="E40" i="51" s="1"/>
  <c r="K22" i="32"/>
  <c r="J20" i="51" s="1"/>
  <c r="I42" i="32"/>
  <c r="H40" i="51" s="1"/>
  <c r="N22" i="32"/>
  <c r="G18" i="32"/>
  <c r="M22" i="32"/>
  <c r="N38" i="32"/>
  <c r="G22" i="32"/>
  <c r="F20" i="51" s="1"/>
  <c r="K38" i="32"/>
  <c r="J36" i="51" s="1"/>
  <c r="E22" i="32"/>
  <c r="D20" i="51" s="1"/>
  <c r="AE30" i="46"/>
  <c r="C28" i="32"/>
  <c r="C20" i="32"/>
  <c r="C36" i="32"/>
  <c r="C32" i="32"/>
  <c r="C40" i="32"/>
  <c r="AE28" i="46"/>
  <c r="AE29" i="46"/>
  <c r="AO28" i="46"/>
  <c r="AO27" i="46"/>
  <c r="AO29" i="46"/>
  <c r="AO30" i="46"/>
  <c r="G44" i="42"/>
  <c r="G54" i="42"/>
  <c r="I52" i="42"/>
  <c r="I43" i="42"/>
  <c r="F46" i="42"/>
  <c r="AE26" i="46"/>
  <c r="AE27" i="46"/>
  <c r="Q30" i="46"/>
  <c r="Q29" i="46"/>
  <c r="Q28" i="46"/>
  <c r="Q27" i="46"/>
  <c r="Q26" i="46"/>
  <c r="Q25" i="46"/>
  <c r="Q24" i="46"/>
  <c r="Q23" i="46"/>
  <c r="Q22" i="46"/>
  <c r="Q21" i="46"/>
  <c r="E30" i="32" s="1"/>
  <c r="D28" i="51" s="1"/>
  <c r="F30" i="46"/>
  <c r="N26" i="32" s="1"/>
  <c r="F29" i="46"/>
  <c r="M26" i="32" s="1"/>
  <c r="F28" i="46"/>
  <c r="L26" i="32" s="1"/>
  <c r="F27" i="46"/>
  <c r="K26" i="32" s="1"/>
  <c r="J24" i="51" s="1"/>
  <c r="F26" i="46"/>
  <c r="J26" i="32" s="1"/>
  <c r="I24" i="51" s="1"/>
  <c r="F25" i="46"/>
  <c r="I26" i="32" s="1"/>
  <c r="H24" i="51" s="1"/>
  <c r="F24" i="46"/>
  <c r="H26" i="32" s="1"/>
  <c r="G24" i="51" s="1"/>
  <c r="F23" i="46"/>
  <c r="G26" i="32" s="1"/>
  <c r="F24" i="51" s="1"/>
  <c r="F22" i="46"/>
  <c r="F26" i="32" s="1"/>
  <c r="E24" i="51" s="1"/>
  <c r="F21" i="46"/>
  <c r="AI30" i="29"/>
  <c r="AI29" i="29"/>
  <c r="AI28" i="29"/>
  <c r="AI27" i="29"/>
  <c r="AI26" i="29"/>
  <c r="AI25" i="29"/>
  <c r="AI24" i="29"/>
  <c r="AI23" i="29"/>
  <c r="AI22" i="29"/>
  <c r="AI21" i="29"/>
  <c r="AA21" i="29"/>
  <c r="AH40" i="29"/>
  <c r="N37" i="6"/>
  <c r="P37" i="6"/>
  <c r="L37" i="6"/>
  <c r="H37" i="6"/>
  <c r="F37" i="6"/>
  <c r="D37" i="6"/>
  <c r="J37" i="6"/>
  <c r="AA30" i="29"/>
  <c r="AA29" i="29"/>
  <c r="AA28" i="29"/>
  <c r="AA27" i="29"/>
  <c r="AA26" i="29"/>
  <c r="AA25" i="29"/>
  <c r="AA24" i="29"/>
  <c r="AA23" i="29"/>
  <c r="AA22" i="29"/>
  <c r="S30" i="29"/>
  <c r="S29" i="29"/>
  <c r="S28" i="29"/>
  <c r="S27" i="29"/>
  <c r="S26" i="29"/>
  <c r="S25" i="29"/>
  <c r="S24" i="29"/>
  <c r="S23" i="29"/>
  <c r="S22" i="29"/>
  <c r="S21" i="29"/>
  <c r="K30" i="29"/>
  <c r="K29" i="29"/>
  <c r="K28" i="29"/>
  <c r="K26" i="29"/>
  <c r="K27" i="29"/>
  <c r="K25" i="29"/>
  <c r="K24" i="29"/>
  <c r="K23" i="29"/>
  <c r="K22" i="29"/>
  <c r="K21" i="29"/>
  <c r="C29" i="29"/>
  <c r="C28" i="29"/>
  <c r="C27" i="29"/>
  <c r="C26" i="29"/>
  <c r="C25" i="29"/>
  <c r="C24" i="29"/>
  <c r="C23" i="29"/>
  <c r="C22" i="29"/>
  <c r="C21" i="29"/>
  <c r="M26" i="6"/>
  <c r="M25" i="6"/>
  <c r="R29" i="46" s="1"/>
  <c r="M24" i="6"/>
  <c r="R28" i="46" s="1"/>
  <c r="M23" i="6"/>
  <c r="R27" i="46" s="1"/>
  <c r="M22" i="6"/>
  <c r="R26" i="46" s="1"/>
  <c r="M21" i="6"/>
  <c r="R25" i="46" s="1"/>
  <c r="M20" i="6"/>
  <c r="R24" i="46" s="1"/>
  <c r="M19" i="6"/>
  <c r="R23" i="46" s="1"/>
  <c r="M18" i="6"/>
  <c r="R22" i="46" s="1"/>
  <c r="M17" i="6"/>
  <c r="R21" i="46" s="1"/>
  <c r="AB28" i="46"/>
  <c r="AC28" i="46" s="1"/>
  <c r="AB27" i="46"/>
  <c r="AC27" i="46" s="1"/>
  <c r="K26" i="6"/>
  <c r="K25" i="6"/>
  <c r="G29" i="46" s="1"/>
  <c r="K24" i="6"/>
  <c r="G28" i="46" s="1"/>
  <c r="K23" i="6"/>
  <c r="G27" i="46" s="1"/>
  <c r="K22" i="6"/>
  <c r="G26" i="46" s="1"/>
  <c r="K21" i="6"/>
  <c r="G25" i="46" s="1"/>
  <c r="K20" i="6"/>
  <c r="G24" i="46" s="1"/>
  <c r="K19" i="6"/>
  <c r="G23" i="46" s="1"/>
  <c r="K18" i="6"/>
  <c r="G22" i="46" s="1"/>
  <c r="K17" i="6"/>
  <c r="G21" i="46" s="1"/>
  <c r="G17" i="6"/>
  <c r="AV21" i="46" s="1"/>
  <c r="G18" i="6"/>
  <c r="AV22" i="46" s="1"/>
  <c r="G19" i="6"/>
  <c r="AV23" i="46" s="1"/>
  <c r="G20" i="6"/>
  <c r="AV24" i="46" s="1"/>
  <c r="G21" i="6"/>
  <c r="AV25" i="46" s="1"/>
  <c r="G22" i="6"/>
  <c r="AV26" i="46" s="1"/>
  <c r="AV27" i="46"/>
  <c r="AV28" i="46"/>
  <c r="G25" i="6"/>
  <c r="AV29" i="46" s="1"/>
  <c r="G26" i="6"/>
  <c r="AV30" i="46" s="1"/>
  <c r="O15" i="6"/>
  <c r="M15" i="6"/>
  <c r="AB21" i="46" l="1"/>
  <c r="AD21" i="46" s="1"/>
  <c r="AB29" i="46"/>
  <c r="AC29" i="46" s="1"/>
  <c r="AB22" i="46"/>
  <c r="AC22" i="46" s="1"/>
  <c r="AB30" i="46"/>
  <c r="AD30" i="46" s="1"/>
  <c r="F24" i="32"/>
  <c r="AB23" i="46"/>
  <c r="AC23" i="46" s="1"/>
  <c r="G24" i="32"/>
  <c r="AB24" i="46"/>
  <c r="AC24" i="46" s="1"/>
  <c r="H24" i="32"/>
  <c r="AB25" i="46"/>
  <c r="AC25" i="46" s="1"/>
  <c r="I24" i="32"/>
  <c r="AB26" i="46"/>
  <c r="AD26" i="46" s="1"/>
  <c r="J24" i="32"/>
  <c r="K24" i="32"/>
  <c r="E24" i="32"/>
  <c r="E26" i="32"/>
  <c r="D24" i="51" s="1"/>
  <c r="G48" i="47" s="1"/>
  <c r="I21" i="46"/>
  <c r="H30" i="32"/>
  <c r="G28" i="51" s="1"/>
  <c r="L30" i="32"/>
  <c r="K28" i="51" s="1"/>
  <c r="I30" i="32"/>
  <c r="H28" i="51" s="1"/>
  <c r="M30" i="32"/>
  <c r="L28" i="51" s="1"/>
  <c r="F30" i="32"/>
  <c r="E28" i="51" s="1"/>
  <c r="J30" i="32"/>
  <c r="I28" i="51" s="1"/>
  <c r="N30" i="32"/>
  <c r="G44" i="53" s="1"/>
  <c r="G30" i="32"/>
  <c r="F28" i="51" s="1"/>
  <c r="K30" i="32"/>
  <c r="J28" i="51" s="1"/>
  <c r="K34" i="32"/>
  <c r="J32" i="51" s="1"/>
  <c r="G34" i="32"/>
  <c r="F32" i="51" s="1"/>
  <c r="E34" i="32"/>
  <c r="D32" i="51" s="1"/>
  <c r="F34" i="32"/>
  <c r="E32" i="51" s="1"/>
  <c r="N34" i="32"/>
  <c r="G46" i="53" s="1"/>
  <c r="I34" i="32"/>
  <c r="H32" i="51" s="1"/>
  <c r="M34" i="32"/>
  <c r="L32" i="51" s="1"/>
  <c r="L34" i="32"/>
  <c r="K32" i="51" s="1"/>
  <c r="J34" i="32"/>
  <c r="I32" i="51" s="1"/>
  <c r="H34" i="32"/>
  <c r="G32" i="51" s="1"/>
  <c r="AW30" i="46"/>
  <c r="AX30" i="46"/>
  <c r="AW22" i="46"/>
  <c r="AX22" i="46"/>
  <c r="AW29" i="46"/>
  <c r="AX29" i="46"/>
  <c r="AW21" i="46"/>
  <c r="AX21" i="46"/>
  <c r="AW28" i="46"/>
  <c r="AX28" i="46"/>
  <c r="AW24" i="46"/>
  <c r="AX24" i="46"/>
  <c r="AW26" i="46"/>
  <c r="AX26" i="46"/>
  <c r="AW25" i="46"/>
  <c r="AX25" i="46"/>
  <c r="AW27" i="46"/>
  <c r="AX27" i="46"/>
  <c r="AW23" i="46"/>
  <c r="AX23" i="46"/>
  <c r="AE34" i="46"/>
  <c r="AD24" i="46"/>
  <c r="H21" i="46"/>
  <c r="N36" i="6"/>
  <c r="R30" i="46"/>
  <c r="T30" i="46" s="1"/>
  <c r="N21" i="6"/>
  <c r="N23" i="6"/>
  <c r="N19" i="6"/>
  <c r="AC26" i="46"/>
  <c r="AD25" i="46"/>
  <c r="AD28" i="46"/>
  <c r="AD29" i="46"/>
  <c r="N25" i="6"/>
  <c r="AC30" i="46"/>
  <c r="N18" i="6"/>
  <c r="AD27" i="46"/>
  <c r="AD22" i="46"/>
  <c r="AC21" i="46"/>
  <c r="N24" i="6"/>
  <c r="AD23" i="46"/>
  <c r="N20" i="6"/>
  <c r="N22" i="6"/>
  <c r="L36" i="6"/>
  <c r="G30" i="46"/>
  <c r="I30" i="46" s="1"/>
  <c r="G54" i="47"/>
  <c r="F42" i="53"/>
  <c r="L24" i="51"/>
  <c r="G49" i="47"/>
  <c r="G50" i="47"/>
  <c r="G64" i="47"/>
  <c r="G52" i="47"/>
  <c r="G53" i="47"/>
  <c r="E70" i="47"/>
  <c r="B26" i="53"/>
  <c r="B44" i="53" s="1"/>
  <c r="B26" i="51"/>
  <c r="G21" i="47"/>
  <c r="G114" i="47"/>
  <c r="H38" i="53"/>
  <c r="N16" i="51"/>
  <c r="F48" i="53"/>
  <c r="L36" i="51"/>
  <c r="F38" i="53"/>
  <c r="L16" i="51"/>
  <c r="G50" i="53"/>
  <c r="M40" i="51"/>
  <c r="E80" i="47"/>
  <c r="F40" i="53"/>
  <c r="L20" i="51"/>
  <c r="G100" i="47"/>
  <c r="G20" i="47"/>
  <c r="G117" i="47"/>
  <c r="G22" i="47"/>
  <c r="K40" i="51"/>
  <c r="E50" i="53"/>
  <c r="E38" i="53"/>
  <c r="K16" i="51"/>
  <c r="F50" i="53"/>
  <c r="L40" i="51"/>
  <c r="G37" i="47"/>
  <c r="G19" i="47"/>
  <c r="E48" i="53"/>
  <c r="K36" i="51"/>
  <c r="F28" i="53"/>
  <c r="L31" i="51"/>
  <c r="B14" i="51"/>
  <c r="B20" i="53"/>
  <c r="B38" i="53" s="1"/>
  <c r="G32" i="47"/>
  <c r="G34" i="47"/>
  <c r="G116" i="47"/>
  <c r="G118" i="47"/>
  <c r="G33" i="47"/>
  <c r="E84" i="47"/>
  <c r="G35" i="47"/>
  <c r="E86" i="47"/>
  <c r="G36" i="47"/>
  <c r="I38" i="53"/>
  <c r="G115" i="47"/>
  <c r="E81" i="47"/>
  <c r="B38" i="51"/>
  <c r="B32" i="53"/>
  <c r="B50" i="53" s="1"/>
  <c r="G38" i="47"/>
  <c r="G101" i="47"/>
  <c r="H40" i="53"/>
  <c r="N20" i="51"/>
  <c r="E67" i="47"/>
  <c r="E40" i="53"/>
  <c r="K20" i="51"/>
  <c r="G28" i="53"/>
  <c r="M31" i="51"/>
  <c r="G113" i="47"/>
  <c r="D16" i="51"/>
  <c r="E42" i="53"/>
  <c r="K24" i="51"/>
  <c r="E66" i="47"/>
  <c r="E83" i="47"/>
  <c r="B28" i="53"/>
  <c r="B46" i="53" s="1"/>
  <c r="B30" i="51"/>
  <c r="G102" i="47"/>
  <c r="G48" i="53"/>
  <c r="M36" i="51"/>
  <c r="E26" i="53"/>
  <c r="K27" i="51"/>
  <c r="E28" i="53"/>
  <c r="K31" i="51"/>
  <c r="B30" i="53"/>
  <c r="B48" i="53" s="1"/>
  <c r="B34" i="51"/>
  <c r="E68" i="47"/>
  <c r="F16" i="51"/>
  <c r="G38" i="53"/>
  <c r="M16" i="51"/>
  <c r="G99" i="47"/>
  <c r="B24" i="53"/>
  <c r="B42" i="53" s="1"/>
  <c r="B22" i="51"/>
  <c r="G96" i="47"/>
  <c r="E65" i="47"/>
  <c r="G42" i="53"/>
  <c r="M24" i="51"/>
  <c r="G51" i="47"/>
  <c r="E82" i="47"/>
  <c r="G26" i="53"/>
  <c r="M27" i="51"/>
  <c r="B22" i="53"/>
  <c r="B40" i="53" s="1"/>
  <c r="B18" i="51"/>
  <c r="E64" i="47"/>
  <c r="G40" i="53"/>
  <c r="M20" i="51"/>
  <c r="L27" i="51"/>
  <c r="F26" i="53"/>
  <c r="G17" i="47"/>
  <c r="G97" i="47"/>
  <c r="G98" i="47"/>
  <c r="G112" i="47"/>
  <c r="E85" i="47"/>
  <c r="H45" i="42"/>
  <c r="I53" i="42"/>
  <c r="H54" i="42"/>
  <c r="G46" i="42"/>
  <c r="I44" i="42"/>
  <c r="U21" i="46"/>
  <c r="T21" i="46"/>
  <c r="S21" i="46"/>
  <c r="U29" i="46"/>
  <c r="T29" i="46"/>
  <c r="S29" i="46"/>
  <c r="U22" i="46"/>
  <c r="T22" i="46"/>
  <c r="S22" i="46"/>
  <c r="U30" i="46"/>
  <c r="U23" i="46"/>
  <c r="T23" i="46"/>
  <c r="S23" i="46"/>
  <c r="U24" i="46"/>
  <c r="S24" i="46"/>
  <c r="T24" i="46"/>
  <c r="U25" i="46"/>
  <c r="T25" i="46"/>
  <c r="S25" i="46"/>
  <c r="U26" i="46"/>
  <c r="T26" i="46"/>
  <c r="S26" i="46"/>
  <c r="U27" i="46"/>
  <c r="T27" i="46"/>
  <c r="S27" i="46"/>
  <c r="U28" i="46"/>
  <c r="S28" i="46"/>
  <c r="T28" i="46"/>
  <c r="J28" i="46"/>
  <c r="H28" i="46"/>
  <c r="I28" i="46"/>
  <c r="J29" i="46"/>
  <c r="H29" i="46"/>
  <c r="I29" i="46"/>
  <c r="J22" i="46"/>
  <c r="I22" i="46"/>
  <c r="H22" i="46"/>
  <c r="J30" i="46"/>
  <c r="J23" i="46"/>
  <c r="I23" i="46"/>
  <c r="H23" i="46"/>
  <c r="J24" i="46"/>
  <c r="I24" i="46"/>
  <c r="H24" i="46"/>
  <c r="J25" i="46"/>
  <c r="I25" i="46"/>
  <c r="H25" i="46"/>
  <c r="J26" i="46"/>
  <c r="H26" i="46"/>
  <c r="I26" i="46"/>
  <c r="J27" i="46"/>
  <c r="H27" i="46"/>
  <c r="I27" i="46"/>
  <c r="J21" i="46"/>
  <c r="AO34" i="46"/>
  <c r="N26" i="6"/>
  <c r="R20" i="30"/>
  <c r="O20" i="30"/>
  <c r="L20" i="30"/>
  <c r="J20" i="30"/>
  <c r="H20" i="30"/>
  <c r="Z40" i="29"/>
  <c r="AW34" i="46" l="1"/>
  <c r="AU49" i="46" s="1"/>
  <c r="G85" i="47"/>
  <c r="E44" i="53"/>
  <c r="G69" i="47"/>
  <c r="G81" i="47"/>
  <c r="G70" i="47"/>
  <c r="G65" i="47"/>
  <c r="G67" i="47"/>
  <c r="G80" i="47"/>
  <c r="G66" i="47"/>
  <c r="G83" i="47"/>
  <c r="G84" i="47"/>
  <c r="G82" i="47"/>
  <c r="H82" i="47" s="1"/>
  <c r="G68" i="47"/>
  <c r="G86" i="47"/>
  <c r="M28" i="51"/>
  <c r="M32" i="51"/>
  <c r="F44" i="53"/>
  <c r="G57" i="32"/>
  <c r="F46" i="53"/>
  <c r="F57" i="32"/>
  <c r="AX34" i="46"/>
  <c r="AV49" i="46" s="1"/>
  <c r="E46" i="53"/>
  <c r="E52" i="53" s="1"/>
  <c r="E57" i="32"/>
  <c r="S30" i="46"/>
  <c r="AD34" i="46"/>
  <c r="AB49" i="46" s="1"/>
  <c r="AC34" i="46"/>
  <c r="AA49" i="46" s="1"/>
  <c r="H30" i="46"/>
  <c r="H34" i="46" s="1"/>
  <c r="F50" i="46" s="1"/>
  <c r="N28" i="6"/>
  <c r="M30" i="6" s="1"/>
  <c r="M31" i="6" s="1"/>
  <c r="M43" i="6" s="1"/>
  <c r="H22" i="47"/>
  <c r="H115" i="47"/>
  <c r="H20" i="47"/>
  <c r="H118" i="47"/>
  <c r="H101" i="47"/>
  <c r="F82" i="47"/>
  <c r="H97" i="47"/>
  <c r="F83" i="47"/>
  <c r="H113" i="47"/>
  <c r="H116" i="47"/>
  <c r="H98" i="47"/>
  <c r="H38" i="47"/>
  <c r="H36" i="47"/>
  <c r="H34" i="47"/>
  <c r="G57" i="47"/>
  <c r="G103" i="47"/>
  <c r="G23" i="47"/>
  <c r="H23" i="47" s="1"/>
  <c r="G40" i="47"/>
  <c r="L57" i="32"/>
  <c r="E89" i="47"/>
  <c r="F84" i="47"/>
  <c r="E72" i="47"/>
  <c r="H99" i="47"/>
  <c r="H102" i="47"/>
  <c r="G42" i="47"/>
  <c r="E88" i="47"/>
  <c r="G120" i="47"/>
  <c r="G24" i="47"/>
  <c r="G56" i="47"/>
  <c r="J57" i="32"/>
  <c r="G41" i="47"/>
  <c r="G87" i="47"/>
  <c r="B78" i="47"/>
  <c r="K13" i="38"/>
  <c r="O13" i="38"/>
  <c r="B110" i="47"/>
  <c r="H35" i="47"/>
  <c r="H117" i="47"/>
  <c r="I57" i="32"/>
  <c r="G55" i="47"/>
  <c r="N38" i="53"/>
  <c r="M38" i="53"/>
  <c r="E87" i="47"/>
  <c r="F87" i="47" s="1"/>
  <c r="G26" i="47"/>
  <c r="G13" i="38"/>
  <c r="B46" i="47"/>
  <c r="G25" i="47"/>
  <c r="G52" i="53"/>
  <c r="G119" i="47"/>
  <c r="H119" i="47" s="1"/>
  <c r="K57" i="32"/>
  <c r="E73" i="47"/>
  <c r="B94" i="47"/>
  <c r="M13" i="38"/>
  <c r="G39" i="47"/>
  <c r="H39" i="47" s="1"/>
  <c r="F81" i="47"/>
  <c r="H33" i="47"/>
  <c r="G88" i="47"/>
  <c r="H100" i="47"/>
  <c r="G121" i="47"/>
  <c r="G104" i="47"/>
  <c r="H114" i="47"/>
  <c r="G72" i="47"/>
  <c r="N57" i="32"/>
  <c r="M57" i="32"/>
  <c r="F85" i="47"/>
  <c r="B30" i="47"/>
  <c r="E13" i="38"/>
  <c r="G105" i="47"/>
  <c r="G16" i="47"/>
  <c r="H17" i="47" s="1"/>
  <c r="G71" i="47"/>
  <c r="G18" i="47"/>
  <c r="H18" i="47" s="1"/>
  <c r="E71" i="47"/>
  <c r="F86" i="47"/>
  <c r="B14" i="47"/>
  <c r="C13" i="38"/>
  <c r="H37" i="47"/>
  <c r="H21" i="47"/>
  <c r="B62" i="47"/>
  <c r="I13" i="38"/>
  <c r="H57" i="32"/>
  <c r="H46" i="42"/>
  <c r="I46" i="42" s="1"/>
  <c r="I45" i="42"/>
  <c r="I34" i="46"/>
  <c r="G49" i="46" s="1"/>
  <c r="U34" i="46"/>
  <c r="T34" i="46"/>
  <c r="J34" i="46"/>
  <c r="B125" i="52"/>
  <c r="B123" i="52"/>
  <c r="H85" i="47" l="1"/>
  <c r="AU50" i="46"/>
  <c r="H86" i="47"/>
  <c r="F52" i="53"/>
  <c r="H83" i="47"/>
  <c r="H81" i="47"/>
  <c r="H87" i="47"/>
  <c r="H84" i="47"/>
  <c r="G89" i="47"/>
  <c r="H89" i="47" s="1"/>
  <c r="G73" i="47"/>
  <c r="N42" i="6"/>
  <c r="AV50" i="46"/>
  <c r="M42" i="6"/>
  <c r="R31" i="46" s="1"/>
  <c r="P49" i="46" s="1"/>
  <c r="N43" i="6"/>
  <c r="AB50" i="46"/>
  <c r="R32" i="46"/>
  <c r="P50" i="46" s="1"/>
  <c r="AA50" i="46"/>
  <c r="H121" i="47"/>
  <c r="H88" i="47"/>
  <c r="H24" i="47"/>
  <c r="H19" i="47"/>
  <c r="H42" i="47"/>
  <c r="F89" i="47"/>
  <c r="H40" i="47"/>
  <c r="O38" i="53"/>
  <c r="O16" i="51" s="1"/>
  <c r="H120" i="47"/>
  <c r="H26" i="47"/>
  <c r="H105" i="47"/>
  <c r="F88" i="47"/>
  <c r="H25" i="47"/>
  <c r="H41" i="47"/>
  <c r="H104" i="47"/>
  <c r="H103" i="47"/>
  <c r="F49" i="46"/>
  <c r="R49" i="46"/>
  <c r="R50" i="46"/>
  <c r="G50" i="46"/>
  <c r="G27" i="47" l="1"/>
  <c r="H27" i="47" s="1"/>
  <c r="L20" i="4" l="1"/>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L140" i="4" l="1"/>
  <c r="C177" i="4"/>
  <c r="C179" i="4"/>
  <c r="C178" i="4"/>
  <c r="J36" i="6"/>
  <c r="K148" i="4" l="1"/>
  <c r="K160" i="4" s="1"/>
  <c r="K146" i="4"/>
  <c r="K158" i="4" s="1"/>
  <c r="K141" i="4"/>
  <c r="K153" i="4" s="1"/>
  <c r="K142" i="4"/>
  <c r="K154" i="4" s="1"/>
  <c r="K143" i="4"/>
  <c r="K155" i="4" s="1"/>
  <c r="K147" i="4"/>
  <c r="K159" i="4" s="1"/>
  <c r="K140" i="4"/>
  <c r="K145" i="4"/>
  <c r="K150" i="4"/>
  <c r="K162" i="4" s="1"/>
  <c r="K149" i="4"/>
  <c r="K161" i="4" s="1"/>
  <c r="K144" i="4"/>
  <c r="K156" i="4" s="1"/>
  <c r="K151" i="4"/>
  <c r="K163" i="4" s="1"/>
  <c r="L143" i="4"/>
  <c r="L155" i="4" s="1"/>
  <c r="L151" i="4"/>
  <c r="L163" i="4" s="1"/>
  <c r="L150" i="4"/>
  <c r="L162" i="4" s="1"/>
  <c r="L141" i="4"/>
  <c r="L153" i="4" s="1"/>
  <c r="L148" i="4"/>
  <c r="L160" i="4" s="1"/>
  <c r="L145" i="4"/>
  <c r="L157" i="4" s="1"/>
  <c r="L142" i="4"/>
  <c r="L154" i="4" s="1"/>
  <c r="L147" i="4"/>
  <c r="L159" i="4" s="1"/>
  <c r="L144" i="4"/>
  <c r="L156" i="4" s="1"/>
  <c r="L152" i="4"/>
  <c r="L149" i="4"/>
  <c r="L161" i="4" s="1"/>
  <c r="L146" i="4"/>
  <c r="L158" i="4" s="1"/>
  <c r="K157" i="4" l="1"/>
  <c r="K152" i="4"/>
  <c r="E22" i="6"/>
  <c r="C22" i="6"/>
  <c r="J43" i="6" l="1"/>
  <c r="J42" i="6"/>
  <c r="S34" i="46" l="1"/>
  <c r="B124" i="52"/>
  <c r="B122" i="52"/>
  <c r="B121" i="52"/>
  <c r="B36" i="52"/>
  <c r="B59" i="52" s="1"/>
  <c r="B73" i="52" s="1"/>
  <c r="B87" i="52" s="1"/>
  <c r="B101" i="52" s="1"/>
  <c r="B115" i="52" s="1"/>
  <c r="B20" i="52"/>
  <c r="B43" i="52" s="1"/>
  <c r="B41" i="52"/>
  <c r="B25" i="52"/>
  <c r="B48" i="52" s="1"/>
  <c r="B23" i="52"/>
  <c r="B46" i="52" s="1"/>
  <c r="B22" i="52"/>
  <c r="B45" i="52" s="1"/>
  <c r="B19" i="52"/>
  <c r="B42" i="52" s="1"/>
  <c r="B21" i="52"/>
  <c r="B44" i="52" s="1"/>
  <c r="B24" i="52"/>
  <c r="B47" i="52" s="1"/>
  <c r="B26" i="52"/>
  <c r="B49" i="52" s="1"/>
  <c r="B32" i="52"/>
  <c r="B55" i="52" s="1"/>
  <c r="B69" i="52" s="1"/>
  <c r="B83" i="52" s="1"/>
  <c r="B97" i="52" s="1"/>
  <c r="B111" i="52" s="1"/>
  <c r="B34" i="52"/>
  <c r="B57" i="52" s="1"/>
  <c r="B71" i="52" s="1"/>
  <c r="B85" i="52" s="1"/>
  <c r="B99" i="52" s="1"/>
  <c r="B113" i="52" s="1"/>
  <c r="B33" i="52"/>
  <c r="B56" i="52" s="1"/>
  <c r="B70" i="52" s="1"/>
  <c r="B84" i="52" s="1"/>
  <c r="B98" i="52" s="1"/>
  <c r="B112" i="52" s="1"/>
  <c r="B35" i="52"/>
  <c r="B58" i="52" s="1"/>
  <c r="B72" i="52" s="1"/>
  <c r="B86" i="52" s="1"/>
  <c r="B100" i="52" s="1"/>
  <c r="B114" i="52" s="1"/>
  <c r="B31" i="52"/>
  <c r="B54" i="52" s="1"/>
  <c r="B68" i="52" s="1"/>
  <c r="B82" i="52" s="1"/>
  <c r="B96" i="52" s="1"/>
  <c r="B110" i="52" s="1"/>
  <c r="B30" i="52"/>
  <c r="B53" i="52" s="1"/>
  <c r="B67" i="52" s="1"/>
  <c r="B81" i="52" s="1"/>
  <c r="B95" i="52" s="1"/>
  <c r="B109" i="52" s="1"/>
  <c r="B29" i="52"/>
  <c r="B52" i="52" s="1"/>
  <c r="B66" i="52" s="1"/>
  <c r="B80" i="52" s="1"/>
  <c r="B94" i="52" s="1"/>
  <c r="B108" i="52" s="1"/>
  <c r="B28" i="52"/>
  <c r="B51" i="52" s="1"/>
  <c r="B65" i="52" s="1"/>
  <c r="B79" i="52" s="1"/>
  <c r="B93" i="52" s="1"/>
  <c r="B107" i="52" s="1"/>
  <c r="B27" i="52"/>
  <c r="B50" i="52" s="1"/>
  <c r="B64" i="52" s="1"/>
  <c r="B78" i="52" s="1"/>
  <c r="Y27" i="52"/>
  <c r="Y28" i="52"/>
  <c r="Y29" i="52"/>
  <c r="Y30" i="52"/>
  <c r="Y31" i="52"/>
  <c r="H65" i="46" l="1"/>
  <c r="H61" i="46"/>
  <c r="H63" i="46"/>
  <c r="H59" i="46"/>
  <c r="H67" i="46"/>
  <c r="H66" i="46"/>
  <c r="H64" i="46"/>
  <c r="H62" i="46"/>
  <c r="H60" i="46"/>
  <c r="Q50" i="46"/>
  <c r="Q49" i="46"/>
  <c r="B92" i="52"/>
  <c r="B106" i="52" s="1"/>
  <c r="D21" i="29"/>
  <c r="F21" i="29" s="1"/>
  <c r="L21" i="29" l="1"/>
  <c r="B42" i="51"/>
  <c r="B46" i="51"/>
  <c r="B50" i="51"/>
  <c r="B43" i="32"/>
  <c r="B47" i="32"/>
  <c r="B51" i="32"/>
  <c r="B40" i="29"/>
  <c r="J40" i="29"/>
  <c r="R40" i="29"/>
  <c r="M21" i="4"/>
  <c r="N21" i="4"/>
  <c r="M22" i="4"/>
  <c r="N22" i="4"/>
  <c r="M23" i="4"/>
  <c r="N23" i="4"/>
  <c r="M24" i="4"/>
  <c r="N24" i="4"/>
  <c r="M25" i="4"/>
  <c r="N25" i="4"/>
  <c r="M26" i="4"/>
  <c r="N26" i="4"/>
  <c r="M27" i="4"/>
  <c r="N27" i="4"/>
  <c r="M28" i="4"/>
  <c r="N28" i="4"/>
  <c r="M29" i="4"/>
  <c r="N29" i="4"/>
  <c r="M30" i="4"/>
  <c r="N30" i="4"/>
  <c r="M31" i="4"/>
  <c r="N31" i="4"/>
  <c r="M32" i="4"/>
  <c r="N32" i="4"/>
  <c r="M33" i="4"/>
  <c r="N33" i="4"/>
  <c r="M34" i="4"/>
  <c r="N34" i="4"/>
  <c r="M35" i="4"/>
  <c r="N35" i="4"/>
  <c r="M36" i="4"/>
  <c r="N36" i="4"/>
  <c r="M37" i="4"/>
  <c r="N37" i="4"/>
  <c r="M38" i="4"/>
  <c r="N38" i="4"/>
  <c r="M39" i="4"/>
  <c r="N39" i="4"/>
  <c r="M40" i="4"/>
  <c r="N40" i="4"/>
  <c r="M41" i="4"/>
  <c r="N41" i="4"/>
  <c r="M42" i="4"/>
  <c r="N42" i="4"/>
  <c r="M43" i="4"/>
  <c r="N43" i="4"/>
  <c r="M44" i="4"/>
  <c r="N44" i="4"/>
  <c r="M45" i="4"/>
  <c r="N45" i="4"/>
  <c r="M46" i="4"/>
  <c r="N46" i="4"/>
  <c r="M47" i="4"/>
  <c r="N47" i="4"/>
  <c r="U47" i="4"/>
  <c r="U60" i="4" s="1"/>
  <c r="M48" i="4"/>
  <c r="N48" i="4"/>
  <c r="M49" i="4"/>
  <c r="N49" i="4"/>
  <c r="M50" i="4"/>
  <c r="N50" i="4"/>
  <c r="M51" i="4"/>
  <c r="N51" i="4"/>
  <c r="U48" i="4"/>
  <c r="M52" i="4"/>
  <c r="N52" i="4"/>
  <c r="M53" i="4"/>
  <c r="N53" i="4"/>
  <c r="M54" i="4"/>
  <c r="N54" i="4"/>
  <c r="M55" i="4"/>
  <c r="N55" i="4"/>
  <c r="M56" i="4"/>
  <c r="N56" i="4"/>
  <c r="M57" i="4"/>
  <c r="N57" i="4"/>
  <c r="M58" i="4"/>
  <c r="N58" i="4"/>
  <c r="M59" i="4"/>
  <c r="N59" i="4"/>
  <c r="M60" i="4"/>
  <c r="N60" i="4"/>
  <c r="M61" i="4"/>
  <c r="N61" i="4"/>
  <c r="M62" i="4"/>
  <c r="N62" i="4"/>
  <c r="M63" i="4"/>
  <c r="N63" i="4"/>
  <c r="M64" i="4"/>
  <c r="N64" i="4"/>
  <c r="M65" i="4"/>
  <c r="N65" i="4"/>
  <c r="M66" i="4"/>
  <c r="N66" i="4"/>
  <c r="M67" i="4"/>
  <c r="N67" i="4"/>
  <c r="M68" i="4"/>
  <c r="N68" i="4"/>
  <c r="M69" i="4"/>
  <c r="N69" i="4"/>
  <c r="M70" i="4"/>
  <c r="N70" i="4"/>
  <c r="M71" i="4"/>
  <c r="N71" i="4"/>
  <c r="M72" i="4"/>
  <c r="N72" i="4"/>
  <c r="M73" i="4"/>
  <c r="N73" i="4"/>
  <c r="M74" i="4"/>
  <c r="N74" i="4"/>
  <c r="M75" i="4"/>
  <c r="N75" i="4"/>
  <c r="M76" i="4"/>
  <c r="N76" i="4"/>
  <c r="M77" i="4"/>
  <c r="N77" i="4"/>
  <c r="M78" i="4"/>
  <c r="N78" i="4"/>
  <c r="M79" i="4"/>
  <c r="N79" i="4"/>
  <c r="U51" i="4"/>
  <c r="M80" i="4"/>
  <c r="N80" i="4"/>
  <c r="M81" i="4"/>
  <c r="N81" i="4"/>
  <c r="M82" i="4"/>
  <c r="N82" i="4"/>
  <c r="M83" i="4"/>
  <c r="N83" i="4"/>
  <c r="M84" i="4"/>
  <c r="N84" i="4"/>
  <c r="M85" i="4"/>
  <c r="N85" i="4"/>
  <c r="M86" i="4"/>
  <c r="N86" i="4"/>
  <c r="M87" i="4"/>
  <c r="N87" i="4"/>
  <c r="M88" i="4"/>
  <c r="N88" i="4"/>
  <c r="M89" i="4"/>
  <c r="N89" i="4"/>
  <c r="M90" i="4"/>
  <c r="N90" i="4"/>
  <c r="M91" i="4"/>
  <c r="N91" i="4"/>
  <c r="M92" i="4"/>
  <c r="N92" i="4"/>
  <c r="M93" i="4"/>
  <c r="N93" i="4"/>
  <c r="M94" i="4"/>
  <c r="N94" i="4"/>
  <c r="M95" i="4"/>
  <c r="N95" i="4"/>
  <c r="M96" i="4"/>
  <c r="N96" i="4"/>
  <c r="M97" i="4"/>
  <c r="N97" i="4"/>
  <c r="M98" i="4"/>
  <c r="N98" i="4"/>
  <c r="M99" i="4"/>
  <c r="N99" i="4"/>
  <c r="M100" i="4"/>
  <c r="N100" i="4"/>
  <c r="M101" i="4"/>
  <c r="N101" i="4"/>
  <c r="M102" i="4"/>
  <c r="N102" i="4"/>
  <c r="M103" i="4"/>
  <c r="N103" i="4"/>
  <c r="M104" i="4"/>
  <c r="N104" i="4"/>
  <c r="M105" i="4"/>
  <c r="N105" i="4"/>
  <c r="M106" i="4"/>
  <c r="N106" i="4"/>
  <c r="M107" i="4"/>
  <c r="N107" i="4"/>
  <c r="M108" i="4"/>
  <c r="N108" i="4"/>
  <c r="M109" i="4"/>
  <c r="N109" i="4"/>
  <c r="M110" i="4"/>
  <c r="N110" i="4"/>
  <c r="M111" i="4"/>
  <c r="N111" i="4"/>
  <c r="M112" i="4"/>
  <c r="N112" i="4"/>
  <c r="M113" i="4"/>
  <c r="N113" i="4"/>
  <c r="M114" i="4"/>
  <c r="N114" i="4"/>
  <c r="M115" i="4"/>
  <c r="N115" i="4"/>
  <c r="M116" i="4"/>
  <c r="N116" i="4"/>
  <c r="M117" i="4"/>
  <c r="N117" i="4"/>
  <c r="M118" i="4"/>
  <c r="N118" i="4"/>
  <c r="M119" i="4"/>
  <c r="N119" i="4"/>
  <c r="M120" i="4"/>
  <c r="N120" i="4"/>
  <c r="M121" i="4"/>
  <c r="N121" i="4"/>
  <c r="M122" i="4"/>
  <c r="N122" i="4"/>
  <c r="M123" i="4"/>
  <c r="N123" i="4"/>
  <c r="M124" i="4"/>
  <c r="N124" i="4"/>
  <c r="M125" i="4"/>
  <c r="N125" i="4"/>
  <c r="M126" i="4"/>
  <c r="N126" i="4"/>
  <c r="M127" i="4"/>
  <c r="N127" i="4"/>
  <c r="U55" i="4"/>
  <c r="M128" i="4"/>
  <c r="N128" i="4"/>
  <c r="M129" i="4"/>
  <c r="N129" i="4"/>
  <c r="M130" i="4"/>
  <c r="N130" i="4"/>
  <c r="M131" i="4"/>
  <c r="N131" i="4"/>
  <c r="M132" i="4"/>
  <c r="N132" i="4"/>
  <c r="M133" i="4"/>
  <c r="N133" i="4"/>
  <c r="M134" i="4"/>
  <c r="N134" i="4"/>
  <c r="M135" i="4"/>
  <c r="N135" i="4"/>
  <c r="M136" i="4"/>
  <c r="N136" i="4"/>
  <c r="M137" i="4"/>
  <c r="N137" i="4"/>
  <c r="M138" i="4"/>
  <c r="N138" i="4"/>
  <c r="M139" i="4"/>
  <c r="N139" i="4"/>
  <c r="C15" i="6"/>
  <c r="E15" i="6"/>
  <c r="G15" i="6"/>
  <c r="K15" i="6"/>
  <c r="Q15" i="6"/>
  <c r="S15" i="6"/>
  <c r="B17" i="6"/>
  <c r="B21" i="29" s="1"/>
  <c r="C17" i="6"/>
  <c r="E17" i="6"/>
  <c r="AL21" i="46"/>
  <c r="B18" i="6"/>
  <c r="E18" i="6"/>
  <c r="H18" i="6"/>
  <c r="AL22" i="46"/>
  <c r="B19" i="6"/>
  <c r="E19" i="6"/>
  <c r="AL23" i="46"/>
  <c r="B20" i="6"/>
  <c r="T62" i="4" s="1"/>
  <c r="E20" i="6"/>
  <c r="AL24" i="46"/>
  <c r="B21" i="6"/>
  <c r="B25" i="29" s="1"/>
  <c r="C21" i="6"/>
  <c r="E21" i="6"/>
  <c r="L22" i="6"/>
  <c r="AL25" i="46"/>
  <c r="B22" i="6"/>
  <c r="B23" i="6"/>
  <c r="C23" i="6"/>
  <c r="E23" i="6"/>
  <c r="AL27" i="46"/>
  <c r="B24" i="6"/>
  <c r="C24" i="6"/>
  <c r="E24" i="6"/>
  <c r="AL28" i="46"/>
  <c r="B25" i="6"/>
  <c r="B29" i="46" s="1"/>
  <c r="C25" i="6"/>
  <c r="E25" i="6"/>
  <c r="AL29" i="46"/>
  <c r="B26" i="6"/>
  <c r="T55" i="4" s="1"/>
  <c r="C26" i="6"/>
  <c r="E26" i="6"/>
  <c r="AL30" i="46"/>
  <c r="B30" i="6"/>
  <c r="B31" i="6"/>
  <c r="B36" i="6"/>
  <c r="B37" i="6"/>
  <c r="D20" i="30"/>
  <c r="F20" i="30"/>
  <c r="X20" i="30"/>
  <c r="Z20" i="30"/>
  <c r="B25" i="30"/>
  <c r="B20" i="4" s="1"/>
  <c r="B26" i="30"/>
  <c r="B21" i="4" s="1"/>
  <c r="B27" i="30"/>
  <c r="B22" i="4" s="1"/>
  <c r="B28" i="30"/>
  <c r="B23" i="4" s="1"/>
  <c r="B29" i="30"/>
  <c r="B24" i="4" s="1"/>
  <c r="B30" i="30"/>
  <c r="B25" i="4" s="1"/>
  <c r="B31" i="30"/>
  <c r="B26" i="4" s="1"/>
  <c r="B32" i="30"/>
  <c r="B27" i="4" s="1"/>
  <c r="B33" i="30"/>
  <c r="B28" i="4" s="1"/>
  <c r="B34" i="30"/>
  <c r="B29" i="4" s="1"/>
  <c r="B35" i="30"/>
  <c r="B30" i="4" s="1"/>
  <c r="B36" i="30"/>
  <c r="B31" i="4" s="1"/>
  <c r="B37" i="30"/>
  <c r="B32" i="4" s="1"/>
  <c r="B38" i="30"/>
  <c r="B33" i="4" s="1"/>
  <c r="B39" i="30"/>
  <c r="B34" i="4" s="1"/>
  <c r="B40" i="30"/>
  <c r="B35" i="4" s="1"/>
  <c r="B41" i="30"/>
  <c r="B36" i="4" s="1"/>
  <c r="B42" i="30"/>
  <c r="B37" i="4" s="1"/>
  <c r="B43" i="30"/>
  <c r="B38" i="4" s="1"/>
  <c r="B44" i="30"/>
  <c r="B39" i="4" s="1"/>
  <c r="B45" i="30"/>
  <c r="B40" i="4" s="1"/>
  <c r="B46" i="30"/>
  <c r="B41" i="4" s="1"/>
  <c r="B47" i="30"/>
  <c r="B42" i="4" s="1"/>
  <c r="B48" i="30"/>
  <c r="B43" i="4" s="1"/>
  <c r="B49" i="30"/>
  <c r="B44" i="4" s="1"/>
  <c r="B50" i="30"/>
  <c r="B45" i="4" s="1"/>
  <c r="B51" i="30"/>
  <c r="B46" i="4" s="1"/>
  <c r="B52" i="30"/>
  <c r="B47" i="4" s="1"/>
  <c r="B53" i="30"/>
  <c r="B48" i="4" s="1"/>
  <c r="B54" i="30"/>
  <c r="B49" i="4" s="1"/>
  <c r="B55" i="30"/>
  <c r="B50" i="4" s="1"/>
  <c r="B56" i="30"/>
  <c r="B51" i="4" s="1"/>
  <c r="B57" i="30"/>
  <c r="B52" i="4" s="1"/>
  <c r="B58" i="30"/>
  <c r="B53" i="4" s="1"/>
  <c r="B59" i="30"/>
  <c r="B54" i="4" s="1"/>
  <c r="B60" i="30"/>
  <c r="B55" i="4" s="1"/>
  <c r="B61" i="30"/>
  <c r="B56" i="4" s="1"/>
  <c r="B62" i="30"/>
  <c r="B57" i="4" s="1"/>
  <c r="B63" i="30"/>
  <c r="B58" i="4" s="1"/>
  <c r="B64" i="30"/>
  <c r="B59" i="4" s="1"/>
  <c r="B65" i="30"/>
  <c r="B60" i="4" s="1"/>
  <c r="B66" i="30"/>
  <c r="B61" i="4" s="1"/>
  <c r="B67" i="30"/>
  <c r="B62" i="4" s="1"/>
  <c r="B68" i="30"/>
  <c r="B63" i="4" s="1"/>
  <c r="B69" i="30"/>
  <c r="B64" i="4" s="1"/>
  <c r="B70" i="30"/>
  <c r="B65" i="4" s="1"/>
  <c r="B71" i="30"/>
  <c r="B66" i="4" s="1"/>
  <c r="B72" i="30"/>
  <c r="B67" i="4" s="1"/>
  <c r="B73" i="30"/>
  <c r="B68" i="4" s="1"/>
  <c r="B74" i="30"/>
  <c r="B69" i="4" s="1"/>
  <c r="B75" i="30"/>
  <c r="B70" i="4" s="1"/>
  <c r="B76" i="30"/>
  <c r="B71" i="4" s="1"/>
  <c r="B77" i="30"/>
  <c r="B72" i="4" s="1"/>
  <c r="B78" i="30"/>
  <c r="B73" i="4" s="1"/>
  <c r="B79" i="30"/>
  <c r="B74" i="4" s="1"/>
  <c r="B80" i="30"/>
  <c r="B75" i="4" s="1"/>
  <c r="B81" i="30"/>
  <c r="B76" i="4" s="1"/>
  <c r="B82" i="30"/>
  <c r="B77" i="4" s="1"/>
  <c r="B83" i="30"/>
  <c r="B78" i="4" s="1"/>
  <c r="B84" i="30"/>
  <c r="B79" i="4" s="1"/>
  <c r="B85" i="30"/>
  <c r="B80" i="4" s="1"/>
  <c r="B86" i="30"/>
  <c r="B81" i="4" s="1"/>
  <c r="B87" i="30"/>
  <c r="B82" i="4" s="1"/>
  <c r="B88" i="30"/>
  <c r="B83" i="4" s="1"/>
  <c r="B89" i="30"/>
  <c r="B84" i="4" s="1"/>
  <c r="B90" i="30"/>
  <c r="B85" i="4" s="1"/>
  <c r="B91" i="30"/>
  <c r="B86" i="4" s="1"/>
  <c r="B92" i="30"/>
  <c r="B87" i="4" s="1"/>
  <c r="B93" i="30"/>
  <c r="B88" i="4" s="1"/>
  <c r="B94" i="30"/>
  <c r="B89" i="4" s="1"/>
  <c r="B95" i="30"/>
  <c r="B90" i="4" s="1"/>
  <c r="B96" i="30"/>
  <c r="B91" i="4" s="1"/>
  <c r="B97" i="30"/>
  <c r="B92" i="4" s="1"/>
  <c r="B98" i="30"/>
  <c r="B93" i="4" s="1"/>
  <c r="B99" i="30"/>
  <c r="B94" i="4" s="1"/>
  <c r="B100" i="30"/>
  <c r="B95" i="4" s="1"/>
  <c r="B101" i="30"/>
  <c r="B96" i="4" s="1"/>
  <c r="B102" i="30"/>
  <c r="B97" i="4" s="1"/>
  <c r="B103" i="30"/>
  <c r="B98" i="4" s="1"/>
  <c r="B104" i="30"/>
  <c r="B99" i="4" s="1"/>
  <c r="B105" i="30"/>
  <c r="B100" i="4" s="1"/>
  <c r="B106" i="30"/>
  <c r="B101" i="4" s="1"/>
  <c r="B107" i="30"/>
  <c r="B102" i="4" s="1"/>
  <c r="B108" i="30"/>
  <c r="B103" i="4" s="1"/>
  <c r="B109" i="30"/>
  <c r="B104" i="4" s="1"/>
  <c r="B110" i="30"/>
  <c r="B105" i="4" s="1"/>
  <c r="B111" i="30"/>
  <c r="B106" i="4" s="1"/>
  <c r="B112" i="30"/>
  <c r="B107" i="4" s="1"/>
  <c r="B113" i="30"/>
  <c r="B108" i="4" s="1"/>
  <c r="B114" i="30"/>
  <c r="B109" i="4" s="1"/>
  <c r="B115" i="30"/>
  <c r="B110" i="4" s="1"/>
  <c r="B116" i="30"/>
  <c r="B111" i="4" s="1"/>
  <c r="B117" i="30"/>
  <c r="B112" i="4" s="1"/>
  <c r="B118" i="30"/>
  <c r="B113" i="4" s="1"/>
  <c r="B119" i="30"/>
  <c r="B114" i="4" s="1"/>
  <c r="B120" i="30"/>
  <c r="B115" i="4" s="1"/>
  <c r="B121" i="30"/>
  <c r="B116" i="4" s="1"/>
  <c r="B122" i="30"/>
  <c r="B117" i="4" s="1"/>
  <c r="B123" i="30"/>
  <c r="B118" i="4" s="1"/>
  <c r="B124" i="30"/>
  <c r="B119" i="4" s="1"/>
  <c r="B125" i="30"/>
  <c r="B120" i="4" s="1"/>
  <c r="B126" i="30"/>
  <c r="B121" i="4" s="1"/>
  <c r="B127" i="30"/>
  <c r="B122" i="4" s="1"/>
  <c r="B128" i="30"/>
  <c r="B123" i="4" s="1"/>
  <c r="B129" i="30"/>
  <c r="B124" i="4" s="1"/>
  <c r="B130" i="30"/>
  <c r="B125" i="4" s="1"/>
  <c r="B131" i="30"/>
  <c r="B126" i="4" s="1"/>
  <c r="B132" i="30"/>
  <c r="B127" i="4" s="1"/>
  <c r="B133" i="30"/>
  <c r="B128" i="4" s="1"/>
  <c r="B134" i="30"/>
  <c r="B129" i="4" s="1"/>
  <c r="B135" i="30"/>
  <c r="B130" i="4" s="1"/>
  <c r="B136" i="30"/>
  <c r="B131" i="4" s="1"/>
  <c r="B137" i="30"/>
  <c r="B132" i="4" s="1"/>
  <c r="B138" i="30"/>
  <c r="B133" i="4" s="1"/>
  <c r="B139" i="30"/>
  <c r="B134" i="4" s="1"/>
  <c r="B140" i="30"/>
  <c r="B135" i="4" s="1"/>
  <c r="B141" i="30"/>
  <c r="B136" i="4" s="1"/>
  <c r="B142" i="30"/>
  <c r="B137" i="4" s="1"/>
  <c r="B143" i="30"/>
  <c r="B138" i="4" s="1"/>
  <c r="B144" i="30"/>
  <c r="B139" i="4" s="1"/>
  <c r="B145" i="30"/>
  <c r="B140" i="4" s="1"/>
  <c r="B146" i="30"/>
  <c r="B141" i="4" s="1"/>
  <c r="B147" i="30"/>
  <c r="B142" i="4" s="1"/>
  <c r="B148" i="30"/>
  <c r="B143" i="4" s="1"/>
  <c r="B149" i="30"/>
  <c r="B144" i="4" s="1"/>
  <c r="B150" i="30"/>
  <c r="B145" i="4" s="1"/>
  <c r="B151" i="30"/>
  <c r="B146" i="4" s="1"/>
  <c r="B152" i="30"/>
  <c r="B147" i="4" s="1"/>
  <c r="B153" i="30"/>
  <c r="B148" i="4" s="1"/>
  <c r="B154" i="30"/>
  <c r="B149" i="4" s="1"/>
  <c r="B155" i="30"/>
  <c r="B150" i="4" s="1"/>
  <c r="B156" i="30"/>
  <c r="B151" i="4" s="1"/>
  <c r="B157" i="30"/>
  <c r="B152" i="4" s="1"/>
  <c r="B158" i="30"/>
  <c r="B153" i="4" s="1"/>
  <c r="B159" i="30"/>
  <c r="B154" i="4" s="1"/>
  <c r="B160" i="30"/>
  <c r="B155" i="4" s="1"/>
  <c r="B161" i="30"/>
  <c r="B156" i="4" s="1"/>
  <c r="B162" i="30"/>
  <c r="B157" i="4" s="1"/>
  <c r="B163" i="30"/>
  <c r="B158" i="4" s="1"/>
  <c r="B164" i="30"/>
  <c r="B159" i="4" s="1"/>
  <c r="B165" i="30"/>
  <c r="B160" i="4" s="1"/>
  <c r="B166" i="30"/>
  <c r="B161" i="4" s="1"/>
  <c r="B167" i="30"/>
  <c r="B162" i="4" s="1"/>
  <c r="B168" i="30"/>
  <c r="B163" i="4" s="1"/>
  <c r="N140" i="4" l="1"/>
  <c r="M147" i="4"/>
  <c r="N146" i="4"/>
  <c r="M140" i="4"/>
  <c r="Q140" i="4" s="1"/>
  <c r="L36" i="32"/>
  <c r="M36" i="32"/>
  <c r="L34" i="51" s="1"/>
  <c r="J36" i="32"/>
  <c r="I34" i="51" s="1"/>
  <c r="F36" i="32"/>
  <c r="E34" i="51" s="1"/>
  <c r="P36" i="32"/>
  <c r="E36" i="32"/>
  <c r="D34" i="51" s="1"/>
  <c r="N36" i="32"/>
  <c r="M34" i="51" s="1"/>
  <c r="H36" i="32"/>
  <c r="G34" i="51" s="1"/>
  <c r="E32" i="32"/>
  <c r="O36" i="32"/>
  <c r="K36" i="32"/>
  <c r="J34" i="51" s="1"/>
  <c r="G36" i="32"/>
  <c r="F34" i="51" s="1"/>
  <c r="I36" i="32"/>
  <c r="V25" i="6"/>
  <c r="V23" i="6"/>
  <c r="AN25" i="46"/>
  <c r="AM25" i="46"/>
  <c r="V19" i="6"/>
  <c r="M40" i="32"/>
  <c r="L38" i="51" s="1"/>
  <c r="L40" i="32"/>
  <c r="K38" i="51" s="1"/>
  <c r="I40" i="32"/>
  <c r="H38" i="51" s="1"/>
  <c r="H40" i="32"/>
  <c r="G38" i="51" s="1"/>
  <c r="K40" i="32"/>
  <c r="J38" i="51" s="1"/>
  <c r="J40" i="32"/>
  <c r="I38" i="51" s="1"/>
  <c r="F40" i="32"/>
  <c r="E38" i="51" s="1"/>
  <c r="E40" i="32"/>
  <c r="D38" i="51" s="1"/>
  <c r="N40" i="32"/>
  <c r="M38" i="51" s="1"/>
  <c r="G40" i="32"/>
  <c r="F38" i="51" s="1"/>
  <c r="AN30" i="46"/>
  <c r="AM30" i="46"/>
  <c r="AM24" i="46"/>
  <c r="AN24" i="46"/>
  <c r="AM23" i="46"/>
  <c r="AN23" i="46"/>
  <c r="AN29" i="46"/>
  <c r="AM29" i="46"/>
  <c r="AN28" i="46"/>
  <c r="AM28" i="46"/>
  <c r="AN27" i="46"/>
  <c r="AM27" i="46"/>
  <c r="V22" i="6"/>
  <c r="AL26" i="46"/>
  <c r="AM22" i="46"/>
  <c r="AN22" i="46"/>
  <c r="AM21" i="46"/>
  <c r="AN21" i="46"/>
  <c r="V20" i="6"/>
  <c r="V17" i="6"/>
  <c r="V24" i="6"/>
  <c r="V18" i="6"/>
  <c r="V26" i="6"/>
  <c r="V21" i="6"/>
  <c r="C176" i="4"/>
  <c r="C180" i="4"/>
  <c r="H58" i="46"/>
  <c r="C181" i="4"/>
  <c r="T66" i="4"/>
  <c r="L15" i="32"/>
  <c r="E16" i="32"/>
  <c r="F16" i="32"/>
  <c r="L16" i="32"/>
  <c r="K14" i="51" s="1"/>
  <c r="M16" i="32"/>
  <c r="L14" i="51" s="1"/>
  <c r="H16" i="32"/>
  <c r="G14" i="51" s="1"/>
  <c r="I16" i="32"/>
  <c r="H14" i="51" s="1"/>
  <c r="G16" i="32"/>
  <c r="F14" i="51" s="1"/>
  <c r="J16" i="32"/>
  <c r="I14" i="51" s="1"/>
  <c r="K16" i="32"/>
  <c r="J14" i="51" s="1"/>
  <c r="N16" i="32"/>
  <c r="M14" i="51" s="1"/>
  <c r="H28" i="32"/>
  <c r="G26" i="51" s="1"/>
  <c r="I32" i="32"/>
  <c r="H30" i="51" s="1"/>
  <c r="K20" i="32"/>
  <c r="L24" i="32"/>
  <c r="K22" i="51" s="1"/>
  <c r="E28" i="32"/>
  <c r="D26" i="51" s="1"/>
  <c r="K28" i="32"/>
  <c r="J26" i="51" s="1"/>
  <c r="F28" i="32"/>
  <c r="E26" i="51" s="1"/>
  <c r="E22" i="51"/>
  <c r="K32" i="32"/>
  <c r="J30" i="51" s="1"/>
  <c r="H34" i="51"/>
  <c r="J20" i="32"/>
  <c r="H22" i="51"/>
  <c r="D30" i="51"/>
  <c r="J22" i="51"/>
  <c r="E20" i="32"/>
  <c r="I22" i="51"/>
  <c r="N20" i="32"/>
  <c r="L20" i="32"/>
  <c r="G28" i="32"/>
  <c r="F26" i="51" s="1"/>
  <c r="M24" i="32"/>
  <c r="L22" i="51" s="1"/>
  <c r="G32" i="32"/>
  <c r="F30" i="51" s="1"/>
  <c r="G22" i="51"/>
  <c r="I20" i="32"/>
  <c r="N24" i="32"/>
  <c r="M22" i="51" s="1"/>
  <c r="F20" i="32"/>
  <c r="M28" i="32"/>
  <c r="L26" i="51" s="1"/>
  <c r="M32" i="32"/>
  <c r="L30" i="51" s="1"/>
  <c r="G20" i="32"/>
  <c r="J32" i="32"/>
  <c r="I30" i="51" s="1"/>
  <c r="L32" i="32"/>
  <c r="K30" i="51" s="1"/>
  <c r="K34" i="51"/>
  <c r="I28" i="32"/>
  <c r="H26" i="51" s="1"/>
  <c r="J28" i="32"/>
  <c r="I26" i="51" s="1"/>
  <c r="F22" i="51"/>
  <c r="N32" i="32"/>
  <c r="M30" i="51" s="1"/>
  <c r="F32" i="32"/>
  <c r="E30" i="51" s="1"/>
  <c r="M20" i="32"/>
  <c r="L28" i="32"/>
  <c r="K26" i="51" s="1"/>
  <c r="N28" i="32"/>
  <c r="M26" i="51" s="1"/>
  <c r="H20" i="32"/>
  <c r="D22" i="51"/>
  <c r="H32" i="32"/>
  <c r="G30" i="51" s="1"/>
  <c r="F66" i="46"/>
  <c r="AQ29" i="46"/>
  <c r="AG29" i="46"/>
  <c r="D22" i="6"/>
  <c r="L26" i="6"/>
  <c r="D25" i="6"/>
  <c r="F20" i="6"/>
  <c r="D36" i="6"/>
  <c r="D20" i="6"/>
  <c r="H24" i="6"/>
  <c r="D26" i="6"/>
  <c r="H20" i="6"/>
  <c r="F18" i="6"/>
  <c r="H36" i="6"/>
  <c r="F36" i="6"/>
  <c r="H22" i="6"/>
  <c r="H26" i="6"/>
  <c r="F23" i="6"/>
  <c r="R36" i="6"/>
  <c r="R42" i="6" s="1"/>
  <c r="D24" i="6"/>
  <c r="I42" i="6"/>
  <c r="D21" i="6"/>
  <c r="L20" i="6"/>
  <c r="H21" i="6"/>
  <c r="F24" i="6"/>
  <c r="L24" i="6"/>
  <c r="F22" i="6"/>
  <c r="F26" i="6"/>
  <c r="V47" i="4"/>
  <c r="L25" i="6"/>
  <c r="M29" i="46"/>
  <c r="W29" i="46"/>
  <c r="D23" i="6"/>
  <c r="B20" i="38"/>
  <c r="I13" i="51"/>
  <c r="J15" i="32"/>
  <c r="B26" i="46"/>
  <c r="B26" i="29"/>
  <c r="T51" i="4"/>
  <c r="T64" i="4"/>
  <c r="F21" i="6"/>
  <c r="H19" i="6"/>
  <c r="F13" i="51"/>
  <c r="B17" i="38"/>
  <c r="B23" i="46"/>
  <c r="G15" i="32"/>
  <c r="T48" i="4"/>
  <c r="T61" i="4"/>
  <c r="B23" i="29"/>
  <c r="B16" i="38"/>
  <c r="E13" i="51"/>
  <c r="F15" i="32"/>
  <c r="B22" i="46"/>
  <c r="B22" i="29"/>
  <c r="T47" i="4"/>
  <c r="T60" i="4"/>
  <c r="B24" i="38"/>
  <c r="M13" i="51"/>
  <c r="N15" i="32"/>
  <c r="B30" i="29"/>
  <c r="B30" i="46"/>
  <c r="T68" i="4"/>
  <c r="F25" i="6"/>
  <c r="H23" i="6"/>
  <c r="J13" i="51"/>
  <c r="B21" i="38"/>
  <c r="B27" i="46"/>
  <c r="K15" i="32"/>
  <c r="T52" i="4"/>
  <c r="T65" i="4"/>
  <c r="B27" i="29"/>
  <c r="L19" i="6"/>
  <c r="F19" i="6"/>
  <c r="L18" i="6"/>
  <c r="D18" i="6"/>
  <c r="U61" i="4"/>
  <c r="V48" i="4"/>
  <c r="B26" i="38"/>
  <c r="O13" i="51"/>
  <c r="P15" i="32"/>
  <c r="B32" i="46"/>
  <c r="B32" i="29"/>
  <c r="L23" i="6"/>
  <c r="J21" i="29"/>
  <c r="Z21" i="29" s="1"/>
  <c r="R21" i="29"/>
  <c r="AH21" i="29" s="1"/>
  <c r="P36" i="6"/>
  <c r="N13" i="51"/>
  <c r="B25" i="38"/>
  <c r="B31" i="46"/>
  <c r="O15" i="32"/>
  <c r="B31" i="29"/>
  <c r="H25" i="6"/>
  <c r="L21" i="6"/>
  <c r="J25" i="29"/>
  <c r="Z25" i="29" s="1"/>
  <c r="R25" i="29"/>
  <c r="AH25" i="29" s="1"/>
  <c r="D19" i="6"/>
  <c r="U68" i="4"/>
  <c r="U64" i="4"/>
  <c r="T54" i="4"/>
  <c r="T50" i="4"/>
  <c r="B29" i="29"/>
  <c r="B22" i="38"/>
  <c r="K13" i="51"/>
  <c r="B28" i="46"/>
  <c r="B18" i="38"/>
  <c r="G13" i="51"/>
  <c r="H15" i="32"/>
  <c r="B24" i="46"/>
  <c r="B15" i="38"/>
  <c r="D13" i="51"/>
  <c r="B21" i="46"/>
  <c r="E15" i="32"/>
  <c r="D30" i="29"/>
  <c r="F30" i="29" s="1"/>
  <c r="D29" i="29"/>
  <c r="L29" i="29" s="1"/>
  <c r="D28" i="29"/>
  <c r="D27" i="29"/>
  <c r="L27" i="29" s="1"/>
  <c r="T27" i="29" s="1"/>
  <c r="D26" i="29"/>
  <c r="L26" i="29" s="1"/>
  <c r="T26" i="29" s="1"/>
  <c r="D25" i="29"/>
  <c r="D24" i="29"/>
  <c r="L24" i="29" s="1"/>
  <c r="T24" i="29" s="1"/>
  <c r="U52" i="4"/>
  <c r="B28" i="29"/>
  <c r="B23" i="38"/>
  <c r="L13" i="51"/>
  <c r="M15" i="32"/>
  <c r="B19" i="38"/>
  <c r="H13" i="51"/>
  <c r="I15" i="32"/>
  <c r="T67" i="4"/>
  <c r="T63" i="4"/>
  <c r="T59" i="4"/>
  <c r="U53" i="4"/>
  <c r="U49" i="4"/>
  <c r="D23" i="29"/>
  <c r="L23" i="29" s="1"/>
  <c r="T23" i="29" s="1"/>
  <c r="D22" i="29"/>
  <c r="L22" i="29" s="1"/>
  <c r="T22" i="29" s="1"/>
  <c r="T21" i="29"/>
  <c r="V21" i="29" s="1"/>
  <c r="B24" i="29"/>
  <c r="B25" i="46"/>
  <c r="U54" i="4"/>
  <c r="T53" i="4"/>
  <c r="U50" i="4"/>
  <c r="T49" i="4"/>
  <c r="T46" i="4"/>
  <c r="F65" i="47"/>
  <c r="D28" i="6" l="1"/>
  <c r="C30" i="6" s="1"/>
  <c r="R115" i="4"/>
  <c r="W53" i="4" s="1"/>
  <c r="V66" i="4" s="1"/>
  <c r="AA42" i="29"/>
  <c r="AI42" i="29"/>
  <c r="G18" i="51"/>
  <c r="F18" i="38" s="1"/>
  <c r="L18" i="51"/>
  <c r="E18" i="51"/>
  <c r="F16" i="38" s="1"/>
  <c r="K18" i="51"/>
  <c r="F18" i="51"/>
  <c r="M18" i="51"/>
  <c r="I18" i="51"/>
  <c r="H18" i="51"/>
  <c r="C36" i="47" s="1"/>
  <c r="J18" i="51"/>
  <c r="D14" i="51"/>
  <c r="C16" i="47" s="1"/>
  <c r="I20" i="38"/>
  <c r="I21" i="38"/>
  <c r="W23" i="6"/>
  <c r="AM26" i="46"/>
  <c r="AM34" i="46" s="1"/>
  <c r="AN26" i="46"/>
  <c r="AN34" i="46" s="1"/>
  <c r="E14" i="51"/>
  <c r="F55" i="32"/>
  <c r="J150" i="4"/>
  <c r="N141" i="4"/>
  <c r="N149" i="4"/>
  <c r="N145" i="4"/>
  <c r="N142" i="4"/>
  <c r="N150" i="4"/>
  <c r="N147" i="4"/>
  <c r="N144" i="4"/>
  <c r="N158" i="4"/>
  <c r="N143" i="4"/>
  <c r="N151" i="4"/>
  <c r="N148" i="4"/>
  <c r="J147" i="4"/>
  <c r="Q147" i="4" s="1"/>
  <c r="I63" i="46"/>
  <c r="I66" i="46"/>
  <c r="J149" i="4"/>
  <c r="J148" i="4"/>
  <c r="J141" i="4"/>
  <c r="J151" i="4"/>
  <c r="J152" i="4"/>
  <c r="J143" i="4"/>
  <c r="J144" i="4"/>
  <c r="J142" i="4"/>
  <c r="J146" i="4"/>
  <c r="I67" i="46"/>
  <c r="I61" i="46"/>
  <c r="I58" i="46"/>
  <c r="E21" i="29"/>
  <c r="I62" i="46"/>
  <c r="I60" i="46"/>
  <c r="I65" i="46"/>
  <c r="I59" i="46"/>
  <c r="I64" i="46"/>
  <c r="C18" i="47"/>
  <c r="D17" i="38"/>
  <c r="C20" i="47"/>
  <c r="D19" i="38"/>
  <c r="C19" i="47"/>
  <c r="D18" i="38"/>
  <c r="C25" i="47"/>
  <c r="D24" i="38"/>
  <c r="C23" i="47"/>
  <c r="D22" i="38"/>
  <c r="C24" i="47"/>
  <c r="D23" i="38"/>
  <c r="D21" i="38"/>
  <c r="C22" i="47"/>
  <c r="C21" i="47"/>
  <c r="D20" i="38"/>
  <c r="C97" i="47"/>
  <c r="N16" i="38"/>
  <c r="C83" i="47"/>
  <c r="L18" i="38"/>
  <c r="K18" i="38"/>
  <c r="C117" i="47"/>
  <c r="P20" i="38"/>
  <c r="C68" i="47"/>
  <c r="J19" i="38"/>
  <c r="I19" i="38"/>
  <c r="C82" i="47"/>
  <c r="L17" i="38"/>
  <c r="K17" i="38"/>
  <c r="C54" i="47"/>
  <c r="H21" i="38"/>
  <c r="C101" i="47"/>
  <c r="N20" i="38"/>
  <c r="C119" i="47"/>
  <c r="P22" i="38"/>
  <c r="C115" i="47"/>
  <c r="P18" i="38"/>
  <c r="C103" i="47"/>
  <c r="N22" i="38"/>
  <c r="C57" i="47"/>
  <c r="H24" i="38"/>
  <c r="C120" i="47"/>
  <c r="P23" i="38"/>
  <c r="C86" i="47"/>
  <c r="K21" i="38"/>
  <c r="L21" i="38"/>
  <c r="C104" i="47"/>
  <c r="N23" i="38"/>
  <c r="C48" i="47"/>
  <c r="H15" i="38"/>
  <c r="C85" i="47"/>
  <c r="L20" i="38"/>
  <c r="K20" i="38"/>
  <c r="C65" i="47"/>
  <c r="I16" i="38"/>
  <c r="J16" i="38"/>
  <c r="C96" i="47"/>
  <c r="N15" i="38"/>
  <c r="C89" i="47"/>
  <c r="K24" i="38"/>
  <c r="L24" i="38"/>
  <c r="F24" i="38"/>
  <c r="C114" i="47"/>
  <c r="P17" i="38"/>
  <c r="C118" i="47"/>
  <c r="P21" i="38"/>
  <c r="C55" i="47"/>
  <c r="H22" i="38"/>
  <c r="C56" i="47"/>
  <c r="H23" i="38"/>
  <c r="C49" i="47"/>
  <c r="H16" i="38"/>
  <c r="C102" i="47"/>
  <c r="N21" i="38"/>
  <c r="C51" i="47"/>
  <c r="H18" i="38"/>
  <c r="C113" i="47"/>
  <c r="P16" i="38"/>
  <c r="C99" i="47"/>
  <c r="N18" i="38"/>
  <c r="C81" i="47"/>
  <c r="K16" i="38"/>
  <c r="L16" i="38"/>
  <c r="C121" i="47"/>
  <c r="P24" i="38"/>
  <c r="C52" i="47"/>
  <c r="H19" i="38"/>
  <c r="C64" i="47"/>
  <c r="J15" i="38"/>
  <c r="I15" i="38"/>
  <c r="C73" i="47"/>
  <c r="I24" i="38"/>
  <c r="J24" i="38"/>
  <c r="C50" i="47"/>
  <c r="H17" i="38"/>
  <c r="C88" i="47"/>
  <c r="K23" i="38"/>
  <c r="L23" i="38"/>
  <c r="C105" i="47"/>
  <c r="N24" i="38"/>
  <c r="C53" i="47"/>
  <c r="H20" i="38"/>
  <c r="F20" i="38"/>
  <c r="C67" i="47"/>
  <c r="I18" i="38"/>
  <c r="J18" i="38"/>
  <c r="C87" i="47"/>
  <c r="L22" i="38"/>
  <c r="K22" i="38"/>
  <c r="C80" i="47"/>
  <c r="K15" i="38"/>
  <c r="L15" i="38"/>
  <c r="C66" i="47"/>
  <c r="I17" i="38"/>
  <c r="J17" i="38"/>
  <c r="C98" i="47"/>
  <c r="N17" i="38"/>
  <c r="C84" i="47"/>
  <c r="K19" i="38"/>
  <c r="L19" i="38"/>
  <c r="C71" i="47"/>
  <c r="J22" i="38"/>
  <c r="I22" i="38"/>
  <c r="J20" i="38"/>
  <c r="C69" i="47"/>
  <c r="E69" i="47"/>
  <c r="F69" i="47" s="1"/>
  <c r="C72" i="47"/>
  <c r="I23" i="38"/>
  <c r="J23" i="38"/>
  <c r="D18" i="51"/>
  <c r="E55" i="32"/>
  <c r="C100" i="47"/>
  <c r="N19" i="38"/>
  <c r="C70" i="47"/>
  <c r="J21" i="38"/>
  <c r="C116" i="47"/>
  <c r="P19" i="38"/>
  <c r="F62" i="46"/>
  <c r="AQ25" i="46"/>
  <c r="AG25" i="46"/>
  <c r="F64" i="46"/>
  <c r="AQ27" i="46"/>
  <c r="AG27" i="46"/>
  <c r="F59" i="46"/>
  <c r="AQ22" i="46"/>
  <c r="AG22" i="46"/>
  <c r="F60" i="46"/>
  <c r="AQ23" i="46"/>
  <c r="AG23" i="46"/>
  <c r="F61" i="46"/>
  <c r="AQ24" i="46"/>
  <c r="AG24" i="46"/>
  <c r="F65" i="46"/>
  <c r="AQ28" i="46"/>
  <c r="AG28" i="46"/>
  <c r="B49" i="46"/>
  <c r="AQ31" i="46"/>
  <c r="AQ49" i="46" s="1"/>
  <c r="AG31" i="46"/>
  <c r="AG49" i="46" s="1"/>
  <c r="F63" i="46"/>
  <c r="AQ26" i="46"/>
  <c r="AG26" i="46"/>
  <c r="F67" i="46"/>
  <c r="AQ30" i="46"/>
  <c r="AG30" i="46"/>
  <c r="F58" i="46"/>
  <c r="AQ21" i="46"/>
  <c r="AG21" i="46"/>
  <c r="B50" i="46"/>
  <c r="AQ32" i="46"/>
  <c r="AQ50" i="46" s="1"/>
  <c r="AG32" i="46"/>
  <c r="AG50" i="46" s="1"/>
  <c r="W25" i="6"/>
  <c r="V26" i="29"/>
  <c r="AB26" i="29"/>
  <c r="AB21" i="29"/>
  <c r="V27" i="29"/>
  <c r="AB27" i="29"/>
  <c r="V23" i="29"/>
  <c r="AB23" i="29"/>
  <c r="V24" i="29"/>
  <c r="AB24" i="29"/>
  <c r="V22" i="29"/>
  <c r="AB22" i="29"/>
  <c r="W18" i="6"/>
  <c r="W20" i="6"/>
  <c r="W19" i="6"/>
  <c r="W36" i="6"/>
  <c r="W26" i="6"/>
  <c r="W24" i="6"/>
  <c r="W21" i="6"/>
  <c r="W22" i="6"/>
  <c r="H72" i="47"/>
  <c r="R31" i="4"/>
  <c r="W46" i="4" s="1"/>
  <c r="F31" i="29"/>
  <c r="N24" i="29"/>
  <c r="L25" i="29"/>
  <c r="T25" i="29" s="1"/>
  <c r="F25" i="29"/>
  <c r="F24" i="29"/>
  <c r="H56" i="47"/>
  <c r="H28" i="6"/>
  <c r="H42" i="6" s="1"/>
  <c r="F28" i="6"/>
  <c r="N55" i="32"/>
  <c r="L28" i="6"/>
  <c r="H71" i="47"/>
  <c r="F66" i="47"/>
  <c r="H54" i="51"/>
  <c r="F68" i="47"/>
  <c r="H68" i="47"/>
  <c r="F71" i="47"/>
  <c r="F73" i="47"/>
  <c r="I55" i="32"/>
  <c r="F26" i="29"/>
  <c r="H51" i="47"/>
  <c r="H67" i="47"/>
  <c r="L56" i="51"/>
  <c r="E56" i="51"/>
  <c r="G56" i="51"/>
  <c r="H52" i="47"/>
  <c r="H50" i="47"/>
  <c r="N27" i="29"/>
  <c r="F27" i="29"/>
  <c r="N26" i="29"/>
  <c r="F23" i="29"/>
  <c r="F67" i="47"/>
  <c r="H56" i="51"/>
  <c r="D56" i="51"/>
  <c r="H49" i="47"/>
  <c r="M56" i="51"/>
  <c r="N22" i="29"/>
  <c r="V50" i="4"/>
  <c r="U63" i="4"/>
  <c r="J56" i="51"/>
  <c r="N23" i="29"/>
  <c r="R28" i="29"/>
  <c r="AH28" i="29" s="1"/>
  <c r="J28" i="29"/>
  <c r="Z28" i="29" s="1"/>
  <c r="T29" i="29"/>
  <c r="N29" i="29"/>
  <c r="M28" i="46"/>
  <c r="W28" i="46"/>
  <c r="M55" i="32"/>
  <c r="W31" i="46"/>
  <c r="W49" i="46" s="1"/>
  <c r="M31" i="46"/>
  <c r="M49" i="46" s="1"/>
  <c r="I43" i="6"/>
  <c r="M22" i="46"/>
  <c r="W22" i="46"/>
  <c r="J23" i="29"/>
  <c r="Z23" i="29" s="1"/>
  <c r="R23" i="29"/>
  <c r="AH23" i="29" s="1"/>
  <c r="M23" i="46"/>
  <c r="W23" i="46"/>
  <c r="K55" i="32"/>
  <c r="H65" i="47"/>
  <c r="H53" i="47"/>
  <c r="U62" i="4"/>
  <c r="V49" i="4"/>
  <c r="N21" i="29"/>
  <c r="L30" i="29"/>
  <c r="N30" i="29" s="1"/>
  <c r="N31" i="29" s="1"/>
  <c r="M24" i="46"/>
  <c r="W24" i="46"/>
  <c r="V51" i="4"/>
  <c r="G55" i="32"/>
  <c r="L55" i="32"/>
  <c r="J32" i="29"/>
  <c r="Z32" i="29" s="1"/>
  <c r="R32" i="29"/>
  <c r="AH32" i="29" s="1"/>
  <c r="B43" i="29"/>
  <c r="J27" i="29"/>
  <c r="Z27" i="29" s="1"/>
  <c r="R27" i="29"/>
  <c r="AH27" i="29" s="1"/>
  <c r="M27" i="46"/>
  <c r="W27" i="46"/>
  <c r="H69" i="47"/>
  <c r="H57" i="47"/>
  <c r="H66" i="47"/>
  <c r="V54" i="4"/>
  <c r="U67" i="4"/>
  <c r="R24" i="29"/>
  <c r="AH24" i="29" s="1"/>
  <c r="J24" i="29"/>
  <c r="Z24" i="29" s="1"/>
  <c r="U66" i="4"/>
  <c r="V53" i="4"/>
  <c r="K56" i="51"/>
  <c r="F22" i="29"/>
  <c r="U65" i="4"/>
  <c r="V52" i="4"/>
  <c r="J31" i="29"/>
  <c r="Z31" i="29" s="1"/>
  <c r="R31" i="29"/>
  <c r="AH31" i="29" s="1"/>
  <c r="B42" i="29"/>
  <c r="F29" i="29"/>
  <c r="W32" i="46"/>
  <c r="W50" i="46" s="1"/>
  <c r="M32" i="46"/>
  <c r="M50" i="46" s="1"/>
  <c r="M30" i="46"/>
  <c r="W30" i="46"/>
  <c r="R26" i="29"/>
  <c r="AH26" i="29" s="1"/>
  <c r="J26" i="29"/>
  <c r="Z26" i="29" s="1"/>
  <c r="I56" i="51"/>
  <c r="F72" i="47"/>
  <c r="H73" i="47"/>
  <c r="F56" i="51"/>
  <c r="M25" i="46"/>
  <c r="W25" i="46"/>
  <c r="J55" i="32"/>
  <c r="M54" i="51"/>
  <c r="H54" i="47"/>
  <c r="H70" i="47"/>
  <c r="H55" i="47"/>
  <c r="L28" i="29"/>
  <c r="F28" i="29"/>
  <c r="W21" i="46"/>
  <c r="M21" i="46"/>
  <c r="R29" i="29"/>
  <c r="AH29" i="29" s="1"/>
  <c r="J29" i="29"/>
  <c r="Z29" i="29" s="1"/>
  <c r="V55" i="4"/>
  <c r="H55" i="32"/>
  <c r="R30" i="29"/>
  <c r="AH30" i="29" s="1"/>
  <c r="J30" i="29"/>
  <c r="Z30" i="29" s="1"/>
  <c r="R22" i="29"/>
  <c r="AH22" i="29" s="1"/>
  <c r="J22" i="29"/>
  <c r="Z22" i="29" s="1"/>
  <c r="M26" i="46"/>
  <c r="W26" i="46"/>
  <c r="E28" i="29"/>
  <c r="R67" i="4"/>
  <c r="W49" i="4" s="1"/>
  <c r="Y49" i="4" s="1"/>
  <c r="E23" i="29"/>
  <c r="E24" i="29"/>
  <c r="M24" i="29" s="1"/>
  <c r="E29" i="29"/>
  <c r="R79" i="4"/>
  <c r="W50" i="4" s="1"/>
  <c r="V63" i="4" s="1"/>
  <c r="R103" i="4"/>
  <c r="W52" i="4" s="1"/>
  <c r="V65" i="4" s="1"/>
  <c r="E30" i="29"/>
  <c r="G30" i="29" s="1"/>
  <c r="R55" i="4"/>
  <c r="W48" i="4" s="1"/>
  <c r="R91" i="4"/>
  <c r="W51" i="4" s="1"/>
  <c r="E27" i="29"/>
  <c r="M27" i="29" s="1"/>
  <c r="R43" i="4"/>
  <c r="E25" i="29"/>
  <c r="E26" i="29"/>
  <c r="M26" i="29" s="1"/>
  <c r="J25" i="32" s="1"/>
  <c r="I23" i="51" s="1"/>
  <c r="R127" i="4"/>
  <c r="W54" i="4" s="1"/>
  <c r="Y54" i="4" s="1"/>
  <c r="R139" i="4"/>
  <c r="E22" i="29"/>
  <c r="D15" i="38" l="1"/>
  <c r="C33" i="47"/>
  <c r="J161" i="4"/>
  <c r="J162" i="4"/>
  <c r="N163" i="4"/>
  <c r="N155" i="4"/>
  <c r="N162" i="4"/>
  <c r="N153" i="4"/>
  <c r="N159" i="4"/>
  <c r="N154" i="4"/>
  <c r="N161" i="4"/>
  <c r="N160" i="4"/>
  <c r="N156" i="4"/>
  <c r="N157" i="4"/>
  <c r="J158" i="4"/>
  <c r="J160" i="4"/>
  <c r="J159" i="4"/>
  <c r="J154" i="4"/>
  <c r="J163" i="4"/>
  <c r="J156" i="4"/>
  <c r="J153" i="4"/>
  <c r="J155" i="4"/>
  <c r="J157" i="4"/>
  <c r="F21" i="38"/>
  <c r="C39" i="47"/>
  <c r="C41" i="47"/>
  <c r="F22" i="38"/>
  <c r="K54" i="51"/>
  <c r="G54" i="51"/>
  <c r="N152" i="4"/>
  <c r="C35" i="47"/>
  <c r="D36" i="47" s="1"/>
  <c r="AA43" i="29"/>
  <c r="AI43" i="29"/>
  <c r="C38" i="47"/>
  <c r="C17" i="47"/>
  <c r="D18" i="47" s="1"/>
  <c r="F54" i="51"/>
  <c r="L54" i="51"/>
  <c r="F17" i="38"/>
  <c r="C40" i="47"/>
  <c r="D41" i="47" s="1"/>
  <c r="F19" i="38"/>
  <c r="J54" i="51"/>
  <c r="I54" i="51"/>
  <c r="D54" i="51"/>
  <c r="C37" i="47"/>
  <c r="C34" i="47"/>
  <c r="D34" i="47" s="1"/>
  <c r="F23" i="38"/>
  <c r="W47" i="4"/>
  <c r="Y47" i="4" s="1"/>
  <c r="E53" i="47"/>
  <c r="W55" i="4"/>
  <c r="V68" i="4" s="1"/>
  <c r="W68" i="4" s="1"/>
  <c r="G20" i="38"/>
  <c r="D16" i="38"/>
  <c r="R43" i="6"/>
  <c r="G30" i="6"/>
  <c r="H43" i="6"/>
  <c r="O30" i="6"/>
  <c r="O42" i="6" s="1"/>
  <c r="P43" i="6"/>
  <c r="P42" i="6"/>
  <c r="K30" i="6"/>
  <c r="K42" i="6" s="1"/>
  <c r="L43" i="6"/>
  <c r="L42" i="6"/>
  <c r="E30" i="6"/>
  <c r="E42" i="6" s="1"/>
  <c r="F43" i="6"/>
  <c r="F42" i="6"/>
  <c r="D43" i="6"/>
  <c r="D42" i="6"/>
  <c r="E54" i="51"/>
  <c r="AK49" i="46"/>
  <c r="AK50" i="46"/>
  <c r="AL49" i="46"/>
  <c r="AL50" i="46"/>
  <c r="H30" i="29"/>
  <c r="N17" i="32"/>
  <c r="D84" i="47"/>
  <c r="D97" i="47"/>
  <c r="D120" i="47"/>
  <c r="F70" i="47"/>
  <c r="D57" i="47"/>
  <c r="D50" i="47"/>
  <c r="D21" i="47"/>
  <c r="D53" i="47"/>
  <c r="D72" i="47"/>
  <c r="D87" i="47"/>
  <c r="D54" i="47"/>
  <c r="D116" i="47"/>
  <c r="D65" i="47"/>
  <c r="D49" i="47"/>
  <c r="D103" i="47"/>
  <c r="D68" i="47"/>
  <c r="D23" i="47"/>
  <c r="D19" i="47"/>
  <c r="D118" i="47"/>
  <c r="D55" i="47"/>
  <c r="D17" i="47"/>
  <c r="D25" i="47"/>
  <c r="D20" i="47"/>
  <c r="D24" i="47"/>
  <c r="D100" i="47"/>
  <c r="D102" i="47"/>
  <c r="D22" i="47"/>
  <c r="D83" i="47"/>
  <c r="D69" i="47"/>
  <c r="D81" i="47"/>
  <c r="D70" i="47"/>
  <c r="D67" i="47"/>
  <c r="D51" i="47"/>
  <c r="D85" i="47"/>
  <c r="D89" i="47"/>
  <c r="D71" i="47"/>
  <c r="D52" i="47"/>
  <c r="D56" i="47"/>
  <c r="D73" i="47"/>
  <c r="D88" i="47"/>
  <c r="D119" i="47"/>
  <c r="D104" i="47"/>
  <c r="D105" i="47"/>
  <c r="D99" i="47"/>
  <c r="D82" i="47"/>
  <c r="D66" i="47"/>
  <c r="D115" i="47"/>
  <c r="D117" i="47"/>
  <c r="F15" i="38"/>
  <c r="C32" i="47"/>
  <c r="D33" i="47" s="1"/>
  <c r="D98" i="47"/>
  <c r="D121" i="47"/>
  <c r="D114" i="47"/>
  <c r="D86" i="47"/>
  <c r="D101" i="47"/>
  <c r="AD22" i="29"/>
  <c r="AJ22" i="29"/>
  <c r="AD21" i="29"/>
  <c r="AJ21" i="29"/>
  <c r="AD24" i="29"/>
  <c r="AJ24" i="29"/>
  <c r="AD26" i="29"/>
  <c r="AJ26" i="29"/>
  <c r="AD23" i="29"/>
  <c r="AJ23" i="29"/>
  <c r="AD27" i="29"/>
  <c r="AJ27" i="29"/>
  <c r="W28" i="6"/>
  <c r="V25" i="29"/>
  <c r="AB25" i="29"/>
  <c r="V29" i="29"/>
  <c r="AB29" i="29"/>
  <c r="N25" i="29"/>
  <c r="G23" i="29"/>
  <c r="F32" i="29"/>
  <c r="G25" i="29"/>
  <c r="W63" i="4"/>
  <c r="W65" i="4"/>
  <c r="W66" i="4"/>
  <c r="G28" i="29"/>
  <c r="G29" i="29"/>
  <c r="R42" i="29"/>
  <c r="AH42" i="29" s="1"/>
  <c r="J42" i="29"/>
  <c r="Z42" i="29" s="1"/>
  <c r="J43" i="29"/>
  <c r="Z43" i="29" s="1"/>
  <c r="R43" i="29"/>
  <c r="AH43" i="29" s="1"/>
  <c r="T28" i="29"/>
  <c r="N28" i="29"/>
  <c r="T30" i="29"/>
  <c r="V30" i="29" s="1"/>
  <c r="V31" i="29" s="1"/>
  <c r="X49" i="4"/>
  <c r="M29" i="29"/>
  <c r="U29" i="29" s="1"/>
  <c r="Y53" i="4"/>
  <c r="Y52" i="4"/>
  <c r="G27" i="29"/>
  <c r="V62" i="4"/>
  <c r="W62" i="4" s="1"/>
  <c r="X53" i="4"/>
  <c r="V61" i="4"/>
  <c r="W61" i="4" s="1"/>
  <c r="M23" i="29"/>
  <c r="U23" i="29" s="1"/>
  <c r="Y50" i="4"/>
  <c r="M28" i="29"/>
  <c r="X51" i="4"/>
  <c r="Y48" i="4"/>
  <c r="X50" i="4"/>
  <c r="V64" i="4"/>
  <c r="W64" i="4" s="1"/>
  <c r="Y51" i="4"/>
  <c r="X54" i="4"/>
  <c r="M25" i="29"/>
  <c r="U25" i="29" s="1"/>
  <c r="G24" i="29"/>
  <c r="M30" i="29"/>
  <c r="V67" i="4"/>
  <c r="W67" i="4" s="1"/>
  <c r="X52" i="4"/>
  <c r="G26" i="29"/>
  <c r="Y46" i="4"/>
  <c r="V59" i="4"/>
  <c r="W59" i="4" s="1"/>
  <c r="U26" i="29"/>
  <c r="O26" i="29"/>
  <c r="G22" i="29"/>
  <c r="M22" i="29"/>
  <c r="O27" i="29"/>
  <c r="U27" i="29"/>
  <c r="M21" i="29"/>
  <c r="G21" i="29"/>
  <c r="H21" i="29" s="1"/>
  <c r="O24" i="29"/>
  <c r="U24" i="29"/>
  <c r="D40" i="47" l="1"/>
  <c r="D39" i="47"/>
  <c r="D35" i="47"/>
  <c r="D38" i="47"/>
  <c r="D37" i="47"/>
  <c r="X47" i="4"/>
  <c r="X48" i="4"/>
  <c r="V60" i="4"/>
  <c r="W60" i="4" s="1"/>
  <c r="W69" i="4" s="1"/>
  <c r="X55" i="4"/>
  <c r="Y55" i="4"/>
  <c r="K31" i="6"/>
  <c r="K43" i="6" s="1"/>
  <c r="G32" i="46" s="1"/>
  <c r="E50" i="46" s="1"/>
  <c r="C42" i="6"/>
  <c r="V30" i="6"/>
  <c r="P28" i="32"/>
  <c r="O26" i="51" s="1"/>
  <c r="G31" i="46"/>
  <c r="E49" i="46" s="1"/>
  <c r="O28" i="32"/>
  <c r="N26" i="51" s="1"/>
  <c r="O31" i="6"/>
  <c r="O43" i="6" s="1"/>
  <c r="E31" i="6"/>
  <c r="E43" i="6" s="1"/>
  <c r="K43" i="29" s="1"/>
  <c r="G31" i="6"/>
  <c r="G43" i="6" s="1"/>
  <c r="S43" i="29" s="1"/>
  <c r="G42" i="6"/>
  <c r="S42" i="29" s="1"/>
  <c r="Q43" i="6"/>
  <c r="Q42" i="6"/>
  <c r="W42" i="6"/>
  <c r="M141" i="4" s="1"/>
  <c r="Q141" i="4" s="1"/>
  <c r="W43" i="6"/>
  <c r="K42" i="29"/>
  <c r="O20" i="32"/>
  <c r="C31" i="6"/>
  <c r="H22" i="29"/>
  <c r="F17" i="32"/>
  <c r="E15" i="51" s="1"/>
  <c r="H25" i="29"/>
  <c r="I17" i="32"/>
  <c r="H15" i="51" s="1"/>
  <c r="P26" i="29"/>
  <c r="J21" i="32"/>
  <c r="I19" i="51" s="1"/>
  <c r="H23" i="29"/>
  <c r="G17" i="32"/>
  <c r="F15" i="51" s="1"/>
  <c r="P24" i="29"/>
  <c r="H21" i="32"/>
  <c r="G19" i="51" s="1"/>
  <c r="H28" i="29"/>
  <c r="L17" i="32"/>
  <c r="E17" i="32"/>
  <c r="H27" i="29"/>
  <c r="K17" i="32"/>
  <c r="J15" i="51" s="1"/>
  <c r="H26" i="29"/>
  <c r="J17" i="32"/>
  <c r="I15" i="51" s="1"/>
  <c r="M15" i="51"/>
  <c r="G20" i="53"/>
  <c r="H29" i="29"/>
  <c r="M17" i="32"/>
  <c r="H24" i="29"/>
  <c r="H17" i="32"/>
  <c r="G15" i="51" s="1"/>
  <c r="P27" i="29"/>
  <c r="K21" i="32"/>
  <c r="J19" i="51" s="1"/>
  <c r="N32" i="29"/>
  <c r="AL23" i="29"/>
  <c r="AL21" i="29"/>
  <c r="AL22" i="29"/>
  <c r="AL27" i="29"/>
  <c r="AD29" i="29"/>
  <c r="AJ29" i="29"/>
  <c r="AL26" i="29"/>
  <c r="AD25" i="29"/>
  <c r="AJ25" i="29"/>
  <c r="AL24" i="29"/>
  <c r="W27" i="29"/>
  <c r="AC27" i="29"/>
  <c r="V32" i="29"/>
  <c r="AB30" i="29"/>
  <c r="W26" i="29"/>
  <c r="X26" i="29" s="1"/>
  <c r="AC26" i="29"/>
  <c r="W25" i="29"/>
  <c r="AC25" i="29"/>
  <c r="V28" i="29"/>
  <c r="AB28" i="29"/>
  <c r="W23" i="29"/>
  <c r="AC23" i="29"/>
  <c r="W29" i="29"/>
  <c r="AC29" i="29"/>
  <c r="W24" i="29"/>
  <c r="AC24" i="29"/>
  <c r="O28" i="29"/>
  <c r="O29" i="29"/>
  <c r="U28" i="29"/>
  <c r="O25" i="29"/>
  <c r="O23" i="29"/>
  <c r="O30" i="29"/>
  <c r="U30" i="29"/>
  <c r="U21" i="29"/>
  <c r="W21" i="29" s="1"/>
  <c r="O21" i="29"/>
  <c r="O22" i="29"/>
  <c r="U22" i="29"/>
  <c r="O32" i="32" l="1"/>
  <c r="N30" i="51" s="1"/>
  <c r="G41" i="32"/>
  <c r="F39" i="51" s="1"/>
  <c r="G37" i="32"/>
  <c r="F35" i="51" s="1"/>
  <c r="K37" i="32"/>
  <c r="J35" i="51" s="1"/>
  <c r="K41" i="32"/>
  <c r="J39" i="51" s="1"/>
  <c r="AB31" i="46"/>
  <c r="Z49" i="46" s="1"/>
  <c r="E25" i="32"/>
  <c r="D23" i="51" s="1"/>
  <c r="E41" i="32"/>
  <c r="D39" i="51" s="1"/>
  <c r="E37" i="32"/>
  <c r="D35" i="51" s="1"/>
  <c r="H37" i="32"/>
  <c r="G35" i="51" s="1"/>
  <c r="H41" i="32"/>
  <c r="G39" i="51" s="1"/>
  <c r="P32" i="32"/>
  <c r="O30" i="51" s="1"/>
  <c r="AB32" i="46"/>
  <c r="Z50" i="46" s="1"/>
  <c r="O16" i="32"/>
  <c r="N14" i="51" s="1"/>
  <c r="D25" i="38" s="1"/>
  <c r="C42" i="29"/>
  <c r="J37" i="32"/>
  <c r="I35" i="51" s="1"/>
  <c r="J41" i="32"/>
  <c r="I39" i="51" s="1"/>
  <c r="I37" i="32"/>
  <c r="H35" i="51" s="1"/>
  <c r="I41" i="32"/>
  <c r="H39" i="51" s="1"/>
  <c r="M41" i="32"/>
  <c r="M37" i="32"/>
  <c r="M142" i="4"/>
  <c r="Q142" i="4" s="1"/>
  <c r="M152" i="4"/>
  <c r="Q152" i="4" s="1"/>
  <c r="W70" i="4"/>
  <c r="N18" i="51"/>
  <c r="C74" i="47"/>
  <c r="D74" i="47" s="1"/>
  <c r="C90" i="47"/>
  <c r="D90" i="47" s="1"/>
  <c r="C75" i="47"/>
  <c r="C91" i="47"/>
  <c r="P24" i="32"/>
  <c r="O22" i="51" s="1"/>
  <c r="P20" i="32"/>
  <c r="C43" i="6"/>
  <c r="C43" i="29" s="1"/>
  <c r="V31" i="6"/>
  <c r="V42" i="6"/>
  <c r="O24" i="32"/>
  <c r="N22" i="51" s="1"/>
  <c r="X25" i="29"/>
  <c r="I25" i="32"/>
  <c r="H23" i="51" s="1"/>
  <c r="X24" i="29"/>
  <c r="H25" i="32"/>
  <c r="G23" i="51" s="1"/>
  <c r="X23" i="29"/>
  <c r="G25" i="32"/>
  <c r="F23" i="51" s="1"/>
  <c r="E48" i="47"/>
  <c r="G15" i="38"/>
  <c r="X29" i="29"/>
  <c r="M25" i="32"/>
  <c r="X27" i="29"/>
  <c r="K25" i="32"/>
  <c r="J23" i="51" s="1"/>
  <c r="AV31" i="46"/>
  <c r="AT49" i="46" s="1"/>
  <c r="N34" i="51"/>
  <c r="AL32" i="46"/>
  <c r="AJ50" i="46" s="1"/>
  <c r="P40" i="32"/>
  <c r="O38" i="51" s="1"/>
  <c r="AL31" i="46"/>
  <c r="AJ49" i="46" s="1"/>
  <c r="O40" i="32"/>
  <c r="N38" i="51" s="1"/>
  <c r="AV32" i="46"/>
  <c r="AT50" i="46" s="1"/>
  <c r="O34" i="51"/>
  <c r="V43" i="6"/>
  <c r="E18" i="47"/>
  <c r="C17" i="38"/>
  <c r="P23" i="29"/>
  <c r="G21" i="32"/>
  <c r="F19" i="51" s="1"/>
  <c r="L15" i="51"/>
  <c r="F20" i="53"/>
  <c r="E20" i="53"/>
  <c r="K15" i="51"/>
  <c r="E20" i="47"/>
  <c r="C19" i="38"/>
  <c r="D15" i="51"/>
  <c r="P25" i="29"/>
  <c r="I21" i="32"/>
  <c r="H19" i="51" s="1"/>
  <c r="P22" i="29"/>
  <c r="F21" i="32"/>
  <c r="E19" i="51" s="1"/>
  <c r="P29" i="29"/>
  <c r="M21" i="32"/>
  <c r="E25" i="47"/>
  <c r="C24" i="38"/>
  <c r="E22" i="47"/>
  <c r="C21" i="38"/>
  <c r="E38" i="47"/>
  <c r="E21" i="38"/>
  <c r="E21" i="47"/>
  <c r="C20" i="38"/>
  <c r="E35" i="47"/>
  <c r="E18" i="38"/>
  <c r="E17" i="47"/>
  <c r="C16" i="38"/>
  <c r="E19" i="47"/>
  <c r="C18" i="38"/>
  <c r="P30" i="29"/>
  <c r="N21" i="32"/>
  <c r="E37" i="47"/>
  <c r="E20" i="38"/>
  <c r="P21" i="29"/>
  <c r="E21" i="32"/>
  <c r="D19" i="51" s="1"/>
  <c r="P28" i="29"/>
  <c r="L21" i="32"/>
  <c r="AE29" i="29"/>
  <c r="AF29" i="29" s="1"/>
  <c r="AK29" i="29"/>
  <c r="AE26" i="29"/>
  <c r="AF26" i="29" s="1"/>
  <c r="AK26" i="29"/>
  <c r="AD28" i="29"/>
  <c r="AJ28" i="29"/>
  <c r="AE27" i="29"/>
  <c r="AF27" i="29" s="1"/>
  <c r="AK27" i="29"/>
  <c r="AL25" i="29"/>
  <c r="AD30" i="29"/>
  <c r="AJ30" i="29"/>
  <c r="AE23" i="29"/>
  <c r="AF23" i="29" s="1"/>
  <c r="AK23" i="29"/>
  <c r="AL29" i="29"/>
  <c r="AE24" i="29"/>
  <c r="AF24" i="29" s="1"/>
  <c r="AK24" i="29"/>
  <c r="AE25" i="29"/>
  <c r="AF25" i="29" s="1"/>
  <c r="AK25" i="29"/>
  <c r="I55" i="51"/>
  <c r="J56" i="32"/>
  <c r="X21" i="29"/>
  <c r="AC21" i="29"/>
  <c r="W30" i="29"/>
  <c r="AC30" i="29"/>
  <c r="W28" i="29"/>
  <c r="AC28" i="29"/>
  <c r="W22" i="29"/>
  <c r="AC22" i="29"/>
  <c r="F41" i="32" l="1"/>
  <c r="E39" i="51" s="1"/>
  <c r="F37" i="32"/>
  <c r="E35" i="51" s="1"/>
  <c r="F32" i="53"/>
  <c r="L39" i="51"/>
  <c r="E118" i="47"/>
  <c r="O21" i="38"/>
  <c r="E116" i="47"/>
  <c r="F116" i="47" s="1"/>
  <c r="O19" i="38"/>
  <c r="E115" i="47"/>
  <c r="O18" i="38"/>
  <c r="E102" i="47"/>
  <c r="M21" i="38"/>
  <c r="L35" i="51"/>
  <c r="F30" i="53"/>
  <c r="L41" i="32"/>
  <c r="L37" i="32"/>
  <c r="C26" i="47"/>
  <c r="D26" i="47" s="1"/>
  <c r="E100" i="47"/>
  <c r="M19" i="38"/>
  <c r="E99" i="47"/>
  <c r="M18" i="38"/>
  <c r="E98" i="47"/>
  <c r="M17" i="38"/>
  <c r="E117" i="47"/>
  <c r="F117" i="47" s="1"/>
  <c r="O20" i="38"/>
  <c r="E96" i="47"/>
  <c r="M15" i="38"/>
  <c r="E114" i="47"/>
  <c r="O17" i="38"/>
  <c r="N37" i="32"/>
  <c r="N41" i="32"/>
  <c r="E101" i="47"/>
  <c r="F101" i="47" s="1"/>
  <c r="M20" i="38"/>
  <c r="E112" i="47"/>
  <c r="P15" i="38"/>
  <c r="C112" i="47"/>
  <c r="D113" i="47" s="1"/>
  <c r="O15" i="38"/>
  <c r="M153" i="4"/>
  <c r="Q153" i="4" s="1"/>
  <c r="M143" i="4"/>
  <c r="Q143" i="4" s="1"/>
  <c r="C42" i="47"/>
  <c r="D42" i="47" s="1"/>
  <c r="F25" i="38"/>
  <c r="P16" i="32"/>
  <c r="O14" i="51" s="1"/>
  <c r="O18" i="51"/>
  <c r="D91" i="47"/>
  <c r="D75" i="47"/>
  <c r="C122" i="47"/>
  <c r="D122" i="47" s="1"/>
  <c r="C123" i="47"/>
  <c r="C107" i="47"/>
  <c r="J55" i="51"/>
  <c r="G55" i="51"/>
  <c r="C58" i="47"/>
  <c r="D58" i="47" s="1"/>
  <c r="C106" i="47"/>
  <c r="D106" i="47" s="1"/>
  <c r="C59" i="47"/>
  <c r="H56" i="32"/>
  <c r="K56" i="32"/>
  <c r="X22" i="29"/>
  <c r="F25" i="32"/>
  <c r="E23" i="51" s="1"/>
  <c r="E54" i="47"/>
  <c r="F54" i="47" s="1"/>
  <c r="G21" i="38"/>
  <c r="E51" i="47"/>
  <c r="G18" i="38"/>
  <c r="X30" i="29"/>
  <c r="N25" i="32"/>
  <c r="L23" i="51"/>
  <c r="F24" i="53"/>
  <c r="E50" i="47"/>
  <c r="G17" i="38"/>
  <c r="E52" i="47"/>
  <c r="F52" i="47" s="1"/>
  <c r="G19" i="38"/>
  <c r="X28" i="29"/>
  <c r="L25" i="32"/>
  <c r="N54" i="51"/>
  <c r="O55" i="32"/>
  <c r="F21" i="47"/>
  <c r="F19" i="47"/>
  <c r="F38" i="47"/>
  <c r="F22" i="47"/>
  <c r="E22" i="53"/>
  <c r="K19" i="51"/>
  <c r="E32" i="47"/>
  <c r="E15" i="38"/>
  <c r="E36" i="47"/>
  <c r="F36" i="47" s="1"/>
  <c r="E19" i="38"/>
  <c r="E16" i="47"/>
  <c r="F17" i="47" s="1"/>
  <c r="C15" i="38"/>
  <c r="E33" i="47"/>
  <c r="E16" i="38"/>
  <c r="E24" i="47"/>
  <c r="C23" i="38"/>
  <c r="E56" i="32"/>
  <c r="E34" i="47"/>
  <c r="E17" i="38"/>
  <c r="G22" i="53"/>
  <c r="M19" i="51"/>
  <c r="L19" i="51"/>
  <c r="F22" i="53"/>
  <c r="E23" i="47"/>
  <c r="F23" i="47" s="1"/>
  <c r="C22" i="38"/>
  <c r="F20" i="47"/>
  <c r="F18" i="47"/>
  <c r="AM25" i="29"/>
  <c r="AN25" i="29" s="1"/>
  <c r="AD31" i="29"/>
  <c r="AD32" i="29" s="1"/>
  <c r="D55" i="51"/>
  <c r="H55" i="51"/>
  <c r="AE22" i="29"/>
  <c r="AF22" i="29" s="1"/>
  <c r="AK22" i="29"/>
  <c r="AL28" i="29"/>
  <c r="AE21" i="29"/>
  <c r="AF21" i="29" s="1"/>
  <c r="AK21" i="29"/>
  <c r="AE28" i="29"/>
  <c r="AF28" i="29" s="1"/>
  <c r="AK28" i="29"/>
  <c r="AM23" i="29"/>
  <c r="AN23" i="29" s="1"/>
  <c r="AM26" i="29"/>
  <c r="AN26" i="29" s="1"/>
  <c r="AM29" i="29"/>
  <c r="AN29" i="29" s="1"/>
  <c r="AE30" i="29"/>
  <c r="AF30" i="29" s="1"/>
  <c r="AK30" i="29"/>
  <c r="AL30" i="29"/>
  <c r="AM27" i="29"/>
  <c r="AN27" i="29" s="1"/>
  <c r="AM24" i="29"/>
  <c r="AN24" i="29" s="1"/>
  <c r="F55" i="51"/>
  <c r="M56" i="32"/>
  <c r="I56" i="32"/>
  <c r="G56" i="32"/>
  <c r="F99" i="47" l="1"/>
  <c r="F100" i="47"/>
  <c r="E32" i="53"/>
  <c r="K39" i="51"/>
  <c r="M35" i="51"/>
  <c r="G30" i="53"/>
  <c r="F98" i="47"/>
  <c r="K35" i="51"/>
  <c r="E30" i="53"/>
  <c r="E104" i="47"/>
  <c r="M23" i="38"/>
  <c r="F118" i="47"/>
  <c r="E120" i="47"/>
  <c r="O23" i="38"/>
  <c r="G32" i="53"/>
  <c r="M39" i="51"/>
  <c r="F102" i="47"/>
  <c r="E97" i="47"/>
  <c r="F97" i="47" s="1"/>
  <c r="M16" i="38"/>
  <c r="F115" i="47"/>
  <c r="E113" i="47"/>
  <c r="F113" i="47" s="1"/>
  <c r="O16" i="38"/>
  <c r="P55" i="32"/>
  <c r="D107" i="47"/>
  <c r="D26" i="38"/>
  <c r="M144" i="4"/>
  <c r="Q144" i="4" s="1"/>
  <c r="M154" i="4"/>
  <c r="Q154" i="4" s="1"/>
  <c r="C27" i="47"/>
  <c r="D27" i="47" s="1"/>
  <c r="D123" i="47"/>
  <c r="O54" i="51"/>
  <c r="C43" i="47"/>
  <c r="D43" i="47" s="1"/>
  <c r="F53" i="47"/>
  <c r="D59" i="47"/>
  <c r="E55" i="51"/>
  <c r="F51" i="47"/>
  <c r="F56" i="32"/>
  <c r="F34" i="53"/>
  <c r="E24" i="53"/>
  <c r="K23" i="51"/>
  <c r="G24" i="53"/>
  <c r="G34" i="53" s="1"/>
  <c r="M23" i="51"/>
  <c r="E49" i="47"/>
  <c r="F50" i="47" s="1"/>
  <c r="G16" i="38"/>
  <c r="E56" i="47"/>
  <c r="G23" i="38"/>
  <c r="F37" i="47"/>
  <c r="F24" i="47"/>
  <c r="F33" i="47"/>
  <c r="E40" i="47"/>
  <c r="E23" i="38"/>
  <c r="E41" i="47"/>
  <c r="E24" i="38"/>
  <c r="L55" i="51"/>
  <c r="F34" i="47"/>
  <c r="F25" i="47"/>
  <c r="E39" i="47"/>
  <c r="F39" i="47" s="1"/>
  <c r="E22" i="38"/>
  <c r="F35" i="47"/>
  <c r="L56" i="32"/>
  <c r="AL31" i="29"/>
  <c r="AL32" i="29" s="1"/>
  <c r="AM28" i="29"/>
  <c r="AN28" i="29" s="1"/>
  <c r="AM30" i="29"/>
  <c r="AN30" i="29" s="1"/>
  <c r="AM22" i="29"/>
  <c r="AN22" i="29" s="1"/>
  <c r="AM21" i="29"/>
  <c r="AN21" i="29" s="1"/>
  <c r="N56" i="32"/>
  <c r="E121" i="47" l="1"/>
  <c r="F121" i="47" s="1"/>
  <c r="O24" i="38"/>
  <c r="E103" i="47"/>
  <c r="F103" i="47" s="1"/>
  <c r="M22" i="38"/>
  <c r="E34" i="53"/>
  <c r="F120" i="47"/>
  <c r="F104" i="47"/>
  <c r="F114" i="47"/>
  <c r="E105" i="47"/>
  <c r="F105" i="47" s="1"/>
  <c r="M24" i="38"/>
  <c r="E119" i="47"/>
  <c r="F119" i="47" s="1"/>
  <c r="O22" i="38"/>
  <c r="M155" i="4"/>
  <c r="Q155" i="4" s="1"/>
  <c r="M145" i="4"/>
  <c r="Q145" i="4" s="1"/>
  <c r="M55" i="51"/>
  <c r="E57" i="47"/>
  <c r="F57" i="47" s="1"/>
  <c r="G24" i="38"/>
  <c r="E55" i="47"/>
  <c r="G22" i="38"/>
  <c r="F49" i="47"/>
  <c r="K55" i="51"/>
  <c r="F41" i="47"/>
  <c r="F40" i="47"/>
  <c r="M146" i="4" l="1"/>
  <c r="Q146" i="4" s="1"/>
  <c r="M156" i="4"/>
  <c r="Q156" i="4" s="1"/>
  <c r="F55" i="47"/>
  <c r="F56" i="47"/>
  <c r="M157" i="4" l="1"/>
  <c r="Q157" i="4" s="1"/>
  <c r="M148" i="4"/>
  <c r="Q148" i="4" s="1"/>
  <c r="M149" i="4" l="1"/>
  <c r="Q149" i="4" s="1"/>
  <c r="M158" i="4"/>
  <c r="Q158" i="4" s="1"/>
  <c r="M159" i="4" l="1"/>
  <c r="Q159" i="4" s="1"/>
  <c r="M150" i="4"/>
  <c r="Q150" i="4" s="1"/>
  <c r="M151" i="4" l="1"/>
  <c r="Q151" i="4" s="1"/>
  <c r="M160" i="4"/>
  <c r="Q160" i="4" s="1"/>
  <c r="AB42" i="29"/>
  <c r="R151" i="4" l="1"/>
  <c r="AR31" i="46" s="1"/>
  <c r="AT31" i="46" s="1"/>
  <c r="M161" i="4"/>
  <c r="Q161" i="4" s="1"/>
  <c r="AD42" i="29"/>
  <c r="AJ42" i="29"/>
  <c r="N31" i="46" l="1"/>
  <c r="P31" i="46" s="1"/>
  <c r="Q31" i="46" s="1"/>
  <c r="X31" i="46"/>
  <c r="Z31" i="46" s="1"/>
  <c r="AD49" i="46" s="1"/>
  <c r="O33" i="32" s="1"/>
  <c r="C31" i="46"/>
  <c r="E31" i="46" s="1"/>
  <c r="F31" i="46" s="1"/>
  <c r="AH31" i="46"/>
  <c r="AJ31" i="46" s="1"/>
  <c r="AK31" i="46" s="1"/>
  <c r="U76" i="4"/>
  <c r="V76" i="4" s="1"/>
  <c r="E31" i="29"/>
  <c r="M162" i="4"/>
  <c r="Q162" i="4" s="1"/>
  <c r="AW31" i="46"/>
  <c r="AX49" i="46"/>
  <c r="AU31" i="46"/>
  <c r="AL42" i="29"/>
  <c r="T49" i="46" l="1"/>
  <c r="O29" i="32" s="1"/>
  <c r="H26" i="53" s="1"/>
  <c r="I49" i="46"/>
  <c r="AA31" i="46"/>
  <c r="AC31" i="46" s="1"/>
  <c r="AN49" i="46"/>
  <c r="G31" i="29"/>
  <c r="H31" i="29" s="1"/>
  <c r="D42" i="29" s="1"/>
  <c r="M31" i="29"/>
  <c r="U31" i="46"/>
  <c r="U49" i="46"/>
  <c r="O30" i="32" s="1"/>
  <c r="S31" i="46"/>
  <c r="T31" i="46"/>
  <c r="M163" i="4"/>
  <c r="Q163" i="4" s="1"/>
  <c r="AY49" i="46"/>
  <c r="AX31" i="46"/>
  <c r="H28" i="53"/>
  <c r="N31" i="51"/>
  <c r="AD31" i="46"/>
  <c r="J31" i="46"/>
  <c r="I31" i="46"/>
  <c r="H31" i="46"/>
  <c r="J49" i="46"/>
  <c r="O26" i="32" s="1"/>
  <c r="AO31" i="46"/>
  <c r="AO49" i="46"/>
  <c r="O38" i="32" s="1"/>
  <c r="AM31" i="46"/>
  <c r="AN31" i="46"/>
  <c r="F42" i="29" l="1"/>
  <c r="H42" i="29" s="1"/>
  <c r="AE31" i="46"/>
  <c r="N27" i="51"/>
  <c r="I25" i="38" s="1"/>
  <c r="AE49" i="46"/>
  <c r="O34" i="32" s="1"/>
  <c r="N32" i="51" s="1"/>
  <c r="O31" i="29"/>
  <c r="U31" i="29"/>
  <c r="H44" i="53"/>
  <c r="N28" i="51"/>
  <c r="E90" i="47"/>
  <c r="F90" i="47" s="1"/>
  <c r="K25" i="38"/>
  <c r="N36" i="51"/>
  <c r="H48" i="53"/>
  <c r="N24" i="51"/>
  <c r="H42" i="53"/>
  <c r="O42" i="32" l="1"/>
  <c r="E74" i="47"/>
  <c r="F74" i="47" s="1"/>
  <c r="H46" i="53"/>
  <c r="AC31" i="29"/>
  <c r="W31" i="29"/>
  <c r="P31" i="29"/>
  <c r="L42" i="29" s="1"/>
  <c r="N42" i="29" s="1"/>
  <c r="P42" i="29" s="1"/>
  <c r="O21" i="32" s="1"/>
  <c r="G90" i="47"/>
  <c r="H90" i="47" s="1"/>
  <c r="L25" i="38"/>
  <c r="G106" i="47"/>
  <c r="H106" i="47" s="1"/>
  <c r="N25" i="38"/>
  <c r="J25" i="38"/>
  <c r="G74" i="47"/>
  <c r="H74" i="47" s="1"/>
  <c r="G58" i="47"/>
  <c r="H58" i="47" s="1"/>
  <c r="H25" i="38"/>
  <c r="R163" i="4"/>
  <c r="N40" i="51" l="1"/>
  <c r="H50" i="53"/>
  <c r="H52" i="53" s="1"/>
  <c r="O57" i="32"/>
  <c r="H22" i="53"/>
  <c r="N19" i="51"/>
  <c r="X31" i="29"/>
  <c r="T42" i="29" s="1"/>
  <c r="V42" i="29" s="1"/>
  <c r="X42" i="29" s="1"/>
  <c r="AK31" i="29"/>
  <c r="AM31" i="29" s="1"/>
  <c r="AE31" i="29"/>
  <c r="U77" i="4"/>
  <c r="V77" i="4" s="1"/>
  <c r="E32" i="29"/>
  <c r="O25" i="32" l="1"/>
  <c r="O41" i="32"/>
  <c r="O37" i="32"/>
  <c r="G122" i="47"/>
  <c r="H122" i="47" s="1"/>
  <c r="P25" i="38"/>
  <c r="N56" i="51"/>
  <c r="H24" i="53"/>
  <c r="N23" i="51"/>
  <c r="AF42" i="29"/>
  <c r="AF31" i="29"/>
  <c r="E42" i="47"/>
  <c r="F42" i="47" s="1"/>
  <c r="E25" i="38"/>
  <c r="AN31" i="29"/>
  <c r="AN42" i="29"/>
  <c r="O17" i="32" s="1"/>
  <c r="C32" i="46"/>
  <c r="E32" i="46" s="1"/>
  <c r="X32" i="46"/>
  <c r="Z32" i="46" s="1"/>
  <c r="N32" i="46"/>
  <c r="P32" i="46" s="1"/>
  <c r="Q32" i="46" s="1"/>
  <c r="U32" i="46" s="1"/>
  <c r="AH32" i="46"/>
  <c r="AJ32" i="46" s="1"/>
  <c r="AK32" i="46" s="1"/>
  <c r="AR32" i="46"/>
  <c r="AT32" i="46" s="1"/>
  <c r="AW32" i="46" s="1"/>
  <c r="M32" i="29"/>
  <c r="G32" i="29"/>
  <c r="I50" i="46" l="1"/>
  <c r="P25" i="32" s="1"/>
  <c r="F32" i="46"/>
  <c r="H30" i="53"/>
  <c r="N35" i="51"/>
  <c r="N39" i="51"/>
  <c r="H32" i="53"/>
  <c r="E58" i="47"/>
  <c r="F58" i="47" s="1"/>
  <c r="G25" i="38"/>
  <c r="N15" i="51"/>
  <c r="H20" i="53"/>
  <c r="O56" i="32"/>
  <c r="AX50" i="46"/>
  <c r="AU32" i="46"/>
  <c r="AY50" i="46" s="1"/>
  <c r="AO32" i="46"/>
  <c r="AN50" i="46"/>
  <c r="T50" i="46"/>
  <c r="P29" i="32" s="1"/>
  <c r="I26" i="53" s="1"/>
  <c r="AA32" i="46"/>
  <c r="AE32" i="46" s="1"/>
  <c r="AD50" i="46"/>
  <c r="H32" i="29"/>
  <c r="D43" i="29" s="1"/>
  <c r="F43" i="29" s="1"/>
  <c r="U32" i="29"/>
  <c r="O32" i="29"/>
  <c r="H34" i="53" l="1"/>
  <c r="O25" i="38"/>
  <c r="E122" i="47"/>
  <c r="F122" i="47" s="1"/>
  <c r="M25" i="38"/>
  <c r="E106" i="47"/>
  <c r="F106" i="47" s="1"/>
  <c r="E26" i="47"/>
  <c r="F26" i="47" s="1"/>
  <c r="N55" i="51"/>
  <c r="C25" i="38"/>
  <c r="J32" i="46"/>
  <c r="H32" i="46"/>
  <c r="P33" i="32"/>
  <c r="I28" i="53" s="1"/>
  <c r="S32" i="46"/>
  <c r="T32" i="46"/>
  <c r="U50" i="46"/>
  <c r="AM32" i="46"/>
  <c r="AN32" i="46"/>
  <c r="AO50" i="46"/>
  <c r="AC32" i="46"/>
  <c r="AD32" i="46"/>
  <c r="AE50" i="46"/>
  <c r="AX32" i="46"/>
  <c r="J50" i="46"/>
  <c r="I32" i="46"/>
  <c r="P32" i="29"/>
  <c r="L43" i="29" s="1"/>
  <c r="N43" i="29" s="1"/>
  <c r="W32" i="29"/>
  <c r="X32" i="29" s="1"/>
  <c r="AC32" i="29"/>
  <c r="H43" i="29"/>
  <c r="P26" i="32" l="1"/>
  <c r="I42" i="53" s="1"/>
  <c r="P30" i="32"/>
  <c r="I44" i="53" s="1"/>
  <c r="N44" i="53" s="1"/>
  <c r="P34" i="32"/>
  <c r="I46" i="53" s="1"/>
  <c r="N46" i="53" s="1"/>
  <c r="P38" i="32"/>
  <c r="I48" i="53" s="1"/>
  <c r="N48" i="53" s="1"/>
  <c r="P42" i="32"/>
  <c r="I50" i="53" s="1"/>
  <c r="T43" i="29"/>
  <c r="V43" i="29" s="1"/>
  <c r="AE32" i="29"/>
  <c r="AF32" i="29" s="1"/>
  <c r="AK32" i="29"/>
  <c r="P43" i="29"/>
  <c r="P21" i="32" s="1"/>
  <c r="I22" i="53" s="1"/>
  <c r="N40" i="53" s="1"/>
  <c r="P57" i="32" l="1"/>
  <c r="N50" i="53"/>
  <c r="I52" i="53"/>
  <c r="AB43" i="29"/>
  <c r="AM32" i="29"/>
  <c r="AN32" i="29" s="1"/>
  <c r="X43" i="29"/>
  <c r="I24" i="53" l="1"/>
  <c r="N42" i="53" s="1"/>
  <c r="N52" i="53" s="1"/>
  <c r="P37" i="32"/>
  <c r="I30" i="53" s="1"/>
  <c r="P41" i="32"/>
  <c r="I32" i="53" s="1"/>
  <c r="AD43" i="29"/>
  <c r="AF43" i="29" s="1"/>
  <c r="AJ43" i="29"/>
  <c r="AL43" i="29" l="1"/>
  <c r="AN43" i="29" s="1"/>
  <c r="P17" i="32" s="1"/>
  <c r="P56" i="32" s="1"/>
  <c r="I20" i="53" l="1"/>
  <c r="I34" i="53" l="1"/>
  <c r="K20" i="53" s="1"/>
  <c r="M20" i="53" l="1"/>
  <c r="O20" i="53" s="1"/>
  <c r="O15" i="51" s="1"/>
  <c r="K24" i="53"/>
  <c r="M24" i="53" s="1"/>
  <c r="K32" i="53"/>
  <c r="M32" i="53" s="1"/>
  <c r="K30" i="53"/>
  <c r="M30" i="53" s="1"/>
  <c r="K28" i="53"/>
  <c r="M28" i="53" s="1"/>
  <c r="K22" i="53"/>
  <c r="M22" i="53" s="1"/>
  <c r="M34" i="53"/>
  <c r="K34" i="53"/>
  <c r="K26" i="53"/>
  <c r="M26" i="53" s="1"/>
  <c r="O26" i="53" l="1"/>
  <c r="O27" i="51" s="1"/>
  <c r="M44" i="53"/>
  <c r="O44" i="53" s="1"/>
  <c r="O28" i="51" s="1"/>
  <c r="O32" i="53"/>
  <c r="O39" i="51" s="1"/>
  <c r="M50" i="53"/>
  <c r="O50" i="53" s="1"/>
  <c r="O40" i="51" s="1"/>
  <c r="O30" i="53"/>
  <c r="O35" i="51" s="1"/>
  <c r="M48" i="53"/>
  <c r="O48" i="53" s="1"/>
  <c r="O36" i="51" s="1"/>
  <c r="O22" i="53"/>
  <c r="O19" i="51" s="1"/>
  <c r="M40" i="53"/>
  <c r="O40" i="53" s="1"/>
  <c r="O20" i="51" s="1"/>
  <c r="O24" i="53"/>
  <c r="O23" i="51" s="1"/>
  <c r="M42" i="53"/>
  <c r="O42" i="53" s="1"/>
  <c r="O24" i="51" s="1"/>
  <c r="O28" i="53"/>
  <c r="O31" i="51" s="1"/>
  <c r="M46" i="53"/>
  <c r="E27" i="47"/>
  <c r="F27" i="47" s="1"/>
  <c r="C26" i="38"/>
  <c r="I26" i="38" l="1"/>
  <c r="O55" i="51"/>
  <c r="E43" i="47"/>
  <c r="F43" i="47" s="1"/>
  <c r="O26" i="38"/>
  <c r="K26" i="38"/>
  <c r="E107" i="47"/>
  <c r="F107" i="47" s="1"/>
  <c r="E75" i="47"/>
  <c r="F75" i="47" s="1"/>
  <c r="M26" i="38"/>
  <c r="G75" i="47"/>
  <c r="H75" i="47" s="1"/>
  <c r="J26" i="38"/>
  <c r="E123" i="47"/>
  <c r="F123" i="47" s="1"/>
  <c r="P26" i="38"/>
  <c r="G123" i="47"/>
  <c r="H123" i="47" s="1"/>
  <c r="G107" i="47"/>
  <c r="H107" i="47" s="1"/>
  <c r="N26" i="38"/>
  <c r="E26" i="38"/>
  <c r="G43" i="47"/>
  <c r="H43" i="47" s="1"/>
  <c r="F26" i="38"/>
  <c r="E91" i="47"/>
  <c r="F91" i="47" s="1"/>
  <c r="G26" i="38"/>
  <c r="E59" i="47"/>
  <c r="F59" i="47" s="1"/>
  <c r="H26" i="38"/>
  <c r="G59" i="47"/>
  <c r="H59" i="47" s="1"/>
  <c r="O46" i="53"/>
  <c r="M52" i="53"/>
  <c r="O34" i="53"/>
  <c r="Q34" i="53" s="1"/>
  <c r="O32" i="51" l="1"/>
  <c r="O52" i="53"/>
  <c r="L26" i="38" l="1"/>
  <c r="G91" i="47"/>
  <c r="H91" i="47" s="1"/>
  <c r="O56"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46" authorId="0" shapeId="0" xr:uid="{00000000-0006-0000-0B00-000001000000}">
      <text>
        <r>
          <rPr>
            <b/>
            <sz val="9"/>
            <color indexed="81"/>
            <rFont val="Tahoma"/>
            <family val="2"/>
          </rPr>
          <t>Author:</t>
        </r>
        <r>
          <rPr>
            <sz val="9"/>
            <color indexed="81"/>
            <rFont val="Tahoma"/>
            <family val="2"/>
          </rPr>
          <t xml:space="preserve">
Where the measured cumulative CDM savings do not meet the 2011-14 target, the cell value will be shown in red. This is for information purposes only in the application.</t>
        </r>
      </text>
    </comment>
    <comment ref="B118" authorId="0" shapeId="0" xr:uid="{00000000-0006-0000-0B00-000002000000}">
      <text>
        <r>
          <rPr>
            <b/>
            <sz val="9"/>
            <color indexed="81"/>
            <rFont val="Tahoma"/>
            <family val="2"/>
          </rPr>
          <t>Author:</t>
        </r>
        <r>
          <rPr>
            <sz val="9"/>
            <color indexed="81"/>
            <rFont val="Tahoma"/>
            <family val="2"/>
          </rPr>
          <t xml:space="preserve">
Value will be entered in one of B118 or C118, depending on the test year for the distributor's last rebasing.</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<sst xmlns="http://schemas.openxmlformats.org/spreadsheetml/2006/main" count="1169" uniqueCount="336">
  <si>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</si>
  <si>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</si>
  <si>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</si>
  <si>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</si>
  <si>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</si>
  <si>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</si>
  <si>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</si>
  <si>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</si>
  <si>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</si>
  <si>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</si>
  <si>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</si>
  <si>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</si>
  <si>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</si>
  <si>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</si>
  <si>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</si>
  <si>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</si>
  <si>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</si>
  <si>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</si>
  <si>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</si>
  <si>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</si>
  <si>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</si>
  <si>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</si>
  <si>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</si>
  <si>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</si>
  <si>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</si>
  <si>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</si>
  <si>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</si>
  <si>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</si>
  <si>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</si>
  <si>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</si>
  <si>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</si>
  <si>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</si>
  <si>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</si>
  <si>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</si>
  <si>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</si>
  <si>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Customer</t>
  </si>
  <si>
    <t>kWh</t>
  </si>
  <si>
    <t>kW</t>
  </si>
  <si>
    <t>Per customer</t>
  </si>
  <si>
    <t>Added Load</t>
  </si>
  <si>
    <t>New Customer</t>
  </si>
  <si>
    <t>KW/kWh Ratio</t>
  </si>
  <si>
    <t>Non-Weather Sensitive</t>
  </si>
  <si>
    <t>kWh Purchased</t>
  </si>
  <si>
    <t>Weather Sensitive Load</t>
  </si>
  <si>
    <t>year over year</t>
  </si>
  <si>
    <t>Mean Average Percentage Error (Mape) :</t>
  </si>
  <si>
    <t>per cust kWh</t>
  </si>
  <si>
    <t>Cust</t>
  </si>
  <si>
    <t>4 Year (2011-2014) kWh Target:</t>
  </si>
  <si>
    <t>2011 CDM Programs</t>
  </si>
  <si>
    <t>2012 CDM Programs</t>
  </si>
  <si>
    <t>2013 CDM Programs</t>
  </si>
  <si>
    <t>2014 CDM Programs</t>
  </si>
  <si>
    <t>Total in Year</t>
  </si>
  <si>
    <t>"Gross"</t>
  </si>
  <si>
    <t>"Net"</t>
  </si>
  <si>
    <t>Difference</t>
  </si>
  <si>
    <t xml:space="preserve">Average per customer </t>
  </si>
  <si>
    <t>Share</t>
  </si>
  <si>
    <t>Target</t>
  </si>
  <si>
    <t>%chg</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</si>
  <si>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</si>
  <si>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</si>
  <si>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</si>
  <si>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</si>
  <si>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</si>
  <si>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</si>
  <si>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</si>
  <si>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</si>
  <si>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</si>
  <si>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</si>
  <si>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</si>
  <si>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</si>
  <si>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</si>
  <si>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</si>
  <si>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</si>
  <si>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</si>
  <si>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</si>
  <si>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</si>
  <si>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</si>
  <si>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</si>
  <si>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 xml:space="preserve">Default Value selection rationale.  </t>
  </si>
  <si>
    <t>Amount used for CDM threshold for LRAMVA (2014)</t>
  </si>
  <si>
    <t>Customer Growth Chart</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</si>
  <si>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</si>
  <si>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</si>
  <si>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</si>
  <si>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</si>
  <si>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</si>
  <si>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</si>
  <si>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</si>
  <si>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</si>
  <si>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</si>
  <si>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</si>
  <si>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</si>
  <si>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</si>
  <si>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kW and Non-Weather Sensitive Load</t>
  </si>
  <si>
    <t>Consumption by Rate Class</t>
  </si>
  <si>
    <t>LDC Info</t>
  </si>
  <si>
    <t>Weather Adjusted Load Forecast Results</t>
  </si>
  <si>
    <t>Streetlighting</t>
  </si>
  <si>
    <t>Unmetered Scattered Load</t>
  </si>
  <si>
    <t>other</t>
  </si>
  <si>
    <t>Montth</t>
  </si>
  <si>
    <t>December</t>
  </si>
  <si>
    <t>September</t>
  </si>
  <si>
    <t>October</t>
  </si>
  <si>
    <t>November</t>
  </si>
  <si>
    <t>January</t>
  </si>
  <si>
    <t>February</t>
  </si>
  <si>
    <t>March</t>
  </si>
  <si>
    <t>April</t>
  </si>
  <si>
    <t>May</t>
  </si>
  <si>
    <t>June</t>
  </si>
  <si>
    <t>July</t>
  </si>
  <si>
    <t>August</t>
  </si>
  <si>
    <t>Customers or Connections</t>
  </si>
  <si>
    <t>Unadjusted</t>
  </si>
  <si>
    <t>Unadjusted Wholesale Purchases kWh</t>
  </si>
  <si>
    <t>Revised Wholesale Purchases</t>
  </si>
  <si>
    <t>Variables Used</t>
  </si>
  <si>
    <t>Note: Statistically, MAPE is defined as the average of percentage errors</t>
  </si>
  <si>
    <t>Weather-Sensitive</t>
  </si>
  <si>
    <t>Energy (kWh) Weather Sensitive / Non-weather sensitive</t>
  </si>
  <si>
    <t>Demand (kW) Weather Sensitive / Non-weather sensitive</t>
  </si>
  <si>
    <t>n/a</t>
  </si>
  <si>
    <t>Note: The model computes an average customer count. Utility may chose to overwrite the customer/connection count if a year end count is more appropriate.</t>
  </si>
  <si>
    <t>Cust/Conn</t>
  </si>
  <si>
    <t>per cust kW</t>
  </si>
  <si>
    <t>Customer Count</t>
  </si>
  <si>
    <t>Spring Fall Flag</t>
  </si>
  <si>
    <t>Summary of Variables</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</si>
  <si>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</si>
  <si>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</si>
  <si>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</si>
  <si>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</si>
  <si>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</si>
  <si>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</si>
  <si>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</si>
  <si>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</si>
  <si>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</si>
  <si>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</si>
  <si>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</si>
  <si>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</si>
  <si>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</si>
  <si>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</si>
  <si>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</si>
  <si>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</si>
  <si>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</si>
  <si>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</si>
  <si>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GS&gt;50 Metered kWh</t>
  </si>
  <si>
    <t>* the model uses metered per class to determine the wholesale per class</t>
  </si>
  <si>
    <t>Days in Month</t>
  </si>
  <si>
    <t>SUMMARY OUTPUT</t>
  </si>
  <si>
    <t>FINAL ADJUSTED NUMBERS</t>
  </si>
  <si>
    <t>Per Customer Weather Normalized (based on 2014 cust count)</t>
  </si>
  <si>
    <t>Total for 2015</t>
  </si>
  <si>
    <t>Avg - Years =</t>
  </si>
  <si>
    <t>Summary of Years (Average)</t>
  </si>
  <si>
    <t>Total Customers</t>
  </si>
  <si>
    <t>GDP</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</si>
  <si>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</si>
  <si>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</si>
  <si>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</si>
  <si>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</si>
  <si>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</si>
  <si>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</si>
  <si>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</si>
  <si>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</si>
  <si>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</si>
  <si>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</si>
  <si>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</si>
  <si>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</si>
  <si>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</si>
  <si>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</si>
  <si>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</si>
  <si>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</si>
  <si>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</si>
  <si>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</si>
  <si>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</si>
  <si>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</si>
  <si>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</si>
  <si>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</si>
  <si>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</si>
  <si>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</si>
  <si>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</si>
  <si>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WN</t>
  </si>
  <si>
    <t>-</t>
  </si>
  <si>
    <t>Class Selection</t>
  </si>
  <si>
    <t>General Service &lt; 50 kW-WN</t>
  </si>
  <si>
    <t>Residential-WN</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</si>
  <si>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</si>
  <si>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</si>
  <si>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</si>
  <si>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</si>
  <si>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</si>
  <si>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</si>
  <si>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</si>
  <si>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</si>
  <si>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</si>
  <si>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</si>
  <si>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</si>
  <si>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</si>
  <si>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</si>
  <si>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2013 CDM program</t>
  </si>
  <si>
    <t>2006 to 2013 OPA CDM programs:  Persistence to 2015</t>
  </si>
  <si>
    <t>Load Forecast CDM Adjustment Work Form (2015)</t>
  </si>
  <si>
    <t>2011-2014 CDM Program - 2014, last year of the current CDM plan</t>
  </si>
  <si>
    <t>Distributor can select "0", "0.5", or "1" from drop-down list</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</si>
  <si>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</si>
  <si>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</si>
  <si>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</si>
  <si>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</si>
  <si>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</si>
  <si>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</si>
  <si>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</si>
  <si>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2011 CDM adjustment (per Board Decision in 2011 Cost of Service Application)</t>
  </si>
  <si>
    <t>Amount used for CDM threshold for LRAMVA (2015)</t>
  </si>
  <si>
    <t>Manual Adjustment for 2015 Load Forecast (billed basis)</t>
  </si>
  <si>
    <t>CDM Allocation Worksheet</t>
  </si>
  <si>
    <t xml:space="preserve"> Adjusted load from 2015 Forecast</t>
  </si>
  <si>
    <t>This Work form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</si>
  <si>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CDM Allocation</t>
  </si>
  <si>
    <t xml:space="preserve">Adjusted (kWh) </t>
  </si>
  <si>
    <t xml:space="preserve"> Adjusted (kWh) </t>
  </si>
  <si>
    <t>Manual Reallocation</t>
  </si>
  <si>
    <t>Final Adjusted (kWh)</t>
  </si>
  <si>
    <t xml:space="preserve"> S/b Zero</t>
  </si>
  <si>
    <t>Final Load Forecast Results - CDM Adjusted</t>
  </si>
  <si>
    <t>Adjusted kWh</t>
  </si>
  <si>
    <t>Linear Trending</t>
  </si>
  <si>
    <t>Linear Trending Calculation ( y=mx+b)</t>
  </si>
  <si>
    <t>Slope (m)</t>
  </si>
  <si>
    <t>Non-WN/kW</t>
  </si>
  <si>
    <t>Streetlighting-Non-WN/kW</t>
  </si>
  <si>
    <t>Number of Days in Month</t>
  </si>
  <si>
    <t>kWH Forecasted Purchases</t>
  </si>
  <si>
    <t>Adjustment</t>
  </si>
  <si>
    <t xml:space="preserve">1) Utilities will have the choice to manually adjust the projected growth in the bridge and test years if it is felt that the Geomean average does not represent forecasted growth. </t>
  </si>
  <si>
    <t xml:space="preserve">1) Enter Variables here that will be used to run the regression analysis in worksheet 6. WS Regression Analysis ( Maximum 6 variables)
"Wholesale" purchases are purchases measured at the wholesale meter. </t>
  </si>
  <si>
    <t xml:space="preserve">Note: Your final regression analysis does not need to include all six of the variables 
Note: Your final regression analysis does not need to include all six of the variables 
</t>
  </si>
  <si>
    <t xml:space="preserve">1) Update Wholesale Purchases. </t>
  </si>
  <si>
    <t>2) Use drop down lists to select the variables inputted from 5.Variable Worksheet and  Select Forecast Methodology</t>
  </si>
  <si>
    <t>3) Run Regression -&gt; Data -&gt; Data Analysis - &gt; Regression</t>
  </si>
  <si>
    <t xml:space="preserve">1) Please Select Only the Weather Sensitive Customer Classes from the Drop Down List ( Include GS&gt;50 kW customers) </t>
  </si>
  <si>
    <t xml:space="preserve">2) Select if you need to manually adjust for Load Growth or not - i.e. if this was not captured through the regression analysis (this can be verified by a quick calculation, comparing weather normal kwh purchases/forecasted customer totals for the forecast year)-
</t>
  </si>
  <si>
    <t xml:space="preserve">1) Please Select All Customers billed Distribution Volumetric Rates by kW. </t>
  </si>
  <si>
    <t xml:space="preserve">2) Please update the Average Years that is used to calculate an average kW/kWh ratio and forecast kW's
</t>
  </si>
  <si>
    <t xml:space="preserve">3) If required, A Distributor may manually adjust kWh's - i.e. Wholesale Market Participant might not have been reflected through Regression for Large Customers ( Distributor must support decision)
</t>
  </si>
  <si>
    <t xml:space="preserve">4) Select if you need to manually adjust for Load Growth or not - i.e. if this was not captured through the regression analysis (Distributor must support decision)
</t>
  </si>
  <si>
    <t xml:space="preserve">1) Use the drop down selections to select the appropriate customer classes. </t>
  </si>
  <si>
    <t xml:space="preserve">1) Use this sheet to allocate Projected CDM Savings for the Test Year
. </t>
  </si>
  <si>
    <t xml:space="preserve">2) Reallocate CDM savings to specific classes if required ( Distributers must support reallocation) </t>
  </si>
  <si>
    <t xml:space="preserve">Note: This sheet is linked from Worksheet 10.CDM Adjustments
</t>
  </si>
  <si>
    <t xml:space="preserve">Load Forecast Model version 1.0 © CHEC </t>
  </si>
  <si>
    <t>Input cells</t>
  </si>
  <si>
    <t>Drop down cells</t>
  </si>
  <si>
    <t>Model Notes</t>
  </si>
  <si>
    <t>2017</t>
  </si>
  <si>
    <t>Unmetered Scattered Load-Non-WN/kW</t>
  </si>
  <si>
    <t>Weather</t>
  </si>
  <si>
    <t>Normal</t>
  </si>
  <si>
    <t>Non-Weather</t>
  </si>
  <si>
    <t>Actual kWh Purchased</t>
  </si>
  <si>
    <t>Year over Year</t>
  </si>
  <si>
    <t>Predicted kWh</t>
  </si>
  <si>
    <t>Purchased vs Predicted</t>
  </si>
  <si>
    <t>Proposed Loss Factor (TLF)</t>
  </si>
  <si>
    <t xml:space="preserve">Spring and Fall </t>
  </si>
  <si>
    <t>File Number:</t>
  </si>
  <si>
    <t>Exhibit:</t>
  </si>
  <si>
    <t>Tab:</t>
  </si>
  <si>
    <t>Schedule:</t>
  </si>
  <si>
    <t>Page:</t>
  </si>
  <si>
    <t>34-35</t>
  </si>
  <si>
    <t>Date:</t>
  </si>
  <si>
    <t>Appendix 2-I</t>
  </si>
  <si>
    <t>Load Forecast CDM Adjustment Work Form (2016)</t>
  </si>
  <si>
    <r>
      <t>2014 is the last year of the current four year (2011-2014) CDM program, and 2015 is the first year of a new six year (2015-2020) CDM program, per the Ministerial directives of March 31</t>
    </r>
    <r>
      <rPr>
        <sz val="10"/>
        <rFont val="Arial"/>
        <family val="2"/>
      </rPr>
      <t xml:space="preserve">, 2014.  With 2016, there is a need to recognize the full year impact of the current 2011-2014 CDM program, as well as to estimate reasonable impacts for each year for the new 2015-2020 CDM program.  These are combined to estimate the adjustment for CDM program impacts on the 2016 load forecast.  </t>
    </r>
  </si>
  <si>
    <t>Appendix 2-I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</si>
  <si>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It is assumed that the new six year (2015-2020) CDM program will work similar to the existing 2011-2014 CDM program, meaning that distributors will offer programs each year that, cumulatively over the six years (from January 1, 2015 to December 31, 2020) will cumulatively achieve the new six year CDM target.  This is the approach contemplated in the Ministerial directive letters of March 31, 2014 to the Board and to the OPA.  Thus, distributors will be able to offer programs on a basis so that cumulatively over the period, the impacts, including persistence, of the CDM programs will accumulate towards achieving each distributor's 2015-2020 CDM target.</t>
  </si>
  <si>
    <t xml:space="preserve">With this approach, it is necessary to account for estimated savings for the last year of the current program, particularly the estimated savings for new CDM programs offered in 2014, as well as the estimated savings for new CDM programs that the distributor will offer in 2015 towards achievement of the new six year (2015-2020) CDM program.   This necessitates expansion of this Appendix 2-I to deal with both the 2011-2014 and 2015-2020 CDM plans.  It is expected that this approach will be updated each year. </t>
  </si>
  <si>
    <t>Input the 2011-2014 CDM target in Cell B21.</t>
  </si>
  <si>
    <t>Input the measured results for 2011 CDM programs for each of the years 2011 and persistence into 2012, 2013 and 2014 into cells B31 to E31.  These results are taken from the final 2011 CDM Report issued by the OPA for that distributor in the fall of 2012.</t>
  </si>
  <si>
    <t>Measured results for 2012 CDM programs for each of the years 2012 and persistence into 2013 and 2014 are input into cells C32 to E32.  These results are taken from the final 2012 CDM Report issued by the OPA for that distributor in the fall of 2013.</t>
  </si>
  <si>
    <t>Measured results for 2013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t>
  </si>
  <si>
    <t>Measured results for 2014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 The distributor also needs to input the persistence of 2014 CDM programs into 2015 and 2016 in cells G45 and G46.</t>
  </si>
  <si>
    <t>Persistence of 2014 CDM Program into 2015 and 2016</t>
  </si>
  <si>
    <t>2015-2020 CDM Program - 2016, second year of the current CDM plan</t>
  </si>
  <si>
    <t>For the first year of the new 2015-2020 CDM plan, it is assumed that each year's program will achieve an equal amount of new CDM savings.  The new targets for 2015-2020 do not take into account persistence beyond the first year, but the IESO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</si>
  <si>
    <t>Determination of 2016 Load Forecast Adjustment</t>
  </si>
  <si>
    <t>From each of the 2006-2010 CDM Final Report,  and the 2011, 2012, 2013 and 2014 CDM Final Reports, issued by the OPA (now IESO) for the distributor, the distributor should input the "gross" and "net" results of the cumulative CDM savings for 2014 into cells D84 to E88.  The model will calculate the cumulative savings for all programs from 2006 to 2012 and determine the "net" to "gross" factor "g".</t>
  </si>
  <si>
    <t>2014 CDM program</t>
  </si>
  <si>
    <t>2006 to 2014 OPA CDM programs:  Persistence to 2016</t>
  </si>
  <si>
    <t>These factors do not mean that CDM programs are excluded, but the assumption that impacts of previous year CDM programs are already implicitly reflected in the actual data for the historical years that are the basis for the load forecast prior to any manual CDM adjustment for the 2016 test year.</t>
  </si>
  <si>
    <t>Default is 0, but one option is for full year impact of persistence of 2013 CDM programs on 2015 load forecast, but 50% impact in base forecast (first year impact of 2013 CDM programs on 2013 load forecast, which is part of the data for the load forecast.</t>
  </si>
  <si>
    <t>Default is 0, but one option is for full year impact of persistence of 2014 CDM programs on 2014 load forecast, but 50% impact in base forecast (first year impact of 2014 CDM programs on 2014 actuals, which is part of the data for the load forecast.</t>
  </si>
  <si>
    <t>Full year impact of persistence of 2015 programs on 2015 load forecast.  2015 CDM program impacts are not in the base forecast.</t>
  </si>
  <si>
    <t>Only 50% of 2016 CDM programs are assumed to impact the 2016 load forecast based on the "half-year" rule.</t>
  </si>
  <si>
    <t>One manual adjustment for CDM impacts to the 2015 load forecast is made.  However, the distributor will have two associated annualized CDM impacts, one for the 2011-2014 CDM program and the second for the 2015-2020 CDM plan.  In addition, the distributor needs to reflect the CDM adjustment that was explicitly factored into its 2011 load forecast in its 2011 cost of service application (assuming that it rebased in that year).  this amount, and equal persistence for 2012, 2013 and 2014 is used as an offset to determine what the net balance of the 2011-2014 LRAMVA balance should be for disposition.</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</si>
  <si>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</si>
  <si>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</si>
  <si>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2016 Load Forecast is the amount manually subtracted from the load forecast derived from the base forecast from historical data.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</si>
  <si>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</si>
  <si>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Total for 2017</t>
  </si>
  <si>
    <t>CDM adjustment for test year forecast (per Board Decision in distributor's most recent Cost of Service Application) (enter as negative)</t>
  </si>
  <si>
    <t>Amount used for CDM threshold for LRAMVA (2016)</t>
  </si>
  <si>
    <t>Manual Adjustment for 2016 Load Forecast (billed basis)</t>
  </si>
  <si>
    <t xml:space="preserve"> Format: X.XX%</t>
  </si>
  <si>
    <t>Manual Adjustment for 2016 Load Forecast (system purchased basis)</t>
  </si>
  <si>
    <t>Manual adjustment uses "gross" versus "net" (i.e. numbers multiplied by (1 + g).  The Weight factor is also used calculate the impact of each year's program on the CDM adjustment to the 2016 load forecast.</t>
  </si>
  <si>
    <t>Peak Number of Hours</t>
  </si>
  <si>
    <t>Spring and Fall</t>
  </si>
  <si>
    <t>2001</t>
  </si>
  <si>
    <t>Equation Parameters</t>
  </si>
  <si>
    <t>Multiple Regression Equation</t>
  </si>
  <si>
    <t>Interecept</t>
  </si>
  <si>
    <t>Customer #</t>
  </si>
  <si>
    <t>Renfrew Hydro Inc.</t>
  </si>
  <si>
    <t>Renfrew</t>
  </si>
  <si>
    <t>EB-2023-0049</t>
  </si>
  <si>
    <t>Lance Jefferies, President</t>
  </si>
  <si>
    <t>613-432-4884 ex 224</t>
  </si>
  <si>
    <t>ljefferies@renfrewhydro.com</t>
  </si>
  <si>
    <t>2023</t>
  </si>
  <si>
    <t>2024</t>
  </si>
  <si>
    <t>General Service &gt; 50 kW - 4999 kW</t>
  </si>
  <si>
    <t>Daylight hours</t>
  </si>
  <si>
    <t>Daylight Hours</t>
  </si>
  <si>
    <t>Adjustment for loss of commercial customer #1</t>
  </si>
  <si>
    <t>Adjustment for loss of commercial customer #2</t>
  </si>
  <si>
    <t>Adjustment for loss of Street lighting Volume</t>
  </si>
  <si>
    <t>YES</t>
  </si>
  <si>
    <t>General Service &gt; 50 kW - 4999 kW-Non-WN/kW</t>
  </si>
  <si>
    <t>0-WN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</si>
</sst>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quot;$&quot;* #,##0.00_-;\-&quot;$&quot;* #,##0.00_-;_-&quot;$&quot;* &quot;-&quot;??_-;_-@_-"/>
    <numFmt numFmtId="43" formatCode="_-* #,##0.00_-;\-* #,##0.00_-;_-* &quot;-&quot;??_-;_-@_-"/>
    <numFmt numFmtId="164" formatCode="&quot;$&quot;#,##0_);\(&quot;$&quot;#,##0\)"/>
    <numFmt numFmtId="165" formatCode="_(&quot;$&quot;* #,##0.00_);_(&quot;$&quot;* \(#,##0.00\);_(&quot;$&quot;* &quot;-&quot;??_);_(@_)"/>
    <numFmt numFmtId="166" formatCode="_(* #,##0.00_);_(* \(#,##0.00\);_(* &quot;-&quot;??_);_(@_)"/>
    <numFmt numFmtId="167" formatCode="0.0000"/>
    <numFmt numFmtId="168" formatCode="0.0%"/>
    <numFmt numFmtId="169" formatCode="#,##0.00000"/>
    <numFmt numFmtId="170" formatCode="_-* #,##0_-;\-* #,##0_-;_-* &quot;-&quot;??_-;_-@_-"/>
    <numFmt numFmtId="171" formatCode="#,##0_ ;\-#,##0\ "/>
    <numFmt numFmtId="172" formatCode="_-&quot;$&quot;* #,##0_-;\-&quot;$&quot;* #,##0_-;_-&quot;$&quot;* &quot;-&quot;??_-;_-@_-"/>
    <numFmt numFmtId="173" formatCode="_-* #,##0.00000_-;\-* #,##0.00000_-;_-* &quot;-&quot;??_-;_-@_-"/>
    <numFmt numFmtId="174" formatCode="#,##0.000000"/>
    <numFmt numFmtId="175" formatCode="#,##0.0000000"/>
    <numFmt numFmtId="176" formatCode="_-* #,##0.000_-;\-* #,##0.000_-;_-* &quot;-&quot;??_-;_-@_-"/>
    <numFmt numFmtId="177" formatCode="#,##0.0000"/>
    <numFmt numFmtId="178" formatCode="_(* #,##0.0_);_(* \(#,##0.0\);_(* &quot;-&quot;??_);_(@_)"/>
    <numFmt numFmtId="179" formatCode="#,##0.0"/>
    <numFmt numFmtId="180" formatCode="mm/dd/yyyy"/>
    <numFmt numFmtId="181" formatCode="0\-0"/>
    <numFmt numFmtId="182" formatCode="##\-#"/>
    <numFmt numFmtId="183" formatCode="_(* #,##0_);_(* \(#,##0\);_(* &quot;-&quot;??_);_(@_)"/>
    <numFmt numFmtId="184" formatCode="&quot;£ &quot;#,##0.00;[Red]\-&quot;£ &quot;#,##0.00"/>
    <numFmt numFmtId="185" formatCode="0.00%;\(0.00%\)"/>
  </numFmts>
  <fonts count="136">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sz val="6"/>
      <name val="Arial"/>
      <family val="2"/>
    </font>
    <font>
      <i/>
      <sz val="9"/>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sz val="11"/>
      <color theme="1"/>
      <name val="Arial"/>
      <family val="2"/>
    </font>
    <font>
      <b/>
      <sz val="11"/>
      <color theme="1"/>
      <name val="Arial"/>
      <family val="2"/>
    </font>
    <font>
      <i/>
      <sz val="10"/>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Helvetica"/>
      <family val="2"/>
    </font>
    <font>
      <u/>
      <sz val="10"/>
      <color theme="10"/>
      <name val="Times New Roman"/>
      <family val="1"/>
    </font>
    <font>
      <b/>
      <sz val="12"/>
      <name val="Helvetica"/>
      <family val="2"/>
    </font>
    <font>
      <i/>
      <sz val="10"/>
      <name val="Helvetica"/>
      <family val="2"/>
    </font>
    <font>
      <sz val="10"/>
      <color theme="0" tint="-0.499984740745262"/>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Times New Roman"/>
      <family val="1"/>
    </font>
    <font>
      <sz val="10"/>
      <color theme="0"/>
      <name val="Times New Roman"/>
      <family val="1"/>
    </font>
    <font>
      <sz val="11"/>
      <color theme="0" tint="-0.499984740745262"/>
      <name val="Arial"/>
      <family val="2"/>
    </font>
    <font>
      <u/>
      <sz val="10"/>
      <color theme="10"/>
      <name val="Arial"/>
      <family val="2"/>
    </font>
    <font>
      <b/>
      <sz val="11"/>
      <color rgb="FF0033CC"/>
      <name val="Arial"/>
      <family val="2"/>
    </font>
    <font>
      <sz val="12"/>
      <name val="Arial"/>
      <family val="2"/>
    </font>
    <font>
      <b/>
      <sz val="10"/>
      <name val="Times New Roman"/>
      <family val="1"/>
    </font>
    <font>
      <b/>
      <i/>
      <sz val="14"/>
      <color theme="1"/>
      <name val="Arial"/>
      <family val="2"/>
    </font>
    <font>
      <b/>
      <sz val="18"/>
      <color theme="1"/>
      <name val="Arial"/>
      <family val="2"/>
    </font>
    <font>
      <b/>
      <i/>
      <sz val="11"/>
      <color theme="1"/>
      <name val="Arial"/>
      <family val="2"/>
    </font>
    <font>
      <i/>
      <sz val="11"/>
      <color theme="1"/>
      <name val="Arial"/>
      <family val="2"/>
    </font>
    <font>
      <b/>
      <sz val="11"/>
      <color theme="0"/>
      <name val="Arial"/>
      <family val="2"/>
    </font>
    <font>
      <b/>
      <sz val="8"/>
      <name val="Arial"/>
      <family val="2"/>
    </font>
    <font>
      <b/>
      <i/>
      <sz val="8"/>
      <color theme="0" tint="-0.14999847407452621"/>
      <name val="Arial"/>
      <family val="2"/>
      <charset val="1"/>
    </font>
    <font>
      <sz val="11"/>
      <color theme="0"/>
      <name val="Arial"/>
      <family val="2"/>
    </font>
    <font>
      <sz val="10"/>
      <color rgb="FF0070C0"/>
      <name val="Arial"/>
      <family val="2"/>
    </font>
    <font>
      <sz val="8"/>
      <name val="Arial"/>
      <family val="2"/>
      <charset val="1"/>
    </font>
    <font>
      <b/>
      <sz val="14"/>
      <color theme="1"/>
      <name val="Calibri"/>
      <family val="2"/>
      <scheme val="minor"/>
    </font>
    <font>
      <sz val="11"/>
      <name val="Calibri"/>
      <family val="2"/>
      <scheme val="minor"/>
    </font>
    <font>
      <sz val="10"/>
      <name val="Calibri"/>
      <family val="2"/>
      <scheme val="minor"/>
    </font>
    <font>
      <b/>
      <i/>
      <sz val="14"/>
      <color theme="1"/>
      <name val="Calibri"/>
      <family val="2"/>
      <scheme val="minor"/>
    </font>
    <font>
      <b/>
      <sz val="11"/>
      <name val="Calibri"/>
      <family val="2"/>
      <scheme val="minor"/>
    </font>
    <font>
      <b/>
      <i/>
      <sz val="11"/>
      <color theme="1"/>
      <name val="Calibri"/>
      <family val="2"/>
      <scheme val="minor"/>
    </font>
    <font>
      <i/>
      <sz val="11"/>
      <color theme="1"/>
      <name val="Calibri"/>
      <family val="2"/>
      <scheme val="minor"/>
    </font>
    <font>
      <b/>
      <sz val="9"/>
      <color indexed="81"/>
      <name val="Tahoma"/>
      <family val="2"/>
    </font>
    <font>
      <sz val="9"/>
      <color indexed="81"/>
      <name val="Tahoma"/>
      <family val="2"/>
    </font>
    <font>
      <b/>
      <i/>
      <sz val="8"/>
      <color theme="0" tint="-0.14999847407452621"/>
      <name val="Effra-Regular"/>
    </font>
    <font>
      <sz val="10"/>
      <name val="Effra-Regular"/>
    </font>
    <font>
      <b/>
      <sz val="10"/>
      <name val="Effra-Regular"/>
    </font>
    <font>
      <u/>
      <sz val="10"/>
      <color theme="10"/>
      <name val="Times New Roman"/>
      <family val="1"/>
    </font>
  </fonts>
  <fills count="7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indexed="58"/>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s>
  <borders count="1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style="thin">
        <color theme="0"/>
      </top>
      <bottom/>
      <diagonal/>
    </border>
    <border>
      <left/>
      <right/>
      <top style="thin">
        <color theme="0"/>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thin">
        <color theme="0"/>
      </top>
      <bottom/>
      <diagonal/>
    </border>
    <border>
      <left/>
      <right style="thin">
        <color indexed="64"/>
      </right>
      <top/>
      <bottom style="double">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top style="double">
        <color indexed="64"/>
      </top>
      <bottom/>
      <diagonal/>
    </border>
    <border>
      <left/>
      <right style="thin">
        <color indexed="64"/>
      </right>
      <top style="medium">
        <color indexed="64"/>
      </top>
      <bottom/>
      <diagonal/>
    </border>
    <border>
      <left/>
      <right style="thin">
        <color indexed="64"/>
      </right>
      <top style="double">
        <color indexed="64"/>
      </top>
      <bottom style="double">
        <color indexed="64"/>
      </bottom>
      <diagonal/>
    </border>
    <border>
      <left style="thin">
        <color indexed="64"/>
      </left>
      <right/>
      <top style="medium">
        <color indexed="64"/>
      </top>
      <bottom/>
      <diagonal/>
    </border>
    <border>
      <left/>
      <right/>
      <top/>
      <bottom style="thin">
        <color theme="0"/>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top style="thin">
        <color theme="0"/>
      </top>
      <bottom style="thin">
        <color theme="0"/>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1448">
    <xf numFmtId="0" fontId="0" fillId="0" borderId="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43" fontId="15" fillId="0" borderId="0" applyFont="0" applyFill="0" applyBorder="0" applyAlignment="0" applyProtection="0"/>
    <xf numFmtId="166" fontId="24"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44" fontId="11"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11" fillId="0" borderId="0"/>
    <xf numFmtId="0" fontId="14" fillId="0" borderId="0"/>
    <xf numFmtId="0" fontId="27" fillId="0" borderId="0"/>
    <xf numFmtId="0" fontId="1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9" fontId="16" fillId="0" borderId="0" applyFont="0" applyFill="0" applyBorder="0" applyAlignment="0" applyProtection="0"/>
    <xf numFmtId="9" fontId="15" fillId="0" borderId="0" applyFont="0" applyFill="0" applyBorder="0" applyAlignment="0" applyProtection="0"/>
    <xf numFmtId="9" fontId="24" fillId="0" borderId="0" applyFont="0" applyFill="0" applyBorder="0" applyAlignment="0" applyProtection="0"/>
    <xf numFmtId="0" fontId="42" fillId="0" borderId="0" applyNumberFormat="0" applyFill="0" applyBorder="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0" fontId="10" fillId="0" borderId="0"/>
    <xf numFmtId="0" fontId="10" fillId="0" borderId="0"/>
    <xf numFmtId="0" fontId="11" fillId="0" borderId="0"/>
    <xf numFmtId="166" fontId="11" fillId="0" borderId="0" applyFont="0" applyFill="0" applyBorder="0" applyAlignment="0" applyProtection="0"/>
    <xf numFmtId="166" fontId="11" fillId="0" borderId="0" applyFont="0" applyFill="0" applyBorder="0" applyAlignment="0" applyProtection="0"/>
    <xf numFmtId="166" fontId="59" fillId="0" borderId="0" applyFont="0" applyFill="0" applyBorder="0" applyAlignment="0" applyProtection="0"/>
    <xf numFmtId="166" fontId="11" fillId="0" borderId="0" applyFont="0" applyFill="0" applyBorder="0" applyAlignment="0" applyProtection="0"/>
    <xf numFmtId="43" fontId="10"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0" fontId="11" fillId="0" borderId="0"/>
    <xf numFmtId="0" fontId="10" fillId="0" borderId="0"/>
    <xf numFmtId="0" fontId="10" fillId="0" borderId="0"/>
    <xf numFmtId="0" fontId="11" fillId="0" borderId="0"/>
    <xf numFmtId="0" fontId="10" fillId="0" borderId="0"/>
    <xf numFmtId="0" fontId="11" fillId="0" borderId="0"/>
    <xf numFmtId="0" fontId="11" fillId="0" borderId="0"/>
    <xf numFmtId="0" fontId="59" fillId="0" borderId="0"/>
    <xf numFmtId="0" fontId="11" fillId="0" borderId="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59" fillId="37" borderId="1" applyNumberFormat="0" applyProtection="0">
      <alignment horizontal="left" vertical="center"/>
    </xf>
    <xf numFmtId="0" fontId="11" fillId="37" borderId="1" applyNumberFormat="0" applyProtection="0">
      <alignment horizontal="left" vertical="center"/>
    </xf>
    <xf numFmtId="9" fontId="10"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0" fontId="61" fillId="0" borderId="0"/>
    <xf numFmtId="166" fontId="15" fillId="0" borderId="0" applyFont="0" applyFill="0" applyBorder="0" applyAlignment="0" applyProtection="0"/>
    <xf numFmtId="9" fontId="15" fillId="0" borderId="0" applyFont="0" applyFill="0" applyBorder="0" applyAlignment="0" applyProtection="0"/>
    <xf numFmtId="0" fontId="15"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0" fontId="15" fillId="0" borderId="0"/>
    <xf numFmtId="43" fontId="15" fillId="0" borderId="0" applyFont="0" applyFill="0" applyBorder="0" applyAlignment="0" applyProtection="0"/>
    <xf numFmtId="0" fontId="6" fillId="0" borderId="0"/>
    <xf numFmtId="0" fontId="6" fillId="0" borderId="0"/>
    <xf numFmtId="9" fontId="15"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24" fillId="38"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24" fillId="46" borderId="0" applyNumberFormat="0" applyBorder="0" applyAlignment="0" applyProtection="0"/>
    <xf numFmtId="0" fontId="24" fillId="41" borderId="0" applyNumberFormat="0" applyBorder="0" applyAlignment="0" applyProtection="0"/>
    <xf numFmtId="0" fontId="24" fillId="44" borderId="0" applyNumberFormat="0" applyBorder="0" applyAlignment="0" applyProtection="0"/>
    <xf numFmtId="0" fontId="24" fillId="47" borderId="0" applyNumberFormat="0" applyBorder="0" applyAlignment="0" applyProtection="0"/>
    <xf numFmtId="0" fontId="90" fillId="48" borderId="0" applyNumberFormat="0" applyBorder="0" applyAlignment="0" applyProtection="0"/>
    <xf numFmtId="0" fontId="90" fillId="45" borderId="0" applyNumberFormat="0" applyBorder="0" applyAlignment="0" applyProtection="0"/>
    <xf numFmtId="0" fontId="90" fillId="46"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1" borderId="0" applyNumberFormat="0" applyBorder="0" applyAlignment="0" applyProtection="0"/>
    <xf numFmtId="0" fontId="90" fillId="52" borderId="0" applyNumberFormat="0" applyBorder="0" applyAlignment="0" applyProtection="0"/>
    <xf numFmtId="0" fontId="90" fillId="53" borderId="0" applyNumberFormat="0" applyBorder="0" applyAlignment="0" applyProtection="0"/>
    <xf numFmtId="0" fontId="90" fillId="54" borderId="0" applyNumberFormat="0" applyBorder="0" applyAlignment="0" applyProtection="0"/>
    <xf numFmtId="0" fontId="92" fillId="56" borderId="83" applyNumberFormat="0" applyAlignment="0" applyProtection="0"/>
    <xf numFmtId="0" fontId="88" fillId="0" borderId="0" applyNumberFormat="0" applyFill="0" applyBorder="0" applyAlignment="0" applyProtection="0">
      <alignment vertical="top"/>
      <protection locked="0"/>
    </xf>
    <xf numFmtId="0" fontId="101" fillId="58" borderId="0" applyNumberFormat="0" applyBorder="0" applyAlignment="0" applyProtection="0"/>
    <xf numFmtId="0" fontId="103" fillId="0" borderId="0" applyNumberFormat="0" applyFill="0" applyBorder="0" applyAlignment="0" applyProtection="0"/>
    <xf numFmtId="0" fontId="104" fillId="0" borderId="91" applyNumberFormat="0" applyFill="0" applyAlignment="0" applyProtection="0"/>
    <xf numFmtId="0" fontId="105" fillId="0" borderId="0" applyNumberFormat="0" applyFill="0" applyBorder="0" applyAlignment="0" applyProtection="0"/>
    <xf numFmtId="0" fontId="11" fillId="0" borderId="0"/>
    <xf numFmtId="0" fontId="42" fillId="0" borderId="0" applyNumberFormat="0" applyFill="0" applyBorder="0" applyAlignment="0" applyProtection="0"/>
    <xf numFmtId="0" fontId="69" fillId="0" borderId="60" applyNumberFormat="0" applyFill="0" applyAlignment="0" applyProtection="0"/>
    <xf numFmtId="0" fontId="68" fillId="0" borderId="59" applyNumberFormat="0" applyFill="0" applyAlignment="0" applyProtection="0"/>
    <xf numFmtId="0" fontId="5" fillId="0" borderId="0"/>
    <xf numFmtId="0" fontId="70" fillId="0" borderId="61" applyNumberFormat="0" applyFill="0" applyAlignment="0" applyProtection="0"/>
    <xf numFmtId="0" fontId="70" fillId="0" borderId="0" applyNumberFormat="0" applyFill="0" applyBorder="0" applyAlignment="0" applyProtection="0"/>
    <xf numFmtId="0" fontId="71" fillId="29" borderId="0" applyNumberFormat="0" applyBorder="0" applyAlignment="0" applyProtection="0"/>
    <xf numFmtId="0" fontId="72" fillId="26" borderId="0" applyNumberFormat="0" applyBorder="0" applyAlignment="0" applyProtection="0"/>
    <xf numFmtId="0" fontId="73" fillId="31" borderId="0" applyNumberFormat="0" applyBorder="0" applyAlignment="0" applyProtection="0"/>
    <xf numFmtId="0" fontId="74" fillId="30" borderId="57" applyNumberFormat="0" applyAlignment="0" applyProtection="0"/>
    <xf numFmtId="0" fontId="75" fillId="27" borderId="64" applyNumberFormat="0" applyAlignment="0" applyProtection="0"/>
    <xf numFmtId="0" fontId="76" fillId="27" borderId="57" applyNumberFormat="0" applyAlignment="0" applyProtection="0"/>
    <xf numFmtId="0" fontId="77" fillId="0" borderId="62" applyNumberFormat="0" applyFill="0" applyAlignment="0" applyProtection="0"/>
    <xf numFmtId="0" fontId="78" fillId="28" borderId="58" applyNumberFormat="0" applyAlignment="0" applyProtection="0"/>
    <xf numFmtId="0" fontId="79" fillId="0" borderId="0" applyNumberFormat="0" applyFill="0" applyBorder="0" applyAlignment="0" applyProtection="0"/>
    <xf numFmtId="0" fontId="5" fillId="32" borderId="63" applyNumberFormat="0" applyFont="0" applyAlignment="0" applyProtection="0"/>
    <xf numFmtId="0" fontId="80" fillId="0" borderId="0" applyNumberFormat="0" applyFill="0" applyBorder="0" applyAlignment="0" applyProtection="0"/>
    <xf numFmtId="0" fontId="81" fillId="0" borderId="65" applyNumberFormat="0" applyFill="0" applyAlignment="0" applyProtection="0"/>
    <xf numFmtId="0" fontId="82" fillId="20"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82" fillId="14" borderId="0" applyNumberFormat="0" applyBorder="0" applyAlignment="0" applyProtection="0"/>
    <xf numFmtId="0" fontId="82" fillId="21"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82" fillId="15" borderId="0" applyNumberFormat="0" applyBorder="0" applyAlignment="0" applyProtection="0"/>
    <xf numFmtId="0" fontId="82" fillId="22"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82" fillId="16" borderId="0" applyNumberFormat="0" applyBorder="0" applyAlignment="0" applyProtection="0"/>
    <xf numFmtId="0" fontId="82" fillId="23"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82" fillId="17" borderId="0" applyNumberFormat="0" applyBorder="0" applyAlignment="0" applyProtection="0"/>
    <xf numFmtId="0" fontId="82" fillId="2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82" fillId="18" borderId="0" applyNumberFormat="0" applyBorder="0" applyAlignment="0" applyProtection="0"/>
    <xf numFmtId="0" fontId="82" fillId="25"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82" fillId="19" borderId="0" applyNumberFormat="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178" fontId="11" fillId="0" borderId="0"/>
    <xf numFmtId="179" fontId="11" fillId="0" borderId="0"/>
    <xf numFmtId="178" fontId="11" fillId="0" borderId="0"/>
    <xf numFmtId="178" fontId="11" fillId="0" borderId="0"/>
    <xf numFmtId="178" fontId="11" fillId="0" borderId="0"/>
    <xf numFmtId="178" fontId="11" fillId="0" borderId="0"/>
    <xf numFmtId="180" fontId="11" fillId="0" borderId="0"/>
    <xf numFmtId="181" fontId="11" fillId="0" borderId="0"/>
    <xf numFmtId="180" fontId="11" fillId="0" borderId="0"/>
    <xf numFmtId="3" fontId="11" fillId="0" borderId="0" applyFont="0" applyFill="0" applyBorder="0" applyAlignment="0" applyProtection="0"/>
    <xf numFmtId="164" fontId="11" fillId="0" borderId="0" applyFont="0" applyFill="0" applyBorder="0" applyAlignment="0" applyProtection="0"/>
    <xf numFmtId="14" fontId="11" fillId="0" borderId="0" applyFont="0" applyFill="0" applyBorder="0" applyAlignment="0" applyProtection="0"/>
    <xf numFmtId="2" fontId="11" fillId="0" borderId="0" applyFont="0" applyFill="0" applyBorder="0" applyAlignment="0" applyProtection="0"/>
    <xf numFmtId="38" fontId="89" fillId="60" borderId="0" applyNumberFormat="0" applyBorder="0" applyAlignment="0" applyProtection="0"/>
    <xf numFmtId="10" fontId="89" fillId="63" borderId="1" applyNumberFormat="0" applyBorder="0" applyAlignment="0" applyProtection="0"/>
    <xf numFmtId="182" fontId="11" fillId="0" borderId="0"/>
    <xf numFmtId="182" fontId="11" fillId="0" borderId="0"/>
    <xf numFmtId="182" fontId="11" fillId="0" borderId="0"/>
    <xf numFmtId="182" fontId="11" fillId="0" borderId="0"/>
    <xf numFmtId="182" fontId="11" fillId="0" borderId="0"/>
    <xf numFmtId="184" fontId="11" fillId="0" borderId="0"/>
    <xf numFmtId="10" fontId="1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4" fontId="11" fillId="0" borderId="0" applyFont="0" applyFill="0" applyBorder="0" applyAlignment="0" applyProtection="0"/>
    <xf numFmtId="0" fontId="5" fillId="0" borderId="0"/>
    <xf numFmtId="0" fontId="5" fillId="0" borderId="0"/>
    <xf numFmtId="183" fontId="11" fillId="0" borderId="0"/>
    <xf numFmtId="0" fontId="102" fillId="56" borderId="90" applyNumberFormat="0" applyAlignment="0" applyProtection="0"/>
    <xf numFmtId="0" fontId="93" fillId="57" borderId="84" applyNumberFormat="0" applyAlignment="0" applyProtection="0"/>
    <xf numFmtId="0" fontId="99" fillId="43" borderId="83" applyNumberFormat="0" applyAlignment="0" applyProtection="0"/>
    <xf numFmtId="0" fontId="11" fillId="59" borderId="89" applyNumberFormat="0" applyFont="0" applyAlignment="0" applyProtection="0"/>
    <xf numFmtId="0" fontId="95" fillId="40" borderId="0" applyNumberFormat="0" applyBorder="0" applyAlignment="0" applyProtection="0"/>
    <xf numFmtId="0" fontId="91" fillId="39" borderId="0" applyNumberFormat="0" applyBorder="0" applyAlignment="0" applyProtection="0"/>
    <xf numFmtId="0" fontId="98" fillId="0" borderId="87" applyNumberFormat="0" applyFill="0" applyAlignment="0" applyProtection="0"/>
    <xf numFmtId="0" fontId="97" fillId="0" borderId="86" applyNumberFormat="0" applyFill="0" applyAlignment="0" applyProtection="0"/>
    <xf numFmtId="0" fontId="94" fillId="0" borderId="0" applyNumberFormat="0" applyFill="0" applyBorder="0" applyAlignment="0" applyProtection="0"/>
    <xf numFmtId="0" fontId="96" fillId="0" borderId="85" applyNumberFormat="0" applyFill="0" applyAlignment="0" applyProtection="0"/>
    <xf numFmtId="0" fontId="84" fillId="0" borderId="0" applyNumberFormat="0" applyFill="0" applyBorder="0" applyAlignment="0" applyProtection="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90" fillId="50" borderId="0" applyNumberFormat="0" applyBorder="0" applyAlignment="0" applyProtection="0"/>
    <xf numFmtId="0" fontId="5" fillId="0" borderId="0"/>
    <xf numFmtId="0" fontId="5" fillId="0" borderId="0"/>
    <xf numFmtId="0" fontId="5" fillId="0" borderId="0"/>
    <xf numFmtId="0" fontId="90" fillId="55" borderId="0" applyNumberFormat="0" applyBorder="0" applyAlignment="0" applyProtection="0"/>
    <xf numFmtId="0" fontId="90" fillId="49" borderId="0" applyNumberFormat="0" applyBorder="0" applyAlignment="0" applyProtection="0"/>
    <xf numFmtId="43"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15" fillId="0" borderId="0"/>
    <xf numFmtId="0" fontId="100" fillId="0" borderId="88" applyNumberFormat="0" applyFill="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98" fillId="0" borderId="0" applyNumberForma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1" fillId="0" borderId="0"/>
    <xf numFmtId="0" fontId="11" fillId="0" borderId="0"/>
    <xf numFmtId="0" fontId="99" fillId="43" borderId="83" applyNumberFormat="0" applyAlignment="0" applyProtection="0"/>
    <xf numFmtId="0" fontId="99" fillId="43" borderId="83" applyNumberFormat="0" applyAlignment="0" applyProtection="0"/>
    <xf numFmtId="0" fontId="99" fillId="43" borderId="8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9" fontId="11" fillId="0" borderId="0" applyFont="0" applyFill="0" applyBorder="0" applyAlignment="0" applyProtection="0"/>
    <xf numFmtId="0" fontId="99" fillId="43" borderId="83" applyNumberFormat="0" applyAlignment="0" applyProtection="0"/>
    <xf numFmtId="0" fontId="11" fillId="0" borderId="0"/>
    <xf numFmtId="0" fontId="15" fillId="0" borderId="0"/>
    <xf numFmtId="0" fontId="4" fillId="0" borderId="0"/>
    <xf numFmtId="0" fontId="4" fillId="0" borderId="0"/>
    <xf numFmtId="9" fontId="15"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3" fillId="0" borderId="0"/>
    <xf numFmtId="0" fontId="11" fillId="0" borderId="0"/>
    <xf numFmtId="9" fontId="15" fillId="0" borderId="0" applyFont="0" applyFill="0" applyBorder="0" applyAlignment="0" applyProtection="0"/>
    <xf numFmtId="0" fontId="15" fillId="0" borderId="0"/>
    <xf numFmtId="9" fontId="11" fillId="0" borderId="0" applyFont="0" applyFill="0" applyBorder="0" applyAlignment="0" applyProtection="0"/>
    <xf numFmtId="0" fontId="11"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65" fontId="11" fillId="0" borderId="0" applyFont="0" applyFill="0" applyBorder="0" applyAlignment="0" applyProtection="0"/>
    <xf numFmtId="166" fontId="3" fillId="0" borderId="0" applyFont="0" applyFill="0" applyBorder="0" applyAlignment="0" applyProtection="0"/>
    <xf numFmtId="0" fontId="11" fillId="0" borderId="0"/>
    <xf numFmtId="0" fontId="3" fillId="0" borderId="0"/>
    <xf numFmtId="0" fontId="3"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03" fillId="0" borderId="0" applyNumberFormat="0" applyFill="0" applyBorder="0" applyAlignment="0" applyProtection="0"/>
    <xf numFmtId="0" fontId="3" fillId="0" borderId="0"/>
    <xf numFmtId="44" fontId="1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109" fillId="0" borderId="0" applyNumberForma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15" fillId="0" borderId="0"/>
    <xf numFmtId="43" fontId="15" fillId="0" borderId="0" applyFont="0" applyFill="0" applyBorder="0" applyAlignment="0" applyProtection="0"/>
    <xf numFmtId="0" fontId="3" fillId="0" borderId="0"/>
    <xf numFmtId="0" fontId="3" fillId="0" borderId="0"/>
    <xf numFmtId="9" fontId="15"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15" fillId="0" borderId="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 fillId="0" borderId="0"/>
    <xf numFmtId="0" fontId="135" fillId="0" borderId="0" applyNumberFormat="0" applyFill="0" applyBorder="0" applyAlignment="0" applyProtection="0"/>
  </cellStyleXfs>
  <cellXfs count="1095">
    <xf numFmtId="0" fontId="0" fillId="0" borderId="0" xfId="0"/>
    <xf numFmtId="0" fontId="11" fillId="0" borderId="0" xfId="0" applyFont="1"/>
    <xf numFmtId="0" fontId="45" fillId="0" borderId="0" xfId="0" applyFont="1" applyAlignment="1">
      <alignment horizontal="left" vertical="center"/>
    </xf>
    <xf numFmtId="0" fontId="11" fillId="0" borderId="6" xfId="0" applyFont="1" applyBorder="1" applyAlignment="1">
      <alignment horizontal="center"/>
    </xf>
    <xf numFmtId="49" fontId="11" fillId="0" borderId="7" xfId="0" applyNumberFormat="1" applyFont="1" applyBorder="1" applyAlignment="1">
      <alignment horizontal="center"/>
    </xf>
    <xf numFmtId="49" fontId="11" fillId="0" borderId="2" xfId="0" applyNumberFormat="1" applyFont="1" applyBorder="1" applyAlignment="1">
      <alignment horizontal="center"/>
    </xf>
    <xf numFmtId="167" fontId="11" fillId="0" borderId="1" xfId="0" applyNumberFormat="1" applyFont="1" applyBorder="1" applyAlignment="1">
      <alignment horizontal="center"/>
    </xf>
    <xf numFmtId="167" fontId="11" fillId="0" borderId="8" xfId="0" applyNumberFormat="1" applyFont="1" applyBorder="1" applyAlignment="1">
      <alignment horizontal="center"/>
    </xf>
    <xf numFmtId="14" fontId="11" fillId="0" borderId="2" xfId="0" applyNumberFormat="1" applyFont="1" applyBorder="1" applyAlignment="1">
      <alignment horizontal="center"/>
    </xf>
    <xf numFmtId="0" fontId="11" fillId="0" borderId="1" xfId="0" applyFont="1" applyBorder="1" applyAlignment="1">
      <alignment horizontal="center"/>
    </xf>
    <xf numFmtId="14" fontId="17" fillId="0" borderId="2" xfId="0" applyNumberFormat="1" applyFont="1" applyBorder="1" applyAlignment="1">
      <alignment horizontal="center"/>
    </xf>
    <xf numFmtId="167" fontId="17" fillId="0" borderId="1" xfId="0" applyNumberFormat="1" applyFont="1" applyBorder="1" applyAlignment="1">
      <alignment horizontal="center"/>
    </xf>
    <xf numFmtId="0" fontId="17" fillId="0" borderId="1" xfId="0" applyFont="1" applyBorder="1" applyAlignment="1">
      <alignment horizontal="center"/>
    </xf>
    <xf numFmtId="167" fontId="17" fillId="0" borderId="8" xfId="0" applyNumberFormat="1" applyFont="1" applyBorder="1" applyAlignment="1">
      <alignment horizontal="center"/>
    </xf>
    <xf numFmtId="1" fontId="11" fillId="0" borderId="1" xfId="0" applyNumberFormat="1" applyFont="1" applyBorder="1" applyAlignment="1">
      <alignment horizontal="center"/>
    </xf>
    <xf numFmtId="49" fontId="11" fillId="0" borderId="9" xfId="0" applyNumberFormat="1" applyFont="1" applyBorder="1" applyAlignment="1">
      <alignment horizontal="center"/>
    </xf>
    <xf numFmtId="0" fontId="11" fillId="0" borderId="10" xfId="0" applyFont="1" applyBorder="1" applyAlignment="1">
      <alignment horizontal="center"/>
    </xf>
    <xf numFmtId="0" fontId="11" fillId="0" borderId="12" xfId="0" applyFont="1" applyBorder="1"/>
    <xf numFmtId="0" fontId="11" fillId="0" borderId="13" xfId="0" applyFont="1" applyBorder="1"/>
    <xf numFmtId="1" fontId="11" fillId="33" borderId="1" xfId="0" applyNumberFormat="1" applyFont="1" applyFill="1" applyBorder="1" applyAlignment="1">
      <alignment horizontal="center"/>
    </xf>
    <xf numFmtId="1" fontId="11" fillId="33" borderId="10" xfId="0" applyNumberFormat="1" applyFont="1" applyFill="1" applyBorder="1" applyAlignment="1">
      <alignment horizontal="center"/>
    </xf>
    <xf numFmtId="167" fontId="11" fillId="0" borderId="11" xfId="0" applyNumberFormat="1" applyFont="1" applyBorder="1" applyAlignment="1">
      <alignment horizontal="center"/>
    </xf>
    <xf numFmtId="2" fontId="44" fillId="0" borderId="0" xfId="0" applyNumberFormat="1" applyFont="1" applyAlignment="1">
      <alignment horizontal="center"/>
    </xf>
    <xf numFmtId="0" fontId="11" fillId="0" borderId="0" xfId="0" applyFont="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11" fillId="0" borderId="2" xfId="0" applyFont="1" applyBorder="1" applyAlignment="1">
      <alignment horizontal="center"/>
    </xf>
    <xf numFmtId="2" fontId="44" fillId="0" borderId="8" xfId="0" applyNumberFormat="1" applyFont="1" applyBorder="1" applyAlignment="1">
      <alignment horizontal="center"/>
    </xf>
    <xf numFmtId="0" fontId="11" fillId="0" borderId="16" xfId="0" applyFont="1" applyBorder="1" applyAlignment="1">
      <alignment horizontal="center"/>
    </xf>
    <xf numFmtId="0" fontId="11" fillId="0" borderId="9" xfId="0" applyFont="1" applyBorder="1" applyAlignment="1">
      <alignment horizontal="center"/>
    </xf>
    <xf numFmtId="2" fontId="44" fillId="0" borderId="11" xfId="0" applyNumberFormat="1" applyFont="1" applyBorder="1" applyAlignment="1">
      <alignment horizontal="center"/>
    </xf>
    <xf numFmtId="0" fontId="11" fillId="0" borderId="17" xfId="0" applyFont="1" applyBorder="1" applyAlignment="1">
      <alignment horizontal="center"/>
    </xf>
    <xf numFmtId="2" fontId="44" fillId="0" borderId="18" xfId="0" applyNumberFormat="1" applyFont="1" applyBorder="1" applyAlignment="1">
      <alignment horizontal="center"/>
    </xf>
    <xf numFmtId="2" fontId="44" fillId="0" borderId="13" xfId="0" applyNumberFormat="1" applyFont="1" applyBorder="1" applyAlignment="1">
      <alignment horizontal="center"/>
    </xf>
    <xf numFmtId="0" fontId="11" fillId="0" borderId="20" xfId="0" applyFont="1" applyBorder="1" applyAlignment="1">
      <alignment horizontal="left"/>
    </xf>
    <xf numFmtId="17" fontId="11" fillId="0" borderId="15" xfId="0" applyNumberFormat="1" applyFont="1" applyBorder="1" applyAlignment="1">
      <alignment horizontal="center"/>
    </xf>
    <xf numFmtId="1" fontId="44" fillId="33" borderId="8" xfId="0" applyNumberFormat="1" applyFont="1" applyFill="1" applyBorder="1" applyAlignment="1">
      <alignment horizontal="center"/>
    </xf>
    <xf numFmtId="1" fontId="11" fillId="33" borderId="1" xfId="379" applyNumberFormat="1" applyFont="1" applyFill="1" applyBorder="1" applyAlignment="1">
      <alignment horizontal="center"/>
    </xf>
    <xf numFmtId="1" fontId="11" fillId="33" borderId="21" xfId="379" applyNumberFormat="1" applyFont="1" applyFill="1" applyBorder="1" applyAlignment="1">
      <alignment horizontal="center"/>
    </xf>
    <xf numFmtId="1" fontId="44" fillId="33" borderId="11" xfId="0" applyNumberFormat="1" applyFont="1" applyFill="1" applyBorder="1" applyAlignment="1">
      <alignment horizontal="center"/>
    </xf>
    <xf numFmtId="1" fontId="11" fillId="33" borderId="22" xfId="0" applyNumberFormat="1" applyFont="1" applyFill="1" applyBorder="1" applyAlignment="1">
      <alignment horizontal="center"/>
    </xf>
    <xf numFmtId="3" fontId="11" fillId="0" borderId="0" xfId="0" applyNumberFormat="1" applyFont="1" applyAlignment="1">
      <alignment horizontal="center"/>
    </xf>
    <xf numFmtId="0" fontId="11" fillId="0" borderId="1" xfId="0" applyFont="1" applyBorder="1"/>
    <xf numFmtId="17" fontId="11" fillId="0" borderId="0" xfId="0" applyNumberFormat="1" applyFont="1"/>
    <xf numFmtId="0" fontId="11" fillId="0" borderId="0" xfId="0" applyFont="1" applyAlignment="1">
      <alignment horizontal="left"/>
    </xf>
    <xf numFmtId="0" fontId="47" fillId="0" borderId="0" xfId="0" applyFont="1" applyAlignment="1">
      <alignment horizontal="left" vertical="center"/>
    </xf>
    <xf numFmtId="0" fontId="46" fillId="0" borderId="27" xfId="0" applyFont="1" applyBorder="1" applyAlignment="1">
      <alignment horizontal="center" vertical="center" wrapText="1"/>
    </xf>
    <xf numFmtId="0" fontId="46" fillId="0" borderId="28" xfId="0" applyFont="1" applyBorder="1" applyAlignment="1">
      <alignment horizontal="center" vertical="center" wrapText="1"/>
    </xf>
    <xf numFmtId="0" fontId="48" fillId="0" borderId="28" xfId="0" applyFont="1" applyBorder="1" applyAlignment="1">
      <alignment horizontal="center" vertical="center" wrapText="1"/>
    </xf>
    <xf numFmtId="0" fontId="46" fillId="0" borderId="29" xfId="0" applyFont="1" applyBorder="1" applyAlignment="1">
      <alignment horizontal="center" vertical="center" wrapText="1"/>
    </xf>
    <xf numFmtId="0" fontId="46" fillId="0" borderId="7" xfId="0" applyFont="1" applyBorder="1" applyAlignment="1">
      <alignment horizontal="center" vertical="center" wrapText="1"/>
    </xf>
    <xf numFmtId="3" fontId="46" fillId="0" borderId="23" xfId="0" applyNumberFormat="1" applyFont="1" applyBorder="1" applyAlignment="1">
      <alignment horizontal="center" vertical="center" wrapText="1"/>
    </xf>
    <xf numFmtId="10" fontId="46" fillId="0" borderId="23" xfId="0" applyNumberFormat="1" applyFont="1" applyBorder="1" applyAlignment="1">
      <alignment horizontal="center" vertical="center" wrapText="1"/>
    </xf>
    <xf numFmtId="3" fontId="46" fillId="0" borderId="1" xfId="0" applyNumberFormat="1" applyFont="1" applyBorder="1" applyAlignment="1">
      <alignment horizontal="center" vertical="center" wrapText="1"/>
    </xf>
    <xf numFmtId="10" fontId="46" fillId="0" borderId="1" xfId="0" applyNumberFormat="1" applyFont="1" applyBorder="1" applyAlignment="1">
      <alignment horizontal="center" vertical="center" wrapText="1"/>
    </xf>
    <xf numFmtId="0" fontId="44" fillId="0" borderId="2" xfId="0" applyFont="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0" fontId="44" fillId="0" borderId="10" xfId="0" applyFont="1" applyBorder="1" applyAlignment="1">
      <alignment horizontal="center" vertical="center" wrapText="1"/>
    </xf>
    <xf numFmtId="10" fontId="44" fillId="0" borderId="10" xfId="0" applyNumberFormat="1" applyFont="1" applyBorder="1" applyAlignment="1">
      <alignment horizontal="center" vertical="center" wrapText="1"/>
    </xf>
    <xf numFmtId="0" fontId="44" fillId="0" borderId="0" xfId="0" applyFont="1" applyAlignment="1">
      <alignment horizontal="center" vertical="center" wrapText="1"/>
    </xf>
    <xf numFmtId="3" fontId="44" fillId="0" borderId="0" xfId="0" applyNumberFormat="1" applyFont="1" applyAlignment="1">
      <alignment horizontal="center" vertical="center" wrapText="1"/>
    </xf>
    <xf numFmtId="0" fontId="46" fillId="0" borderId="30" xfId="0" applyFont="1" applyBorder="1" applyAlignment="1">
      <alignment horizontal="center" vertical="center" wrapText="1"/>
    </xf>
    <xf numFmtId="3" fontId="46" fillId="0" borderId="0" xfId="0" applyNumberFormat="1" applyFont="1" applyAlignment="1">
      <alignment horizontal="center" vertical="center" wrapText="1"/>
    </xf>
    <xf numFmtId="3" fontId="49" fillId="0" borderId="8" xfId="0" applyNumberFormat="1" applyFont="1" applyBorder="1" applyAlignment="1">
      <alignment horizontal="center" vertical="center" wrapText="1"/>
    </xf>
    <xf numFmtId="3" fontId="49" fillId="0" borderId="11" xfId="0" applyNumberFormat="1" applyFont="1" applyBorder="1" applyAlignment="1">
      <alignment horizontal="center" vertical="center" wrapText="1"/>
    </xf>
    <xf numFmtId="169" fontId="46" fillId="0" borderId="8" xfId="0" applyNumberFormat="1" applyFont="1" applyBorder="1" applyAlignment="1">
      <alignment horizontal="center" vertical="center" wrapText="1"/>
    </xf>
    <xf numFmtId="3" fontId="44" fillId="0" borderId="8" xfId="0" applyNumberFormat="1" applyFont="1" applyBorder="1" applyAlignment="1">
      <alignment horizontal="center" vertical="center" wrapText="1"/>
    </xf>
    <xf numFmtId="0" fontId="46" fillId="0" borderId="31"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15" xfId="0" applyFont="1" applyBorder="1" applyAlignment="1">
      <alignment horizontal="center" vertical="center" wrapText="1"/>
    </xf>
    <xf numFmtId="0" fontId="11" fillId="0" borderId="15"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16" xfId="0" applyFont="1" applyBorder="1" applyAlignment="1">
      <alignment horizontal="center" vertical="center" wrapText="1"/>
    </xf>
    <xf numFmtId="0" fontId="11" fillId="0" borderId="23" xfId="0" applyFont="1" applyBorder="1"/>
    <xf numFmtId="0" fontId="11" fillId="0" borderId="2" xfId="0" applyFont="1" applyBorder="1"/>
    <xf numFmtId="0" fontId="11" fillId="0" borderId="9" xfId="0" applyFont="1" applyBorder="1"/>
    <xf numFmtId="0" fontId="11" fillId="0" borderId="10" xfId="0" applyFont="1" applyBorder="1"/>
    <xf numFmtId="0" fontId="46" fillId="0" borderId="2"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8" xfId="0" applyFont="1" applyBorder="1" applyAlignment="1">
      <alignment horizontal="center" vertical="center" wrapText="1"/>
    </xf>
    <xf numFmtId="3" fontId="46" fillId="0" borderId="8" xfId="0" applyNumberFormat="1" applyFont="1" applyBorder="1" applyAlignment="1">
      <alignment horizontal="center" vertical="center" wrapText="1"/>
    </xf>
    <xf numFmtId="3" fontId="46" fillId="0" borderId="10" xfId="0" applyNumberFormat="1" applyFont="1" applyBorder="1" applyAlignment="1">
      <alignment horizontal="center" vertical="center" wrapText="1"/>
    </xf>
    <xf numFmtId="3" fontId="46" fillId="0" borderId="11" xfId="0" applyNumberFormat="1" applyFont="1" applyBorder="1" applyAlignment="1">
      <alignment horizontal="center" vertical="center" wrapText="1"/>
    </xf>
    <xf numFmtId="0" fontId="21" fillId="0" borderId="0" xfId="0" applyFont="1" applyAlignment="1">
      <alignment horizontal="center"/>
    </xf>
    <xf numFmtId="0" fontId="21" fillId="0" borderId="0" xfId="0" applyFont="1" applyAlignment="1">
      <alignment horizontal="left"/>
    </xf>
    <xf numFmtId="0" fontId="22" fillId="0" borderId="0" xfId="0" applyFont="1" applyAlignment="1">
      <alignment horizontal="left"/>
    </xf>
    <xf numFmtId="0" fontId="11" fillId="0" borderId="0" xfId="521" applyFont="1"/>
    <xf numFmtId="0" fontId="27" fillId="0" borderId="0" xfId="524"/>
    <xf numFmtId="0" fontId="11" fillId="0" borderId="0" xfId="521" applyFont="1" applyAlignment="1">
      <alignment horizontal="left"/>
    </xf>
    <xf numFmtId="9" fontId="11" fillId="0" borderId="0" xfId="559" applyFont="1" applyFill="1"/>
    <xf numFmtId="9" fontId="27" fillId="0" borderId="0" xfId="524" applyNumberFormat="1"/>
    <xf numFmtId="0" fontId="50" fillId="0" borderId="0" xfId="524" applyFont="1"/>
    <xf numFmtId="0" fontId="51" fillId="0" borderId="0" xfId="524" applyFont="1"/>
    <xf numFmtId="0" fontId="11" fillId="0" borderId="39" xfId="521" applyFont="1" applyBorder="1"/>
    <xf numFmtId="0" fontId="11" fillId="0" borderId="26" xfId="521" applyFont="1" applyBorder="1" applyAlignment="1">
      <alignment horizontal="center"/>
    </xf>
    <xf numFmtId="0" fontId="11" fillId="0" borderId="7" xfId="521" applyFont="1" applyBorder="1"/>
    <xf numFmtId="0" fontId="11" fillId="0" borderId="2" xfId="521" applyFont="1" applyBorder="1"/>
    <xf numFmtId="3" fontId="11" fillId="0" borderId="1" xfId="521" applyNumberFormat="1" applyFont="1" applyBorder="1" applyAlignment="1">
      <alignment horizontal="center"/>
    </xf>
    <xf numFmtId="168" fontId="11" fillId="0" borderId="2" xfId="558" applyNumberFormat="1" applyFont="1" applyFill="1" applyBorder="1" applyAlignment="1">
      <alignment horizontal="center"/>
    </xf>
    <xf numFmtId="10" fontId="11" fillId="0" borderId="2" xfId="558" applyNumberFormat="1" applyFont="1" applyFill="1" applyBorder="1" applyAlignment="1">
      <alignment horizontal="center"/>
    </xf>
    <xf numFmtId="0" fontId="11" fillId="0" borderId="43" xfId="521" applyFont="1" applyBorder="1"/>
    <xf numFmtId="0" fontId="11" fillId="0" borderId="9" xfId="521" applyFont="1" applyBorder="1"/>
    <xf numFmtId="10" fontId="11" fillId="0" borderId="9" xfId="558" applyNumberFormat="1" applyFont="1" applyFill="1" applyBorder="1" applyAlignment="1">
      <alignment horizontal="center"/>
    </xf>
    <xf numFmtId="1" fontId="11" fillId="0" borderId="0" xfId="521" applyNumberFormat="1" applyFont="1" applyAlignment="1">
      <alignment horizontal="center"/>
    </xf>
    <xf numFmtId="1" fontId="44" fillId="0" borderId="0" xfId="521" applyNumberFormat="1" applyFont="1" applyAlignment="1">
      <alignment horizontal="center"/>
    </xf>
    <xf numFmtId="0" fontId="11" fillId="0" borderId="0" xfId="521" applyFont="1" applyAlignment="1">
      <alignment horizontal="center"/>
    </xf>
    <xf numFmtId="3" fontId="11" fillId="0" borderId="0" xfId="521" applyNumberFormat="1" applyFont="1" applyAlignment="1">
      <alignment horizontal="center"/>
    </xf>
    <xf numFmtId="3" fontId="44" fillId="0" borderId="0" xfId="521" applyNumberFormat="1" applyFont="1" applyAlignment="1">
      <alignment horizontal="center"/>
    </xf>
    <xf numFmtId="0" fontId="53" fillId="0" borderId="0" xfId="521" applyFont="1" applyAlignment="1">
      <alignment horizontal="left" vertical="center"/>
    </xf>
    <xf numFmtId="0" fontId="11" fillId="0" borderId="1" xfId="521" applyFont="1" applyBorder="1" applyAlignment="1">
      <alignment horizontal="center"/>
    </xf>
    <xf numFmtId="0" fontId="11" fillId="0" borderId="23" xfId="521" applyFont="1" applyBorder="1" applyAlignment="1">
      <alignment horizontal="center"/>
    </xf>
    <xf numFmtId="3" fontId="44" fillId="0" borderId="1" xfId="0" applyNumberFormat="1" applyFont="1" applyBorder="1" applyAlignment="1">
      <alignment horizontal="center" vertical="center" wrapText="1"/>
    </xf>
    <xf numFmtId="3" fontId="44" fillId="0" borderId="10" xfId="0" applyNumberFormat="1" applyFont="1" applyBorder="1" applyAlignment="1">
      <alignment horizontal="center" vertical="center" wrapText="1"/>
    </xf>
    <xf numFmtId="0" fontId="54" fillId="0" borderId="0" xfId="0" applyFont="1" applyAlignment="1">
      <alignment horizontal="left" vertical="center"/>
    </xf>
    <xf numFmtId="0" fontId="46" fillId="0" borderId="0" xfId="0" applyFont="1" applyAlignment="1">
      <alignment vertical="top"/>
    </xf>
    <xf numFmtId="0" fontId="0" fillId="0" borderId="0" xfId="0" applyAlignment="1">
      <alignment horizontal="center"/>
    </xf>
    <xf numFmtId="0" fontId="25" fillId="0" borderId="0" xfId="0" applyFont="1" applyAlignment="1">
      <alignment horizontal="center" vertical="top"/>
    </xf>
    <xf numFmtId="0" fontId="11" fillId="0" borderId="0" xfId="0" applyFont="1" applyAlignment="1">
      <alignment vertical="center"/>
    </xf>
    <xf numFmtId="172" fontId="11" fillId="0" borderId="0" xfId="383" applyNumberFormat="1" applyFont="1" applyFill="1" applyBorder="1" applyAlignment="1">
      <alignment horizontal="left"/>
    </xf>
    <xf numFmtId="0" fontId="11" fillId="33" borderId="0" xfId="0" applyFont="1" applyFill="1" applyAlignment="1">
      <alignment vertical="center"/>
    </xf>
    <xf numFmtId="0" fontId="46" fillId="0" borderId="0" xfId="0" applyFont="1" applyAlignment="1">
      <alignment horizontal="center" vertical="center" wrapText="1"/>
    </xf>
    <xf numFmtId="3" fontId="49" fillId="0" borderId="0" xfId="0" applyNumberFormat="1" applyFont="1" applyAlignment="1">
      <alignment horizontal="center" vertical="center" wrapText="1"/>
    </xf>
    <xf numFmtId="0" fontId="44" fillId="34" borderId="0" xfId="0" applyFont="1" applyFill="1" applyAlignment="1">
      <alignment horizontal="center" vertical="center" wrapText="1"/>
    </xf>
    <xf numFmtId="3" fontId="44" fillId="34" borderId="0" xfId="0" applyNumberFormat="1" applyFont="1" applyFill="1" applyAlignment="1">
      <alignment horizontal="center" vertical="center" wrapText="1"/>
    </xf>
    <xf numFmtId="10" fontId="44" fillId="34" borderId="0" xfId="0" applyNumberFormat="1" applyFont="1" applyFill="1" applyAlignment="1">
      <alignment horizontal="center" vertical="center" wrapText="1"/>
    </xf>
    <xf numFmtId="3" fontId="44" fillId="34" borderId="0" xfId="0" applyNumberFormat="1" applyFont="1" applyFill="1" applyAlignment="1">
      <alignment horizontal="left" vertical="center"/>
    </xf>
    <xf numFmtId="0" fontId="11" fillId="34" borderId="0" xfId="0" applyFont="1" applyFill="1"/>
    <xf numFmtId="0" fontId="51"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indent="1"/>
    </xf>
    <xf numFmtId="49" fontId="11" fillId="33" borderId="0" xfId="383" applyNumberFormat="1" applyFont="1" applyFill="1" applyBorder="1" applyAlignment="1">
      <alignment horizontal="center"/>
    </xf>
    <xf numFmtId="49" fontId="11" fillId="0" borderId="0" xfId="383" applyNumberFormat="1" applyFont="1" applyFill="1" applyBorder="1" applyAlignment="1">
      <alignment horizontal="center"/>
    </xf>
    <xf numFmtId="0" fontId="26" fillId="0" borderId="0" xfId="0" applyFont="1" applyAlignment="1">
      <alignment horizontal="left" vertical="top"/>
    </xf>
    <xf numFmtId="0" fontId="11" fillId="0" borderId="38" xfId="0" applyFont="1" applyBorder="1" applyAlignment="1">
      <alignment horizontal="center"/>
    </xf>
    <xf numFmtId="49" fontId="11" fillId="0" borderId="15" xfId="0" applyNumberFormat="1" applyFont="1" applyBorder="1" applyAlignment="1">
      <alignment horizontal="center"/>
    </xf>
    <xf numFmtId="49" fontId="18" fillId="0" borderId="9" xfId="516" applyNumberFormat="1" applyFont="1" applyBorder="1" applyAlignment="1">
      <alignment horizontal="center"/>
    </xf>
    <xf numFmtId="49" fontId="18" fillId="0" borderId="2" xfId="516" applyNumberFormat="1" applyFont="1" applyBorder="1" applyAlignment="1">
      <alignment horizontal="center"/>
    </xf>
    <xf numFmtId="0" fontId="11" fillId="0" borderId="23" xfId="0" applyFont="1" applyBorder="1" applyAlignment="1">
      <alignment horizontal="center"/>
    </xf>
    <xf numFmtId="0" fontId="11" fillId="0" borderId="4" xfId="0" applyFont="1" applyBorder="1" applyAlignment="1">
      <alignment horizontal="center" wrapText="1"/>
    </xf>
    <xf numFmtId="1" fontId="11" fillId="0" borderId="23" xfId="0" applyNumberFormat="1" applyFont="1" applyBorder="1" applyAlignment="1">
      <alignment horizontal="center"/>
    </xf>
    <xf numFmtId="0" fontId="11" fillId="0" borderId="30" xfId="0" applyFont="1" applyBorder="1" applyAlignment="1">
      <alignment horizontal="center"/>
    </xf>
    <xf numFmtId="17" fontId="11" fillId="0" borderId="0" xfId="0" applyNumberFormat="1" applyFont="1" applyAlignment="1">
      <alignment horizontal="center"/>
    </xf>
    <xf numFmtId="0" fontId="18" fillId="0" borderId="0" xfId="0" applyFont="1"/>
    <xf numFmtId="49" fontId="46" fillId="0" borderId="7" xfId="0" applyNumberFormat="1" applyFont="1" applyBorder="1" applyAlignment="1">
      <alignment horizontal="center" vertical="center" wrapText="1"/>
    </xf>
    <xf numFmtId="49" fontId="44" fillId="0" borderId="7" xfId="0" applyNumberFormat="1" applyFont="1" applyBorder="1" applyAlignment="1">
      <alignment horizontal="center" vertical="center" wrapText="1"/>
    </xf>
    <xf numFmtId="49" fontId="44" fillId="0" borderId="27" xfId="0" applyNumberFormat="1" applyFont="1" applyBorder="1" applyAlignment="1">
      <alignment horizontal="center" vertical="center" wrapText="1"/>
    </xf>
    <xf numFmtId="49" fontId="44" fillId="0" borderId="2" xfId="0" applyNumberFormat="1" applyFont="1" applyBorder="1" applyAlignment="1">
      <alignment horizontal="center" vertical="center" wrapText="1"/>
    </xf>
    <xf numFmtId="1" fontId="11" fillId="0" borderId="0" xfId="0" applyNumberFormat="1" applyFont="1"/>
    <xf numFmtId="169" fontId="46" fillId="0" borderId="0" xfId="0" applyNumberFormat="1" applyFont="1" applyAlignment="1">
      <alignment horizontal="center" vertical="center" wrapText="1"/>
    </xf>
    <xf numFmtId="169" fontId="17" fillId="0" borderId="0" xfId="0" applyNumberFormat="1" applyFont="1" applyAlignment="1">
      <alignment horizontal="center" vertical="center" wrapText="1"/>
    </xf>
    <xf numFmtId="0" fontId="55" fillId="0" borderId="0" xfId="0" applyFont="1" applyAlignment="1">
      <alignment horizontal="center" vertical="center" wrapText="1"/>
    </xf>
    <xf numFmtId="9" fontId="46" fillId="0" borderId="1" xfId="557" applyFont="1" applyFill="1" applyBorder="1" applyAlignment="1">
      <alignment horizontal="center" vertical="center" wrapText="1"/>
    </xf>
    <xf numFmtId="9" fontId="44" fillId="0" borderId="1" xfId="557" applyFont="1" applyFill="1" applyBorder="1" applyAlignment="1">
      <alignment horizontal="center" vertical="center" wrapText="1"/>
    </xf>
    <xf numFmtId="9" fontId="44" fillId="0" borderId="10" xfId="557" applyFont="1" applyFill="1" applyBorder="1" applyAlignment="1">
      <alignment horizontal="center" vertical="center" wrapText="1"/>
    </xf>
    <xf numFmtId="0" fontId="46" fillId="0" borderId="46" xfId="0" applyFont="1" applyBorder="1" applyAlignment="1">
      <alignment horizontal="center" vertical="center" wrapText="1"/>
    </xf>
    <xf numFmtId="3" fontId="17" fillId="0" borderId="1" xfId="0" applyNumberFormat="1" applyFont="1" applyBorder="1" applyAlignment="1">
      <alignment horizontal="center" vertical="center" wrapText="1"/>
    </xf>
    <xf numFmtId="49" fontId="46" fillId="0" borderId="2" xfId="0" applyNumberFormat="1" applyFont="1" applyBorder="1" applyAlignment="1">
      <alignment horizontal="center" vertical="center" wrapText="1"/>
    </xf>
    <xf numFmtId="169" fontId="17" fillId="0" borderId="8" xfId="0" applyNumberFormat="1" applyFont="1" applyBorder="1" applyAlignment="1">
      <alignment horizontal="center" vertical="center" wrapText="1"/>
    </xf>
    <xf numFmtId="0" fontId="11" fillId="0" borderId="11" xfId="0" applyFont="1" applyBorder="1"/>
    <xf numFmtId="0" fontId="11" fillId="0" borderId="43" xfId="0" applyFont="1" applyBorder="1"/>
    <xf numFmtId="0" fontId="11" fillId="0" borderId="44" xfId="0" applyFont="1" applyBorder="1"/>
    <xf numFmtId="49" fontId="11" fillId="0" borderId="43" xfId="0" applyNumberFormat="1" applyFont="1" applyBorder="1"/>
    <xf numFmtId="170" fontId="11" fillId="0" borderId="23" xfId="379" applyNumberFormat="1" applyFont="1" applyFill="1" applyBorder="1" applyAlignment="1">
      <alignment horizontal="center"/>
    </xf>
    <xf numFmtId="170" fontId="11" fillId="0" borderId="1" xfId="379" applyNumberFormat="1" applyFont="1" applyFill="1" applyBorder="1" applyAlignment="1">
      <alignment horizontal="center"/>
    </xf>
    <xf numFmtId="0" fontId="11" fillId="0" borderId="19" xfId="0" applyFont="1" applyBorder="1"/>
    <xf numFmtId="49" fontId="11" fillId="0" borderId="2" xfId="0" applyNumberFormat="1" applyFont="1" applyBorder="1" applyAlignment="1">
      <alignment horizontal="center" vertical="center" wrapText="1"/>
    </xf>
    <xf numFmtId="49" fontId="44" fillId="0" borderId="9" xfId="0" applyNumberFormat="1" applyFont="1" applyBorder="1" applyAlignment="1">
      <alignment horizontal="center" vertical="center" wrapText="1"/>
    </xf>
    <xf numFmtId="0" fontId="44" fillId="0" borderId="0" xfId="0" applyFont="1"/>
    <xf numFmtId="0" fontId="11" fillId="0" borderId="44" xfId="521" applyFont="1" applyBorder="1" applyAlignment="1">
      <alignment horizontal="center"/>
    </xf>
    <xf numFmtId="0" fontId="11" fillId="0" borderId="10" xfId="521" applyFont="1" applyBorder="1" applyAlignment="1">
      <alignment horizontal="center"/>
    </xf>
    <xf numFmtId="49" fontId="11" fillId="0" borderId="26" xfId="521" applyNumberFormat="1" applyFont="1" applyBorder="1" applyAlignment="1">
      <alignment horizontal="center"/>
    </xf>
    <xf numFmtId="0" fontId="18" fillId="0" borderId="43" xfId="0" applyFont="1" applyBorder="1"/>
    <xf numFmtId="0" fontId="18" fillId="0" borderId="44" xfId="0" applyFont="1" applyBorder="1"/>
    <xf numFmtId="0" fontId="18" fillId="0" borderId="9" xfId="0" applyFont="1" applyBorder="1"/>
    <xf numFmtId="0" fontId="18" fillId="0" borderId="10" xfId="0" applyFont="1" applyBorder="1"/>
    <xf numFmtId="0" fontId="28" fillId="0" borderId="0" xfId="0" applyFont="1"/>
    <xf numFmtId="0" fontId="46" fillId="0" borderId="28" xfId="0" applyFont="1" applyBorder="1" applyAlignment="1">
      <alignment horizontal="center" wrapText="1"/>
    </xf>
    <xf numFmtId="0" fontId="18" fillId="0" borderId="39" xfId="0" applyFont="1" applyBorder="1" applyAlignment="1">
      <alignment horizontal="center"/>
    </xf>
    <xf numFmtId="43" fontId="11" fillId="0" borderId="1" xfId="379" applyFont="1" applyFill="1" applyBorder="1"/>
    <xf numFmtId="167" fontId="11" fillId="0" borderId="26" xfId="0" applyNumberFormat="1" applyFont="1" applyBorder="1"/>
    <xf numFmtId="1" fontId="11" fillId="33" borderId="21" xfId="0" applyNumberFormat="1" applyFont="1" applyFill="1" applyBorder="1" applyAlignment="1">
      <alignment horizontal="center"/>
    </xf>
    <xf numFmtId="174" fontId="27" fillId="0" borderId="0" xfId="524" applyNumberFormat="1"/>
    <xf numFmtId="175" fontId="27" fillId="0" borderId="0" xfId="524" applyNumberFormat="1"/>
    <xf numFmtId="0" fontId="11" fillId="0" borderId="66" xfId="521" applyFont="1" applyBorder="1"/>
    <xf numFmtId="0" fontId="11" fillId="0" borderId="55" xfId="521" applyFont="1" applyBorder="1"/>
    <xf numFmtId="0" fontId="11" fillId="0" borderId="21" xfId="521" applyFont="1" applyBorder="1"/>
    <xf numFmtId="49" fontId="11" fillId="0" borderId="21" xfId="521" applyNumberFormat="1" applyFont="1" applyBorder="1"/>
    <xf numFmtId="0" fontId="11" fillId="0" borderId="17" xfId="521" applyFont="1" applyBorder="1"/>
    <xf numFmtId="0" fontId="11" fillId="0" borderId="22" xfId="521" applyFont="1" applyBorder="1"/>
    <xf numFmtId="176" fontId="27" fillId="0" borderId="0" xfId="379" applyNumberFormat="1" applyFont="1"/>
    <xf numFmtId="0" fontId="17" fillId="0" borderId="2" xfId="0" quotePrefix="1" applyFont="1" applyBorder="1" applyAlignment="1">
      <alignment horizontal="center" vertical="center" wrapText="1"/>
    </xf>
    <xf numFmtId="171" fontId="11" fillId="0" borderId="0" xfId="379" applyNumberFormat="1" applyFont="1" applyFill="1" applyBorder="1" applyAlignment="1">
      <alignment horizontal="center"/>
    </xf>
    <xf numFmtId="171" fontId="44" fillId="0" borderId="0" xfId="379" applyNumberFormat="1" applyFont="1" applyFill="1" applyBorder="1" applyAlignment="1">
      <alignment horizontal="center"/>
    </xf>
    <xf numFmtId="170" fontId="11" fillId="0" borderId="0" xfId="379" applyNumberFormat="1" applyFont="1" applyAlignment="1">
      <alignment horizontal="center"/>
    </xf>
    <xf numFmtId="170" fontId="11" fillId="0" borderId="0" xfId="379" applyNumberFormat="1" applyFont="1"/>
    <xf numFmtId="167" fontId="11" fillId="0" borderId="52" xfId="0" applyNumberFormat="1" applyFont="1" applyBorder="1" applyAlignment="1">
      <alignment horizontal="center"/>
    </xf>
    <xf numFmtId="170" fontId="11" fillId="0" borderId="2" xfId="379" applyNumberFormat="1" applyFont="1" applyBorder="1"/>
    <xf numFmtId="0" fontId="11" fillId="0" borderId="8" xfId="0" applyFont="1" applyBorder="1"/>
    <xf numFmtId="0" fontId="18" fillId="0" borderId="1" xfId="0" applyFont="1" applyBorder="1" applyAlignment="1" applyProtection="1">
      <alignment horizontal="center" wrapText="1"/>
      <protection locked="0"/>
    </xf>
    <xf numFmtId="0" fontId="11" fillId="0" borderId="0" xfId="0" applyFont="1" applyProtection="1">
      <protection locked="0"/>
    </xf>
    <xf numFmtId="0" fontId="11" fillId="0" borderId="0" xfId="0" applyFont="1" applyAlignment="1" applyProtection="1">
      <alignment horizontal="center"/>
      <protection locked="0"/>
    </xf>
    <xf numFmtId="0" fontId="26" fillId="0" borderId="0" xfId="0" applyFont="1" applyAlignment="1" applyProtection="1">
      <alignment horizontal="left"/>
      <protection locked="0"/>
    </xf>
    <xf numFmtId="0" fontId="11" fillId="0" borderId="1" xfId="0" applyFont="1" applyBorder="1" applyAlignment="1" applyProtection="1">
      <alignment horizontal="center"/>
      <protection locked="0"/>
    </xf>
    <xf numFmtId="49" fontId="11" fillId="0" borderId="1" xfId="0" applyNumberFormat="1" applyFont="1" applyBorder="1" applyAlignment="1" applyProtection="1">
      <alignment horizontal="center"/>
      <protection locked="0"/>
    </xf>
    <xf numFmtId="17" fontId="11" fillId="0" borderId="0" xfId="0" applyNumberFormat="1" applyFont="1" applyAlignment="1" applyProtection="1">
      <alignment horizontal="center"/>
      <protection locked="0"/>
    </xf>
    <xf numFmtId="49" fontId="11" fillId="0" borderId="1" xfId="0" applyNumberFormat="1" applyFont="1" applyBorder="1" applyAlignment="1" applyProtection="1">
      <alignment horizontal="center" wrapText="1"/>
      <protection locked="0"/>
    </xf>
    <xf numFmtId="0" fontId="18" fillId="33" borderId="1" xfId="0" applyFont="1" applyFill="1" applyBorder="1" applyAlignment="1" applyProtection="1">
      <alignment horizontal="center" wrapText="1"/>
      <protection locked="0"/>
    </xf>
    <xf numFmtId="0" fontId="58" fillId="0" borderId="0" xfId="0" applyFont="1" applyAlignment="1" applyProtection="1">
      <alignment horizontal="center"/>
      <protection locked="0"/>
    </xf>
    <xf numFmtId="0" fontId="57" fillId="0" borderId="0" xfId="0" applyFont="1" applyAlignment="1" applyProtection="1">
      <alignment horizontal="center"/>
      <protection locked="0"/>
    </xf>
    <xf numFmtId="0" fontId="57" fillId="0" borderId="1" xfId="0" applyFont="1" applyBorder="1" applyAlignment="1" applyProtection="1">
      <alignment horizontal="center"/>
      <protection locked="0"/>
    </xf>
    <xf numFmtId="167" fontId="11" fillId="0" borderId="30" xfId="0" applyNumberFormat="1" applyFont="1" applyBorder="1" applyAlignment="1">
      <alignment horizontal="center"/>
    </xf>
    <xf numFmtId="167" fontId="11" fillId="0" borderId="29" xfId="0" applyNumberFormat="1" applyFont="1" applyBorder="1" applyAlignment="1">
      <alignment horizontal="center"/>
    </xf>
    <xf numFmtId="0" fontId="0" fillId="0" borderId="0" xfId="0" applyProtection="1">
      <protection locked="0"/>
    </xf>
    <xf numFmtId="0" fontId="54" fillId="0" borderId="0" xfId="0" applyFont="1" applyAlignment="1" applyProtection="1">
      <alignment horizontal="left" vertical="center"/>
      <protection locked="0"/>
    </xf>
    <xf numFmtId="0" fontId="11" fillId="0" borderId="1" xfId="0" applyFont="1" applyBorder="1" applyProtection="1">
      <protection locked="0"/>
    </xf>
    <xf numFmtId="43" fontId="11" fillId="0" borderId="1" xfId="379" applyFont="1" applyFill="1" applyBorder="1" applyProtection="1">
      <protection locked="0"/>
    </xf>
    <xf numFmtId="0" fontId="15" fillId="0" borderId="0" xfId="0" applyFont="1" applyProtection="1">
      <protection locked="0"/>
    </xf>
    <xf numFmtId="43" fontId="11" fillId="0" borderId="1" xfId="379" applyFont="1" applyBorder="1" applyAlignment="1" applyProtection="1">
      <alignment horizontal="center"/>
      <protection locked="0"/>
    </xf>
    <xf numFmtId="10" fontId="11" fillId="0" borderId="1" xfId="557" applyNumberFormat="1" applyFont="1" applyBorder="1" applyAlignment="1" applyProtection="1">
      <alignment horizontal="center"/>
      <protection locked="0"/>
    </xf>
    <xf numFmtId="0" fontId="19" fillId="0" borderId="0" xfId="0" applyFont="1" applyAlignment="1" applyProtection="1">
      <alignment horizontal="center"/>
      <protection locked="0"/>
    </xf>
    <xf numFmtId="0" fontId="19" fillId="0" borderId="0" xfId="0" quotePrefix="1" applyFont="1" applyAlignment="1" applyProtection="1">
      <alignment horizontal="center"/>
      <protection locked="0"/>
    </xf>
    <xf numFmtId="9" fontId="11" fillId="0" borderId="0" xfId="557" applyFont="1" applyProtection="1">
      <protection locked="0"/>
    </xf>
    <xf numFmtId="0" fontId="18" fillId="0" borderId="0" xfId="0" applyFont="1" applyProtection="1">
      <protection locked="0"/>
    </xf>
    <xf numFmtId="10" fontId="18" fillId="0" borderId="0" xfId="0" applyNumberFormat="1" applyFont="1" applyAlignment="1" applyProtection="1">
      <alignment horizontal="center"/>
      <protection locked="0"/>
    </xf>
    <xf numFmtId="0" fontId="20" fillId="0" borderId="0" xfId="0" applyFont="1" applyAlignment="1" applyProtection="1">
      <alignment horizontal="left" indent="1"/>
      <protection locked="0"/>
    </xf>
    <xf numFmtId="17" fontId="11" fillId="0" borderId="0" xfId="0" applyNumberFormat="1" applyFont="1" applyProtection="1">
      <protection locked="0"/>
    </xf>
    <xf numFmtId="173" fontId="11" fillId="0" borderId="0" xfId="379" applyNumberFormat="1" applyFont="1" applyBorder="1" applyProtection="1">
      <protection locked="0"/>
    </xf>
    <xf numFmtId="9" fontId="11" fillId="0" borderId="0" xfId="0" applyNumberFormat="1" applyFont="1" applyProtection="1">
      <protection locked="0"/>
    </xf>
    <xf numFmtId="3" fontId="11" fillId="0" borderId="0" xfId="0" applyNumberFormat="1" applyFont="1"/>
    <xf numFmtId="0" fontId="18" fillId="0" borderId="19" xfId="0" applyFont="1" applyBorder="1" applyAlignment="1">
      <alignment horizontal="center"/>
    </xf>
    <xf numFmtId="3" fontId="44" fillId="0" borderId="50" xfId="0" applyNumberFormat="1" applyFont="1" applyBorder="1" applyAlignment="1">
      <alignment horizontal="center" vertical="center" wrapText="1"/>
    </xf>
    <xf numFmtId="0" fontId="46" fillId="0" borderId="23" xfId="0" applyFont="1" applyBorder="1" applyAlignment="1">
      <alignment horizontal="center" vertical="center" wrapText="1"/>
    </xf>
    <xf numFmtId="0" fontId="11" fillId="0" borderId="39" xfId="0" applyFont="1" applyBorder="1" applyAlignment="1">
      <alignment horizontal="left"/>
    </xf>
    <xf numFmtId="2" fontId="44" fillId="0" borderId="42" xfId="0" applyNumberFormat="1" applyFont="1" applyBorder="1" applyAlignment="1">
      <alignment horizontal="center"/>
    </xf>
    <xf numFmtId="0" fontId="11" fillId="0" borderId="66" xfId="0" applyFont="1" applyBorder="1" applyAlignment="1">
      <alignment horizontal="left"/>
    </xf>
    <xf numFmtId="0" fontId="11" fillId="0" borderId="26" xfId="0" applyFont="1" applyBorder="1" applyAlignment="1">
      <alignment horizontal="center"/>
    </xf>
    <xf numFmtId="0" fontId="18" fillId="36" borderId="72" xfId="0" applyFont="1" applyFill="1" applyBorder="1" applyAlignment="1">
      <alignment horizontal="center"/>
    </xf>
    <xf numFmtId="0" fontId="18" fillId="36" borderId="73" xfId="0" applyFont="1" applyFill="1" applyBorder="1" applyAlignment="1">
      <alignment horizontal="center"/>
    </xf>
    <xf numFmtId="49" fontId="11" fillId="36" borderId="71" xfId="0" applyNumberFormat="1" applyFont="1" applyFill="1" applyBorder="1" applyAlignment="1">
      <alignment wrapText="1"/>
    </xf>
    <xf numFmtId="167" fontId="11" fillId="0" borderId="10" xfId="0" applyNumberFormat="1" applyFont="1" applyBorder="1" applyAlignment="1">
      <alignment horizontal="center"/>
    </xf>
    <xf numFmtId="170" fontId="11" fillId="0" borderId="26" xfId="379" applyNumberFormat="1" applyFont="1" applyBorder="1"/>
    <xf numFmtId="170" fontId="11" fillId="0" borderId="1" xfId="379" applyNumberFormat="1" applyFont="1" applyBorder="1" applyAlignment="1">
      <alignment horizontal="center"/>
    </xf>
    <xf numFmtId="170" fontId="11" fillId="0" borderId="10" xfId="379" applyNumberFormat="1" applyFont="1" applyFill="1" applyBorder="1" applyAlignment="1">
      <alignment horizontal="center"/>
    </xf>
    <xf numFmtId="170" fontId="17" fillId="0" borderId="1" xfId="379" applyNumberFormat="1" applyFont="1" applyBorder="1" applyAlignment="1">
      <alignment horizontal="center"/>
    </xf>
    <xf numFmtId="170" fontId="11" fillId="33" borderId="1" xfId="379" applyNumberFormat="1" applyFont="1" applyFill="1" applyBorder="1" applyAlignment="1">
      <alignment horizontal="center"/>
    </xf>
    <xf numFmtId="170" fontId="11" fillId="33" borderId="10" xfId="379" applyNumberFormat="1" applyFont="1" applyFill="1" applyBorder="1" applyAlignment="1">
      <alignment horizontal="center"/>
    </xf>
    <xf numFmtId="170" fontId="11" fillId="0" borderId="0" xfId="0" applyNumberFormat="1" applyFont="1"/>
    <xf numFmtId="0" fontId="11" fillId="0" borderId="70" xfId="0" applyFont="1" applyBorder="1" applyAlignment="1">
      <alignment horizontal="center"/>
    </xf>
    <xf numFmtId="0" fontId="0" fillId="0" borderId="68" xfId="0" applyBorder="1"/>
    <xf numFmtId="0" fontId="66" fillId="0" borderId="0" xfId="0" applyFont="1"/>
    <xf numFmtId="0" fontId="67" fillId="0" borderId="50" xfId="0" applyFont="1" applyBorder="1"/>
    <xf numFmtId="0" fontId="67" fillId="0" borderId="54" xfId="0" applyFont="1" applyBorder="1"/>
    <xf numFmtId="3" fontId="46" fillId="0" borderId="28" xfId="0" applyNumberFormat="1" applyFont="1" applyBorder="1" applyAlignment="1">
      <alignment horizontal="center" vertical="center" wrapText="1"/>
    </xf>
    <xf numFmtId="0" fontId="11" fillId="0" borderId="74" xfId="0" applyFont="1" applyBorder="1"/>
    <xf numFmtId="2" fontId="11" fillId="0" borderId="0" xfId="379" applyNumberFormat="1" applyFont="1" applyFill="1" applyBorder="1" applyAlignment="1" applyProtection="1">
      <alignment horizontal="center"/>
      <protection locked="0"/>
    </xf>
    <xf numFmtId="0" fontId="18" fillId="0" borderId="0" xfId="0" applyFont="1" applyAlignment="1" applyProtection="1">
      <alignment horizontal="center" vertical="center"/>
      <protection locked="0"/>
    </xf>
    <xf numFmtId="0" fontId="57" fillId="0" borderId="1" xfId="0" applyFont="1" applyBorder="1" applyAlignment="1">
      <alignment horizontal="center"/>
    </xf>
    <xf numFmtId="169" fontId="17" fillId="0" borderId="52" xfId="0" applyNumberFormat="1" applyFont="1" applyBorder="1" applyAlignment="1">
      <alignment horizontal="center" vertical="center" wrapText="1"/>
    </xf>
    <xf numFmtId="0" fontId="57" fillId="0" borderId="15" xfId="0" applyFont="1" applyBorder="1"/>
    <xf numFmtId="0" fontId="57" fillId="0" borderId="16" xfId="0" applyFont="1" applyBorder="1"/>
    <xf numFmtId="0" fontId="11" fillId="0" borderId="0" xfId="0" applyFont="1" applyAlignment="1">
      <alignment horizontal="center" wrapText="1"/>
    </xf>
    <xf numFmtId="0" fontId="83" fillId="0" borderId="0" xfId="0" applyFont="1" applyAlignment="1">
      <alignment horizontal="left"/>
    </xf>
    <xf numFmtId="172" fontId="11" fillId="0" borderId="0" xfId="383" applyNumberFormat="1" applyFont="1" applyFill="1" applyBorder="1" applyAlignment="1"/>
    <xf numFmtId="0" fontId="57" fillId="0" borderId="39" xfId="0" applyFont="1" applyBorder="1" applyAlignment="1">
      <alignment horizontal="center" wrapText="1"/>
    </xf>
    <xf numFmtId="0" fontId="57" fillId="0" borderId="42" xfId="0" applyFont="1" applyBorder="1" applyAlignment="1">
      <alignment horizontal="center" wrapText="1"/>
    </xf>
    <xf numFmtId="3" fontId="57" fillId="0" borderId="30" xfId="0" applyNumberFormat="1" applyFont="1" applyBorder="1" applyAlignment="1">
      <alignment horizontal="center" vertical="center" wrapText="1"/>
    </xf>
    <xf numFmtId="3" fontId="57" fillId="0" borderId="8" xfId="0" applyNumberFormat="1" applyFont="1" applyBorder="1" applyAlignment="1">
      <alignment horizontal="center" vertical="center" wrapText="1"/>
    </xf>
    <xf numFmtId="0" fontId="57" fillId="0" borderId="51" xfId="0" applyFont="1" applyBorder="1"/>
    <xf numFmtId="0" fontId="57" fillId="0" borderId="67" xfId="0" applyFont="1" applyBorder="1"/>
    <xf numFmtId="3" fontId="57" fillId="0" borderId="55" xfId="0" applyNumberFormat="1" applyFont="1" applyBorder="1" applyAlignment="1">
      <alignment horizontal="center" vertical="center" wrapText="1"/>
    </xf>
    <xf numFmtId="3" fontId="57" fillId="0" borderId="21" xfId="0" applyNumberFormat="1" applyFont="1" applyBorder="1" applyAlignment="1">
      <alignment horizontal="center" vertical="center" wrapText="1"/>
    </xf>
    <xf numFmtId="3" fontId="57" fillId="0" borderId="22" xfId="0" applyNumberFormat="1" applyFont="1" applyBorder="1" applyAlignment="1">
      <alignment horizontal="center" vertical="center" wrapText="1"/>
    </xf>
    <xf numFmtId="49" fontId="57" fillId="0" borderId="1" xfId="0" applyNumberFormat="1" applyFont="1" applyBorder="1" applyAlignment="1">
      <alignment horizontal="center"/>
    </xf>
    <xf numFmtId="0" fontId="46" fillId="0" borderId="50" xfId="0" applyFont="1" applyBorder="1" applyAlignment="1">
      <alignment horizontal="center" vertical="center" wrapText="1"/>
    </xf>
    <xf numFmtId="3" fontId="17" fillId="0" borderId="50" xfId="0" applyNumberFormat="1" applyFont="1" applyBorder="1" applyAlignment="1">
      <alignment horizontal="center" vertical="center" wrapText="1"/>
    </xf>
    <xf numFmtId="0" fontId="11" fillId="0" borderId="56" xfId="0" applyFont="1" applyBorder="1" applyAlignment="1">
      <alignment horizontal="center"/>
    </xf>
    <xf numFmtId="49" fontId="57" fillId="0" borderId="55" xfId="0" applyNumberFormat="1" applyFont="1" applyBorder="1" applyAlignment="1">
      <alignment horizontal="center"/>
    </xf>
    <xf numFmtId="49" fontId="57" fillId="0" borderId="21" xfId="0" applyNumberFormat="1" applyFont="1" applyBorder="1" applyAlignment="1">
      <alignment horizontal="center"/>
    </xf>
    <xf numFmtId="49" fontId="57" fillId="0" borderId="17" xfId="0" applyNumberFormat="1" applyFont="1" applyBorder="1" applyAlignment="1">
      <alignment horizontal="center"/>
    </xf>
    <xf numFmtId="0" fontId="55" fillId="0" borderId="37" xfId="636" applyFont="1" applyBorder="1" applyAlignment="1">
      <alignment horizontal="center" vertical="center" wrapText="1"/>
    </xf>
    <xf numFmtId="43" fontId="17" fillId="0" borderId="1" xfId="379" applyFont="1" applyBorder="1" applyAlignment="1">
      <alignment horizontal="center" vertical="center" wrapText="1"/>
    </xf>
    <xf numFmtId="0" fontId="46" fillId="0" borderId="13" xfId="0" applyFont="1" applyBorder="1" applyAlignment="1">
      <alignment horizontal="center" vertical="center" wrapText="1"/>
    </xf>
    <xf numFmtId="1" fontId="11" fillId="0" borderId="10" xfId="0" applyNumberFormat="1" applyFont="1" applyBorder="1" applyAlignment="1">
      <alignment horizontal="center"/>
    </xf>
    <xf numFmtId="3" fontId="57" fillId="0" borderId="56" xfId="0" applyNumberFormat="1" applyFont="1" applyBorder="1" applyAlignment="1">
      <alignment horizontal="center" vertical="center" wrapText="1"/>
    </xf>
    <xf numFmtId="3" fontId="57" fillId="0" borderId="50" xfId="0" applyNumberFormat="1" applyFont="1" applyBorder="1" applyAlignment="1">
      <alignment horizontal="center" vertical="center" wrapText="1"/>
    </xf>
    <xf numFmtId="173" fontId="11" fillId="0" borderId="8" xfId="379" applyNumberFormat="1" applyFont="1" applyFill="1" applyBorder="1" applyAlignment="1"/>
    <xf numFmtId="43" fontId="11" fillId="0" borderId="1" xfId="0" applyNumberFormat="1" applyFont="1" applyBorder="1" applyAlignment="1">
      <alignment horizontal="center"/>
    </xf>
    <xf numFmtId="170" fontId="11" fillId="0" borderId="8" xfId="379" applyNumberFormat="1" applyFont="1" applyBorder="1" applyAlignment="1">
      <alignment horizontal="center"/>
    </xf>
    <xf numFmtId="170" fontId="11" fillId="0" borderId="11" xfId="379" applyNumberFormat="1" applyFont="1" applyBorder="1" applyAlignment="1">
      <alignment horizontal="center"/>
    </xf>
    <xf numFmtId="0" fontId="11" fillId="0" borderId="19"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176" fontId="11" fillId="0" borderId="50" xfId="0" applyNumberFormat="1" applyFont="1" applyBorder="1" applyAlignment="1">
      <alignment horizontal="center"/>
    </xf>
    <xf numFmtId="176" fontId="11" fillId="0" borderId="56" xfId="0" applyNumberFormat="1" applyFont="1" applyBorder="1" applyAlignment="1">
      <alignment horizontal="center"/>
    </xf>
    <xf numFmtId="170" fontId="11" fillId="0" borderId="21" xfId="379" applyNumberFormat="1" applyFont="1" applyBorder="1" applyAlignment="1">
      <alignment horizontal="center"/>
    </xf>
    <xf numFmtId="170" fontId="11" fillId="0" borderId="22" xfId="379" applyNumberFormat="1" applyFont="1" applyBorder="1" applyAlignment="1">
      <alignment horizontal="center"/>
    </xf>
    <xf numFmtId="0" fontId="11" fillId="0" borderId="36" xfId="0" applyFont="1" applyBorder="1" applyAlignment="1">
      <alignment horizontal="center" wrapText="1"/>
    </xf>
    <xf numFmtId="0" fontId="86" fillId="0" borderId="0" xfId="0" applyFont="1" applyAlignment="1">
      <alignment horizontal="left"/>
    </xf>
    <xf numFmtId="1" fontId="46" fillId="0" borderId="2" xfId="0" applyNumberFormat="1" applyFont="1" applyBorder="1" applyAlignment="1">
      <alignment horizontal="center" vertical="center" wrapText="1"/>
    </xf>
    <xf numFmtId="0" fontId="46" fillId="0" borderId="19" xfId="0" applyFont="1" applyBorder="1" applyAlignment="1">
      <alignment horizontal="center" vertical="center" wrapText="1"/>
    </xf>
    <xf numFmtId="0" fontId="46" fillId="0" borderId="12" xfId="0" applyFont="1" applyBorder="1" applyAlignment="1">
      <alignment horizontal="center" vertical="center" wrapText="1"/>
    </xf>
    <xf numFmtId="0" fontId="87" fillId="0" borderId="80" xfId="0" applyFont="1" applyBorder="1"/>
    <xf numFmtId="0" fontId="87" fillId="0" borderId="81" xfId="0" quotePrefix="1" applyFont="1" applyBorder="1"/>
    <xf numFmtId="0" fontId="87" fillId="0" borderId="81" xfId="0" applyFont="1" applyBorder="1"/>
    <xf numFmtId="0" fontId="67" fillId="0" borderId="81" xfId="0" applyFont="1" applyBorder="1"/>
    <xf numFmtId="0" fontId="67" fillId="0" borderId="17" xfId="0" applyFont="1" applyBorder="1"/>
    <xf numFmtId="0" fontId="87" fillId="0" borderId="82" xfId="0" applyFont="1" applyBorder="1"/>
    <xf numFmtId="0" fontId="87" fillId="0" borderId="0" xfId="0" quotePrefix="1" applyFont="1"/>
    <xf numFmtId="0" fontId="87" fillId="0" borderId="0" xfId="0" applyFont="1"/>
    <xf numFmtId="0" fontId="67" fillId="0" borderId="0" xfId="0" applyFont="1"/>
    <xf numFmtId="0" fontId="67" fillId="0" borderId="68" xfId="0" applyFont="1" applyBorder="1"/>
    <xf numFmtId="0" fontId="87" fillId="0" borderId="54" xfId="0" applyFont="1" applyBorder="1"/>
    <xf numFmtId="0" fontId="87" fillId="0" borderId="70" xfId="0" quotePrefix="1" applyFont="1" applyBorder="1"/>
    <xf numFmtId="0" fontId="87" fillId="0" borderId="70" xfId="0" applyFont="1" applyBorder="1"/>
    <xf numFmtId="0" fontId="67" fillId="0" borderId="70" xfId="0" applyFont="1" applyBorder="1"/>
    <xf numFmtId="0" fontId="67" fillId="0" borderId="55" xfId="0" applyFont="1" applyBorder="1"/>
    <xf numFmtId="0" fontId="55" fillId="0" borderId="36" xfId="636" applyFont="1" applyBorder="1" applyAlignment="1">
      <alignment horizontal="center" vertical="center" wrapText="1"/>
    </xf>
    <xf numFmtId="43" fontId="46" fillId="0" borderId="50" xfId="379" applyFont="1" applyBorder="1" applyAlignment="1">
      <alignment horizontal="center" vertical="center" wrapText="1"/>
    </xf>
    <xf numFmtId="172" fontId="11" fillId="0" borderId="8" xfId="383" applyNumberFormat="1" applyFont="1" applyFill="1" applyBorder="1" applyAlignment="1"/>
    <xf numFmtId="43" fontId="11" fillId="0" borderId="10" xfId="0" applyNumberFormat="1" applyFont="1" applyBorder="1" applyAlignment="1">
      <alignment horizontal="center"/>
    </xf>
    <xf numFmtId="176" fontId="46" fillId="0" borderId="1" xfId="379" applyNumberFormat="1" applyFont="1" applyBorder="1" applyAlignment="1">
      <alignment horizontal="center" vertical="center" wrapText="1"/>
    </xf>
    <xf numFmtId="0" fontId="55" fillId="0" borderId="35" xfId="636" applyFont="1" applyBorder="1" applyAlignment="1">
      <alignment horizontal="center" vertical="center" wrapText="1"/>
    </xf>
    <xf numFmtId="172" fontId="11" fillId="0" borderId="11" xfId="383" applyNumberFormat="1" applyFont="1" applyFill="1" applyBorder="1" applyAlignment="1"/>
    <xf numFmtId="177" fontId="17" fillId="0" borderId="1" xfId="0" applyNumberFormat="1" applyFont="1" applyBorder="1" applyAlignment="1">
      <alignment horizontal="center" vertical="center" wrapText="1"/>
    </xf>
    <xf numFmtId="176" fontId="17" fillId="0" borderId="1" xfId="379" applyNumberFormat="1" applyFont="1" applyBorder="1" applyAlignment="1">
      <alignment horizontal="center" vertical="center" wrapText="1"/>
    </xf>
    <xf numFmtId="10" fontId="11" fillId="0" borderId="0" xfId="559" applyNumberFormat="1" applyFont="1" applyBorder="1"/>
    <xf numFmtId="0" fontId="43" fillId="0" borderId="0" xfId="524" applyFont="1" applyAlignment="1">
      <alignment vertical="top" wrapText="1"/>
    </xf>
    <xf numFmtId="0" fontId="52" fillId="0" borderId="0" xfId="524" applyFont="1" applyAlignment="1">
      <alignment vertical="top" wrapText="1"/>
    </xf>
    <xf numFmtId="170" fontId="11" fillId="0" borderId="30" xfId="379" applyNumberFormat="1" applyFont="1" applyFill="1" applyBorder="1" applyAlignment="1">
      <alignment horizontal="center"/>
    </xf>
    <xf numFmtId="170" fontId="11" fillId="0" borderId="8" xfId="379" applyNumberFormat="1" applyFont="1" applyFill="1" applyBorder="1" applyAlignment="1">
      <alignment horizontal="center"/>
    </xf>
    <xf numFmtId="170" fontId="11" fillId="0" borderId="33" xfId="379" applyNumberFormat="1" applyFont="1" applyFill="1" applyBorder="1" applyAlignment="1">
      <alignment horizontal="center"/>
    </xf>
    <xf numFmtId="170" fontId="11" fillId="0" borderId="44" xfId="379" applyNumberFormat="1" applyFont="1" applyFill="1" applyBorder="1" applyAlignment="1">
      <alignment horizontal="center"/>
    </xf>
    <xf numFmtId="170" fontId="44" fillId="0" borderId="44" xfId="379" applyNumberFormat="1" applyFont="1" applyFill="1" applyBorder="1" applyAlignment="1">
      <alignment horizontal="center"/>
    </xf>
    <xf numFmtId="170" fontId="18" fillId="0" borderId="44" xfId="379" applyNumberFormat="1" applyFont="1" applyFill="1" applyBorder="1" applyAlignment="1">
      <alignment horizontal="center"/>
    </xf>
    <xf numFmtId="170" fontId="18" fillId="0" borderId="18" xfId="379" applyNumberFormat="1" applyFont="1" applyFill="1" applyBorder="1" applyAlignment="1">
      <alignment horizontal="center"/>
    </xf>
    <xf numFmtId="170" fontId="18" fillId="0" borderId="10" xfId="379" applyNumberFormat="1" applyFont="1" applyFill="1" applyBorder="1" applyAlignment="1">
      <alignment horizontal="center"/>
    </xf>
    <xf numFmtId="170" fontId="18" fillId="0" borderId="11" xfId="379" applyNumberFormat="1" applyFont="1" applyFill="1" applyBorder="1" applyAlignment="1">
      <alignment horizontal="center"/>
    </xf>
    <xf numFmtId="170" fontId="11" fillId="0" borderId="9" xfId="379" applyNumberFormat="1" applyFont="1" applyBorder="1"/>
    <xf numFmtId="2" fontId="11" fillId="0" borderId="23" xfId="379" applyNumberFormat="1" applyFont="1" applyFill="1" applyBorder="1" applyAlignment="1" applyProtection="1">
      <alignment horizontal="center"/>
      <protection locked="0"/>
    </xf>
    <xf numFmtId="0" fontId="55" fillId="0" borderId="12" xfId="636" applyFont="1" applyBorder="1" applyAlignment="1">
      <alignment horizontal="center" vertical="center" wrapText="1"/>
    </xf>
    <xf numFmtId="0" fontId="55" fillId="0" borderId="13" xfId="636" applyFont="1" applyBorder="1" applyAlignment="1">
      <alignment horizontal="center" vertical="center" wrapText="1"/>
    </xf>
    <xf numFmtId="0" fontId="55" fillId="0" borderId="19" xfId="636" applyFont="1" applyBorder="1" applyAlignment="1">
      <alignment horizontal="center" vertical="center" wrapText="1"/>
    </xf>
    <xf numFmtId="0" fontId="18" fillId="0" borderId="17" xfId="0" applyFont="1" applyBorder="1"/>
    <xf numFmtId="0" fontId="18" fillId="0" borderId="22" xfId="0" applyFont="1" applyBorder="1"/>
    <xf numFmtId="170" fontId="11" fillId="0" borderId="1" xfId="379" applyNumberFormat="1" applyFont="1" applyFill="1" applyBorder="1" applyAlignment="1">
      <alignment horizontal="right"/>
    </xf>
    <xf numFmtId="170" fontId="44" fillId="0" borderId="1" xfId="379" applyNumberFormat="1" applyFont="1" applyFill="1" applyBorder="1" applyAlignment="1">
      <alignment horizontal="right"/>
    </xf>
    <xf numFmtId="170" fontId="44" fillId="0" borderId="8" xfId="379" applyNumberFormat="1" applyFont="1" applyFill="1" applyBorder="1" applyAlignment="1">
      <alignment horizontal="right"/>
    </xf>
    <xf numFmtId="170" fontId="11" fillId="0" borderId="44" xfId="379" applyNumberFormat="1" applyFont="1" applyFill="1" applyBorder="1" applyAlignment="1">
      <alignment horizontal="right"/>
    </xf>
    <xf numFmtId="170" fontId="44" fillId="0" borderId="44" xfId="379" applyNumberFormat="1" applyFont="1" applyFill="1" applyBorder="1" applyAlignment="1">
      <alignment horizontal="right"/>
    </xf>
    <xf numFmtId="170" fontId="44" fillId="0" borderId="18" xfId="379" applyNumberFormat="1" applyFont="1" applyFill="1" applyBorder="1" applyAlignment="1">
      <alignment horizontal="right"/>
    </xf>
    <xf numFmtId="170" fontId="18" fillId="0" borderId="44" xfId="379" applyNumberFormat="1" applyFont="1" applyFill="1" applyBorder="1" applyAlignment="1">
      <alignment horizontal="right"/>
    </xf>
    <xf numFmtId="170" fontId="18" fillId="0" borderId="18" xfId="379" applyNumberFormat="1" applyFont="1" applyFill="1" applyBorder="1" applyAlignment="1">
      <alignment horizontal="right"/>
    </xf>
    <xf numFmtId="43" fontId="18" fillId="0" borderId="44" xfId="379" applyFont="1" applyFill="1" applyBorder="1" applyAlignment="1">
      <alignment horizontal="right"/>
    </xf>
    <xf numFmtId="170" fontId="18" fillId="0" borderId="10" xfId="379" applyNumberFormat="1" applyFont="1" applyFill="1" applyBorder="1" applyAlignment="1">
      <alignment horizontal="right"/>
    </xf>
    <xf numFmtId="170" fontId="18" fillId="0" borderId="11" xfId="379" applyNumberFormat="1" applyFont="1" applyFill="1" applyBorder="1" applyAlignment="1">
      <alignment horizontal="right"/>
    </xf>
    <xf numFmtId="0" fontId="52" fillId="0" borderId="0" xfId="524" applyFont="1" applyAlignment="1">
      <alignment horizontal="center" vertical="center"/>
    </xf>
    <xf numFmtId="2" fontId="11" fillId="0" borderId="7" xfId="521" applyNumberFormat="1" applyFont="1" applyBorder="1"/>
    <xf numFmtId="2" fontId="11" fillId="0" borderId="2" xfId="521" applyNumberFormat="1" applyFont="1" applyBorder="1"/>
    <xf numFmtId="2" fontId="11" fillId="0" borderId="43" xfId="521" applyNumberFormat="1" applyFont="1" applyBorder="1"/>
    <xf numFmtId="49" fontId="11" fillId="0" borderId="42" xfId="521" applyNumberFormat="1" applyFont="1" applyBorder="1" applyAlignment="1">
      <alignment horizontal="center"/>
    </xf>
    <xf numFmtId="2" fontId="11" fillId="0" borderId="19" xfId="521" applyNumberFormat="1" applyFont="1" applyBorder="1"/>
    <xf numFmtId="0" fontId="11" fillId="0" borderId="20" xfId="521" applyFont="1" applyBorder="1"/>
    <xf numFmtId="0" fontId="11" fillId="0" borderId="12" xfId="521" applyFont="1" applyBorder="1" applyAlignment="1">
      <alignment horizontal="center"/>
    </xf>
    <xf numFmtId="170" fontId="11" fillId="0" borderId="18" xfId="379" applyNumberFormat="1" applyFont="1" applyFill="1" applyBorder="1" applyAlignment="1">
      <alignment horizontal="center"/>
    </xf>
    <xf numFmtId="170" fontId="27" fillId="0" borderId="12" xfId="379" applyNumberFormat="1" applyFont="1" applyBorder="1"/>
    <xf numFmtId="170" fontId="27" fillId="0" borderId="13" xfId="379" applyNumberFormat="1" applyFont="1" applyBorder="1"/>
    <xf numFmtId="170" fontId="27" fillId="0" borderId="1" xfId="379" applyNumberFormat="1" applyFont="1" applyBorder="1"/>
    <xf numFmtId="170" fontId="27" fillId="0" borderId="8" xfId="379" applyNumberFormat="1" applyFont="1" applyBorder="1"/>
    <xf numFmtId="170" fontId="11" fillId="0" borderId="11" xfId="379" applyNumberFormat="1" applyFont="1" applyFill="1" applyBorder="1" applyAlignment="1">
      <alignment horizontal="center"/>
    </xf>
    <xf numFmtId="3" fontId="11" fillId="0" borderId="1" xfId="558" applyNumberFormat="1" applyFont="1" applyFill="1" applyBorder="1" applyAlignment="1">
      <alignment horizontal="center"/>
    </xf>
    <xf numFmtId="3" fontId="11" fillId="0" borderId="1" xfId="379" applyNumberFormat="1" applyFont="1" applyFill="1" applyBorder="1" applyAlignment="1">
      <alignment horizontal="center"/>
    </xf>
    <xf numFmtId="3" fontId="11" fillId="0" borderId="10" xfId="558" applyNumberFormat="1" applyFont="1" applyFill="1" applyBorder="1" applyAlignment="1">
      <alignment horizontal="center"/>
    </xf>
    <xf numFmtId="0" fontId="11" fillId="0" borderId="36" xfId="521" applyFont="1" applyBorder="1" applyAlignment="1">
      <alignment horizontal="center" wrapText="1"/>
    </xf>
    <xf numFmtId="10" fontId="11" fillId="0" borderId="19" xfId="558" applyNumberFormat="1" applyFont="1" applyFill="1" applyBorder="1" applyAlignment="1">
      <alignment horizontal="center"/>
    </xf>
    <xf numFmtId="3" fontId="11" fillId="0" borderId="12" xfId="379" applyNumberFormat="1" applyFont="1" applyFill="1" applyBorder="1" applyAlignment="1">
      <alignment horizontal="center"/>
    </xf>
    <xf numFmtId="3" fontId="11" fillId="0" borderId="13" xfId="0" applyNumberFormat="1" applyFont="1" applyBorder="1"/>
    <xf numFmtId="3" fontId="11" fillId="0" borderId="8" xfId="0" applyNumberFormat="1" applyFont="1" applyBorder="1"/>
    <xf numFmtId="0" fontId="11" fillId="0" borderId="37" xfId="521" applyFont="1" applyBorder="1" applyAlignment="1">
      <alignment horizontal="center" wrapText="1"/>
    </xf>
    <xf numFmtId="3" fontId="44" fillId="0" borderId="19" xfId="521" applyNumberFormat="1" applyFont="1" applyBorder="1" applyAlignment="1">
      <alignment horizontal="center"/>
    </xf>
    <xf numFmtId="3" fontId="44" fillId="0" borderId="2" xfId="521" applyNumberFormat="1" applyFont="1" applyBorder="1" applyAlignment="1">
      <alignment horizontal="center"/>
    </xf>
    <xf numFmtId="3" fontId="44" fillId="0" borderId="9" xfId="521" applyNumberFormat="1" applyFont="1" applyBorder="1" applyAlignment="1">
      <alignment horizontal="center"/>
    </xf>
    <xf numFmtId="170" fontId="11" fillId="33" borderId="12" xfId="379" applyNumberFormat="1" applyFont="1" applyFill="1" applyBorder="1"/>
    <xf numFmtId="170" fontId="11" fillId="33" borderId="1" xfId="379" applyNumberFormat="1" applyFont="1" applyFill="1" applyBorder="1"/>
    <xf numFmtId="43" fontId="106" fillId="65" borderId="4" xfId="379" applyFont="1" applyFill="1" applyBorder="1" applyAlignment="1">
      <alignment horizontal="center" vertical="center"/>
    </xf>
    <xf numFmtId="0" fontId="15" fillId="0" borderId="0" xfId="0" applyFont="1" applyAlignment="1">
      <alignment horizontal="center" vertical="center"/>
    </xf>
    <xf numFmtId="3" fontId="11" fillId="0" borderId="12" xfId="521" applyNumberFormat="1" applyFont="1" applyBorder="1" applyAlignment="1">
      <alignment horizontal="center"/>
    </xf>
    <xf numFmtId="0" fontId="11" fillId="0" borderId="35" xfId="521" applyFont="1" applyBorder="1" applyAlignment="1">
      <alignment horizontal="center" wrapText="1"/>
    </xf>
    <xf numFmtId="170" fontId="11" fillId="0" borderId="12" xfId="379" applyNumberFormat="1" applyFont="1" applyFill="1" applyBorder="1" applyAlignment="1">
      <alignment horizontal="center"/>
    </xf>
    <xf numFmtId="170" fontId="11" fillId="0" borderId="13" xfId="379" applyNumberFormat="1" applyFont="1" applyFill="1" applyBorder="1" applyAlignment="1">
      <alignment horizontal="center"/>
    </xf>
    <xf numFmtId="0" fontId="11" fillId="0" borderId="27" xfId="521" applyFont="1" applyBorder="1"/>
    <xf numFmtId="0" fontId="11" fillId="0" borderId="77" xfId="521" applyFont="1" applyBorder="1"/>
    <xf numFmtId="0" fontId="11" fillId="0" borderId="28" xfId="521" applyFont="1" applyBorder="1" applyAlignment="1">
      <alignment horizontal="center"/>
    </xf>
    <xf numFmtId="170" fontId="11" fillId="0" borderId="28" xfId="379" applyNumberFormat="1" applyFont="1" applyFill="1" applyBorder="1" applyAlignment="1">
      <alignment horizontal="center"/>
    </xf>
    <xf numFmtId="170" fontId="11" fillId="0" borderId="29" xfId="379" applyNumberFormat="1" applyFont="1" applyFill="1" applyBorder="1" applyAlignment="1">
      <alignment horizontal="center"/>
    </xf>
    <xf numFmtId="0" fontId="11" fillId="0" borderId="28" xfId="521" applyFont="1" applyBorder="1"/>
    <xf numFmtId="3" fontId="11" fillId="0" borderId="28" xfId="521" applyNumberFormat="1" applyFont="1" applyBorder="1" applyAlignment="1">
      <alignment horizontal="center"/>
    </xf>
    <xf numFmtId="10" fontId="11" fillId="0" borderId="27" xfId="558" applyNumberFormat="1" applyFont="1" applyFill="1" applyBorder="1" applyAlignment="1">
      <alignment horizontal="center"/>
    </xf>
    <xf numFmtId="3" fontId="11" fillId="0" borderId="76" xfId="379" applyNumberFormat="1" applyFont="1" applyFill="1" applyBorder="1" applyAlignment="1">
      <alignment horizontal="center"/>
    </xf>
    <xf numFmtId="3" fontId="11" fillId="0" borderId="29" xfId="379" applyNumberFormat="1" applyFont="1" applyFill="1" applyBorder="1" applyAlignment="1">
      <alignment horizontal="center"/>
    </xf>
    <xf numFmtId="0" fontId="11" fillId="33" borderId="10" xfId="0" applyFont="1" applyFill="1" applyBorder="1"/>
    <xf numFmtId="3" fontId="44" fillId="0" borderId="27" xfId="521" applyNumberFormat="1" applyFont="1" applyBorder="1" applyAlignment="1">
      <alignment horizontal="center"/>
    </xf>
    <xf numFmtId="3" fontId="11" fillId="0" borderId="29" xfId="521" applyNumberFormat="1" applyFont="1" applyBorder="1" applyAlignment="1">
      <alignment horizontal="center"/>
    </xf>
    <xf numFmtId="0" fontId="18" fillId="0" borderId="32" xfId="0" applyFont="1" applyBorder="1"/>
    <xf numFmtId="0" fontId="18" fillId="0" borderId="68" xfId="0" applyFont="1" applyBorder="1"/>
    <xf numFmtId="0" fontId="18" fillId="0" borderId="33" xfId="0" applyFont="1" applyBorder="1"/>
    <xf numFmtId="170" fontId="18" fillId="0" borderId="33" xfId="379" applyNumberFormat="1" applyFont="1" applyFill="1" applyBorder="1" applyAlignment="1">
      <alignment horizontal="right"/>
    </xf>
    <xf numFmtId="170" fontId="18" fillId="0" borderId="34" xfId="379" applyNumberFormat="1" applyFont="1" applyFill="1" applyBorder="1" applyAlignment="1">
      <alignment horizontal="right"/>
    </xf>
    <xf numFmtId="0" fontId="11" fillId="0" borderId="22" xfId="0" applyFont="1" applyBorder="1"/>
    <xf numFmtId="170" fontId="11" fillId="0" borderId="10" xfId="379" applyNumberFormat="1" applyFont="1" applyFill="1" applyBorder="1" applyAlignment="1">
      <alignment horizontal="right"/>
    </xf>
    <xf numFmtId="170" fontId="44" fillId="0" borderId="10" xfId="379" applyNumberFormat="1" applyFont="1" applyFill="1" applyBorder="1" applyAlignment="1">
      <alignment horizontal="right"/>
    </xf>
    <xf numFmtId="170" fontId="44" fillId="0" borderId="11" xfId="379" applyNumberFormat="1" applyFont="1" applyFill="1" applyBorder="1" applyAlignment="1">
      <alignment horizontal="right"/>
    </xf>
    <xf numFmtId="49" fontId="11" fillId="0" borderId="32" xfId="0" applyNumberFormat="1" applyFont="1" applyBorder="1"/>
    <xf numFmtId="0" fontId="11" fillId="0" borderId="33" xfId="0" applyFont="1" applyBorder="1"/>
    <xf numFmtId="43" fontId="44" fillId="0" borderId="33" xfId="379" applyFont="1" applyFill="1" applyBorder="1" applyAlignment="1">
      <alignment horizontal="center"/>
    </xf>
    <xf numFmtId="170" fontId="44" fillId="0" borderId="10" xfId="379" applyNumberFormat="1" applyFont="1" applyFill="1" applyBorder="1" applyAlignment="1">
      <alignment horizontal="center"/>
    </xf>
    <xf numFmtId="170" fontId="11" fillId="0" borderId="34" xfId="379" applyNumberFormat="1" applyFont="1" applyFill="1" applyBorder="1" applyAlignment="1">
      <alignment horizontal="center"/>
    </xf>
    <xf numFmtId="3" fontId="46" fillId="0" borderId="30" xfId="0" applyNumberFormat="1" applyFont="1" applyBorder="1" applyAlignment="1">
      <alignment horizontal="center" vertical="center" wrapText="1"/>
    </xf>
    <xf numFmtId="0" fontId="46" fillId="0" borderId="39" xfId="0" applyFont="1" applyBorder="1" applyAlignment="1">
      <alignment horizontal="center" vertical="center" wrapText="1"/>
    </xf>
    <xf numFmtId="0" fontId="46" fillId="0" borderId="26" xfId="0" applyFont="1" applyBorder="1" applyAlignment="1">
      <alignment horizontal="center" vertical="center" wrapText="1"/>
    </xf>
    <xf numFmtId="0" fontId="46" fillId="0" borderId="42" xfId="0" applyFont="1" applyBorder="1" applyAlignment="1">
      <alignment horizontal="center" vertical="center" wrapText="1"/>
    </xf>
    <xf numFmtId="9" fontId="46" fillId="0" borderId="8" xfId="557" applyFont="1" applyFill="1" applyBorder="1" applyAlignment="1">
      <alignment horizontal="center" vertical="center" wrapText="1"/>
    </xf>
    <xf numFmtId="9" fontId="44" fillId="0" borderId="8" xfId="557" applyFont="1" applyFill="1" applyBorder="1" applyAlignment="1">
      <alignment horizontal="center" vertical="center" wrapText="1"/>
    </xf>
    <xf numFmtId="9" fontId="44" fillId="0" borderId="11" xfId="557" applyFont="1" applyFill="1" applyBorder="1" applyAlignment="1">
      <alignment horizontal="center" vertical="center" wrapText="1"/>
    </xf>
    <xf numFmtId="0" fontId="55" fillId="0" borderId="20" xfId="636" applyFont="1" applyBorder="1" applyAlignment="1">
      <alignment horizontal="center" vertical="center" wrapText="1"/>
    </xf>
    <xf numFmtId="0" fontId="46" fillId="0" borderId="21" xfId="0" applyFont="1" applyBorder="1" applyAlignment="1">
      <alignment horizontal="center" vertical="center" wrapText="1"/>
    </xf>
    <xf numFmtId="0" fontId="44" fillId="0" borderId="21" xfId="0" applyFont="1" applyBorder="1" applyAlignment="1">
      <alignment horizontal="center" vertical="center" wrapText="1"/>
    </xf>
    <xf numFmtId="0" fontId="17" fillId="0" borderId="55" xfId="0" quotePrefix="1" applyFont="1" applyBorder="1" applyAlignment="1">
      <alignment horizontal="center" vertical="center" wrapText="1"/>
    </xf>
    <xf numFmtId="0" fontId="11" fillId="0" borderId="22" xfId="0" applyFont="1" applyBorder="1" applyAlignment="1">
      <alignment horizontal="center"/>
    </xf>
    <xf numFmtId="0" fontId="11" fillId="0" borderId="20" xfId="0" applyFont="1" applyBorder="1" applyAlignment="1">
      <alignment horizontal="center" wrapText="1"/>
    </xf>
    <xf numFmtId="49" fontId="11" fillId="0" borderId="21" xfId="0" applyNumberFormat="1" applyFont="1" applyBorder="1" applyAlignment="1">
      <alignment horizontal="center"/>
    </xf>
    <xf numFmtId="49" fontId="11" fillId="0" borderId="22" xfId="0" applyNumberFormat="1" applyFont="1" applyBorder="1" applyAlignment="1">
      <alignment horizontal="center"/>
    </xf>
    <xf numFmtId="0" fontId="17" fillId="0" borderId="21" xfId="0" quotePrefix="1" applyFont="1" applyBorder="1" applyAlignment="1">
      <alignment horizontal="center" vertical="center" wrapText="1"/>
    </xf>
    <xf numFmtId="3" fontId="44" fillId="0" borderId="23" xfId="0" applyNumberFormat="1" applyFont="1" applyBorder="1" applyAlignment="1">
      <alignment horizontal="center" vertical="center" wrapText="1"/>
    </xf>
    <xf numFmtId="0" fontId="67" fillId="0" borderId="50" xfId="0" applyFont="1" applyBorder="1" applyAlignment="1">
      <alignment horizontal="left"/>
    </xf>
    <xf numFmtId="0" fontId="107" fillId="0" borderId="0" xfId="0" applyFont="1" applyProtection="1">
      <protection locked="0"/>
    </xf>
    <xf numFmtId="0" fontId="67" fillId="0" borderId="1" xfId="860" applyFont="1" applyBorder="1"/>
    <xf numFmtId="49" fontId="11" fillId="36" borderId="112" xfId="0" applyNumberFormat="1" applyFont="1" applyFill="1" applyBorder="1" applyAlignment="1">
      <alignment wrapText="1"/>
    </xf>
    <xf numFmtId="0" fontId="18" fillId="36" borderId="113" xfId="0" applyFont="1" applyFill="1" applyBorder="1" applyAlignment="1">
      <alignment horizontal="center"/>
    </xf>
    <xf numFmtId="0" fontId="18" fillId="36" borderId="114" xfId="0" applyFont="1" applyFill="1" applyBorder="1" applyAlignment="1">
      <alignment horizontal="center"/>
    </xf>
    <xf numFmtId="0" fontId="63" fillId="0" borderId="0" xfId="0" applyFont="1" applyAlignment="1">
      <alignment vertical="center" wrapText="1"/>
    </xf>
    <xf numFmtId="170" fontId="46" fillId="0" borderId="23" xfId="379" applyNumberFormat="1" applyFont="1" applyBorder="1" applyAlignment="1">
      <alignment horizontal="right" vertical="center" wrapText="1"/>
    </xf>
    <xf numFmtId="170" fontId="46" fillId="0" borderId="30" xfId="379" applyNumberFormat="1" applyFont="1" applyBorder="1" applyAlignment="1">
      <alignment horizontal="right" vertical="center" wrapText="1"/>
    </xf>
    <xf numFmtId="170" fontId="11" fillId="0" borderId="8" xfId="379" applyNumberFormat="1" applyFont="1" applyFill="1" applyBorder="1" applyAlignment="1">
      <alignment horizontal="right"/>
    </xf>
    <xf numFmtId="170" fontId="46" fillId="0" borderId="1" xfId="379" applyNumberFormat="1" applyFont="1" applyBorder="1" applyAlignment="1">
      <alignment horizontal="right" vertical="center" wrapText="1"/>
    </xf>
    <xf numFmtId="170" fontId="46" fillId="0" borderId="8" xfId="379" applyNumberFormat="1" applyFont="1" applyBorder="1" applyAlignment="1">
      <alignment horizontal="right" vertical="center" wrapText="1"/>
    </xf>
    <xf numFmtId="0" fontId="15" fillId="0" borderId="0" xfId="0" applyFont="1"/>
    <xf numFmtId="170" fontId="11" fillId="0" borderId="28" xfId="379" applyNumberFormat="1" applyFont="1" applyBorder="1"/>
    <xf numFmtId="0" fontId="11" fillId="0" borderId="51" xfId="0" applyFont="1" applyBorder="1" applyAlignment="1">
      <alignment horizontal="center"/>
    </xf>
    <xf numFmtId="0" fontId="110" fillId="0" borderId="0" xfId="0" applyFont="1" applyAlignment="1" applyProtection="1">
      <alignment horizontal="right"/>
      <protection locked="0"/>
    </xf>
    <xf numFmtId="167" fontId="11" fillId="0" borderId="28" xfId="0" applyNumberFormat="1" applyFont="1" applyBorder="1"/>
    <xf numFmtId="17" fontId="11" fillId="65" borderId="23" xfId="0" applyNumberFormat="1" applyFont="1" applyFill="1" applyBorder="1" applyAlignment="1" applyProtection="1">
      <alignment horizontal="center"/>
      <protection locked="0"/>
    </xf>
    <xf numFmtId="3" fontId="11" fillId="33" borderId="2" xfId="0" applyNumberFormat="1" applyFont="1" applyFill="1" applyBorder="1" applyAlignment="1">
      <alignment horizontal="center"/>
    </xf>
    <xf numFmtId="3" fontId="11" fillId="33" borderId="1" xfId="379" applyNumberFormat="1" applyFont="1" applyFill="1" applyBorder="1" applyAlignment="1">
      <alignment horizontal="center"/>
    </xf>
    <xf numFmtId="3" fontId="11" fillId="33" borderId="23" xfId="379" applyNumberFormat="1" applyFont="1" applyFill="1" applyBorder="1" applyAlignment="1">
      <alignment horizontal="center" vertical="center"/>
    </xf>
    <xf numFmtId="2" fontId="11" fillId="33" borderId="23" xfId="379" applyNumberFormat="1" applyFont="1" applyFill="1" applyBorder="1" applyAlignment="1">
      <alignment horizontal="center"/>
    </xf>
    <xf numFmtId="2" fontId="11" fillId="33" borderId="1" xfId="379" applyNumberFormat="1" applyFont="1" applyFill="1" applyBorder="1" applyAlignment="1">
      <alignment horizontal="center"/>
    </xf>
    <xf numFmtId="43" fontId="11" fillId="0" borderId="1" xfId="379" applyFont="1" applyBorder="1" applyAlignment="1">
      <alignment horizontal="center"/>
    </xf>
    <xf numFmtId="10" fontId="11" fillId="0" borderId="1" xfId="933" applyNumberFormat="1" applyFont="1" applyBorder="1" applyAlignment="1">
      <alignment horizontal="center"/>
    </xf>
    <xf numFmtId="49" fontId="11" fillId="0" borderId="1" xfId="1413" applyNumberFormat="1" applyFont="1" applyBorder="1" applyAlignment="1">
      <alignment horizontal="center"/>
    </xf>
    <xf numFmtId="0" fontId="18" fillId="0" borderId="1" xfId="1413" applyFont="1" applyBorder="1" applyAlignment="1">
      <alignment horizontal="center"/>
    </xf>
    <xf numFmtId="0" fontId="18" fillId="0" borderId="1" xfId="521" applyFont="1" applyBorder="1" applyAlignment="1">
      <alignment horizontal="center"/>
    </xf>
    <xf numFmtId="3" fontId="44" fillId="33" borderId="8" xfId="0" applyNumberFormat="1" applyFont="1" applyFill="1" applyBorder="1" applyAlignment="1">
      <alignment horizontal="center"/>
    </xf>
    <xf numFmtId="3" fontId="11" fillId="33" borderId="1" xfId="0" applyNumberFormat="1" applyFont="1" applyFill="1" applyBorder="1" applyAlignment="1">
      <alignment horizontal="center"/>
    </xf>
    <xf numFmtId="3" fontId="11" fillId="33" borderId="2" xfId="379" applyNumberFormat="1" applyFont="1" applyFill="1" applyBorder="1" applyAlignment="1">
      <alignment horizontal="center"/>
    </xf>
    <xf numFmtId="3" fontId="11" fillId="33" borderId="21" xfId="0" applyNumberFormat="1" applyFont="1" applyFill="1" applyBorder="1" applyAlignment="1">
      <alignment horizontal="center"/>
    </xf>
    <xf numFmtId="0" fontId="0" fillId="0" borderId="25" xfId="0" applyBorder="1"/>
    <xf numFmtId="0" fontId="18" fillId="0" borderId="27" xfId="0" applyFont="1" applyBorder="1" applyAlignment="1">
      <alignment horizontal="center"/>
    </xf>
    <xf numFmtId="0" fontId="62" fillId="0" borderId="81" xfId="0" applyFont="1" applyBorder="1" applyAlignment="1" applyProtection="1">
      <alignment vertical="center" wrapText="1"/>
      <protection locked="0"/>
    </xf>
    <xf numFmtId="170" fontId="11" fillId="0" borderId="1" xfId="379" applyNumberFormat="1" applyFont="1" applyFill="1" applyBorder="1" applyAlignment="1" applyProtection="1">
      <alignment horizontal="center"/>
      <protection locked="0"/>
    </xf>
    <xf numFmtId="0" fontId="112" fillId="0" borderId="0" xfId="0" applyFont="1" applyProtection="1">
      <protection locked="0"/>
    </xf>
    <xf numFmtId="0" fontId="18" fillId="0" borderId="44" xfId="0" applyFont="1" applyBorder="1" applyAlignment="1" applyProtection="1">
      <alignment horizontal="center"/>
      <protection locked="0"/>
    </xf>
    <xf numFmtId="2" fontId="18" fillId="33" borderId="23" xfId="379" applyNumberFormat="1" applyFont="1" applyFill="1" applyBorder="1" applyAlignment="1" applyProtection="1">
      <alignment horizontal="center" wrapText="1"/>
      <protection locked="0"/>
    </xf>
    <xf numFmtId="2" fontId="18" fillId="33" borderId="1" xfId="379" applyNumberFormat="1" applyFont="1" applyFill="1" applyBorder="1" applyAlignment="1" applyProtection="1">
      <alignment horizontal="center" wrapText="1"/>
      <protection locked="0"/>
    </xf>
    <xf numFmtId="0" fontId="18" fillId="0" borderId="0" xfId="0" applyFont="1" applyAlignment="1" applyProtection="1">
      <alignment horizontal="center"/>
      <protection locked="0"/>
    </xf>
    <xf numFmtId="2" fontId="22" fillId="33" borderId="4" xfId="379" applyNumberFormat="1" applyFont="1" applyFill="1" applyBorder="1" applyAlignment="1" applyProtection="1">
      <alignment horizontal="center"/>
      <protection locked="0"/>
    </xf>
    <xf numFmtId="0" fontId="57" fillId="0" borderId="0" xfId="0" applyFont="1" applyAlignment="1">
      <alignment horizontal="center"/>
    </xf>
    <xf numFmtId="0" fontId="57" fillId="0" borderId="0" xfId="0" applyFont="1"/>
    <xf numFmtId="0" fontId="50" fillId="0" borderId="0" xfId="767" applyFont="1"/>
    <xf numFmtId="49" fontId="11" fillId="0" borderId="0" xfId="768" applyNumberFormat="1" applyFont="1" applyBorder="1" applyAlignment="1">
      <alignment vertical="top" wrapText="1"/>
    </xf>
    <xf numFmtId="49" fontId="50" fillId="0" borderId="0" xfId="767" applyNumberFormat="1" applyFont="1" applyAlignment="1">
      <alignment vertical="top" wrapText="1"/>
    </xf>
    <xf numFmtId="0" fontId="51" fillId="34" borderId="45" xfId="767" applyFont="1" applyFill="1" applyBorder="1" applyAlignment="1">
      <alignment horizontal="right"/>
    </xf>
    <xf numFmtId="0" fontId="51" fillId="34" borderId="0" xfId="767" applyFont="1" applyFill="1" applyAlignment="1">
      <alignment horizontal="right"/>
    </xf>
    <xf numFmtId="0" fontId="51" fillId="34" borderId="41" xfId="767" applyFont="1" applyFill="1" applyBorder="1" applyAlignment="1">
      <alignment horizontal="right"/>
    </xf>
    <xf numFmtId="0" fontId="50" fillId="0" borderId="45" xfId="767" applyFont="1" applyBorder="1"/>
    <xf numFmtId="10" fontId="21" fillId="0" borderId="0" xfId="769" applyNumberFormat="1" applyFont="1" applyBorder="1"/>
    <xf numFmtId="10" fontId="21" fillId="0" borderId="99" xfId="769" applyNumberFormat="1" applyFont="1" applyBorder="1"/>
    <xf numFmtId="10" fontId="21" fillId="0" borderId="41" xfId="769" applyNumberFormat="1" applyFont="1" applyBorder="1"/>
    <xf numFmtId="0" fontId="50" fillId="0" borderId="93" xfId="767" applyFont="1" applyBorder="1"/>
    <xf numFmtId="0" fontId="50" fillId="0" borderId="98" xfId="767" applyFont="1" applyBorder="1"/>
    <xf numFmtId="10" fontId="21" fillId="0" borderId="100" xfId="769" applyNumberFormat="1" applyFont="1" applyBorder="1"/>
    <xf numFmtId="10" fontId="21" fillId="0" borderId="94" xfId="769" applyNumberFormat="1" applyFont="1" applyBorder="1"/>
    <xf numFmtId="0" fontId="51" fillId="0" borderId="45" xfId="767" applyFont="1" applyBorder="1"/>
    <xf numFmtId="10" fontId="51" fillId="0" borderId="0" xfId="767" applyNumberFormat="1" applyFont="1"/>
    <xf numFmtId="10" fontId="51" fillId="0" borderId="99" xfId="767" applyNumberFormat="1" applyFont="1" applyBorder="1"/>
    <xf numFmtId="10" fontId="51" fillId="0" borderId="41" xfId="767" applyNumberFormat="1" applyFont="1" applyBorder="1"/>
    <xf numFmtId="43" fontId="21" fillId="33" borderId="0" xfId="768" applyFont="1" applyFill="1" applyBorder="1"/>
    <xf numFmtId="43" fontId="21" fillId="33" borderId="17" xfId="768" applyFont="1" applyFill="1" applyBorder="1"/>
    <xf numFmtId="43" fontId="21" fillId="0" borderId="41" xfId="768" applyFont="1" applyBorder="1"/>
    <xf numFmtId="43" fontId="21" fillId="0" borderId="0" xfId="768" applyFont="1" applyBorder="1"/>
    <xf numFmtId="43" fontId="21" fillId="33" borderId="103" xfId="768" applyFont="1" applyFill="1" applyBorder="1"/>
    <xf numFmtId="43" fontId="21" fillId="33" borderId="110" xfId="768" applyFont="1" applyFill="1" applyBorder="1"/>
    <xf numFmtId="43" fontId="21" fillId="0" borderId="98" xfId="768" applyFont="1" applyBorder="1"/>
    <xf numFmtId="43" fontId="21" fillId="0" borderId="111" xfId="768" applyFont="1" applyBorder="1"/>
    <xf numFmtId="43" fontId="21" fillId="0" borderId="94" xfId="768" applyFont="1" applyBorder="1"/>
    <xf numFmtId="0" fontId="51" fillId="0" borderId="46" xfId="767" applyFont="1" applyBorder="1"/>
    <xf numFmtId="43" fontId="51" fillId="0" borderId="25" xfId="768" applyFont="1" applyBorder="1"/>
    <xf numFmtId="43" fontId="51" fillId="0" borderId="101" xfId="768" applyFont="1" applyBorder="1"/>
    <xf numFmtId="43" fontId="51" fillId="0" borderId="40" xfId="768" applyFont="1" applyBorder="1"/>
    <xf numFmtId="0" fontId="51" fillId="0" borderId="0" xfId="767" applyFont="1"/>
    <xf numFmtId="43" fontId="51" fillId="0" borderId="0" xfId="768" applyFont="1" applyBorder="1"/>
    <xf numFmtId="0" fontId="51" fillId="62" borderId="45" xfId="767" applyFont="1" applyFill="1" applyBorder="1" applyAlignment="1">
      <alignment horizontal="right"/>
    </xf>
    <xf numFmtId="0" fontId="51" fillId="62" borderId="0" xfId="767" applyFont="1" applyFill="1" applyAlignment="1">
      <alignment horizontal="right"/>
    </xf>
    <xf numFmtId="0" fontId="51" fillId="62" borderId="41" xfId="767" applyFont="1" applyFill="1" applyBorder="1" applyAlignment="1">
      <alignment horizontal="right"/>
    </xf>
    <xf numFmtId="10" fontId="21" fillId="61" borderId="0" xfId="769" applyNumberFormat="1" applyFont="1" applyFill="1" applyBorder="1"/>
    <xf numFmtId="10" fontId="21" fillId="61" borderId="99" xfId="769" applyNumberFormat="1" applyFont="1" applyFill="1" applyBorder="1"/>
    <xf numFmtId="0" fontId="51" fillId="0" borderId="104" xfId="767" applyFont="1" applyBorder="1"/>
    <xf numFmtId="10" fontId="51" fillId="0" borderId="105" xfId="767" applyNumberFormat="1" applyFont="1" applyBorder="1"/>
    <xf numFmtId="10" fontId="51" fillId="0" borderId="106" xfId="767" applyNumberFormat="1" applyFont="1" applyBorder="1"/>
    <xf numFmtId="10" fontId="51" fillId="0" borderId="107" xfId="767" applyNumberFormat="1" applyFont="1" applyBorder="1"/>
    <xf numFmtId="43" fontId="21" fillId="61" borderId="0" xfId="768" applyFont="1" applyFill="1" applyBorder="1"/>
    <xf numFmtId="43" fontId="21" fillId="61" borderId="99" xfId="768" applyFont="1" applyFill="1" applyBorder="1"/>
    <xf numFmtId="43" fontId="21" fillId="61" borderId="103" xfId="768" applyFont="1" applyFill="1" applyBorder="1"/>
    <xf numFmtId="43" fontId="21" fillId="61" borderId="102" xfId="768" applyFont="1" applyFill="1" applyBorder="1"/>
    <xf numFmtId="43" fontId="21" fillId="0" borderId="0" xfId="768" applyFont="1" applyFill="1" applyBorder="1"/>
    <xf numFmtId="43" fontId="21" fillId="33" borderId="100" xfId="768" applyFont="1" applyFill="1" applyBorder="1"/>
    <xf numFmtId="0" fontId="50" fillId="0" borderId="0" xfId="767" applyFont="1" applyAlignment="1">
      <alignment vertical="top" wrapText="1"/>
    </xf>
    <xf numFmtId="0" fontId="51" fillId="34" borderId="45" xfId="767" applyFont="1" applyFill="1" applyBorder="1" applyAlignment="1">
      <alignment horizontal="center"/>
    </xf>
    <xf numFmtId="0" fontId="51" fillId="34" borderId="0" xfId="767" applyFont="1" applyFill="1" applyAlignment="1">
      <alignment horizontal="center"/>
    </xf>
    <xf numFmtId="0" fontId="51" fillId="34" borderId="41" xfId="767" applyFont="1" applyFill="1" applyBorder="1" applyAlignment="1">
      <alignment horizontal="center"/>
    </xf>
    <xf numFmtId="0" fontId="51" fillId="35" borderId="41" xfId="767" applyFont="1" applyFill="1" applyBorder="1" applyAlignment="1">
      <alignment horizontal="center"/>
    </xf>
    <xf numFmtId="0" fontId="51" fillId="34" borderId="38" xfId="767" applyFont="1" applyFill="1" applyBorder="1" applyAlignment="1">
      <alignment horizontal="center"/>
    </xf>
    <xf numFmtId="0" fontId="51" fillId="34" borderId="70" xfId="767" applyFont="1" applyFill="1" applyBorder="1" applyAlignment="1">
      <alignment horizontal="center"/>
    </xf>
    <xf numFmtId="0" fontId="51" fillId="34" borderId="78" xfId="767" applyFont="1" applyFill="1" applyBorder="1" applyAlignment="1">
      <alignment horizontal="center"/>
    </xf>
    <xf numFmtId="0" fontId="50" fillId="34" borderId="45" xfId="767" applyFont="1" applyFill="1" applyBorder="1" applyAlignment="1">
      <alignment vertical="top"/>
    </xf>
    <xf numFmtId="0" fontId="50" fillId="34" borderId="0" xfId="767" applyFont="1" applyFill="1" applyAlignment="1">
      <alignment vertical="top"/>
    </xf>
    <xf numFmtId="0" fontId="51" fillId="34" borderId="41" xfId="767" applyFont="1" applyFill="1" applyBorder="1" applyAlignment="1">
      <alignment horizontal="center" wrapText="1"/>
    </xf>
    <xf numFmtId="0" fontId="51" fillId="34" borderId="70" xfId="767" applyFont="1" applyFill="1" applyBorder="1" applyAlignment="1">
      <alignment horizontal="center" vertical="center"/>
    </xf>
    <xf numFmtId="0" fontId="51" fillId="34" borderId="78" xfId="767" applyFont="1" applyFill="1" applyBorder="1" applyAlignment="1">
      <alignment horizontal="center" vertical="center" wrapText="1"/>
    </xf>
    <xf numFmtId="0" fontId="50" fillId="0" borderId="45" xfId="767" applyFont="1" applyBorder="1" applyAlignment="1">
      <alignment vertical="top"/>
    </xf>
    <xf numFmtId="0" fontId="50" fillId="0" borderId="0" xfId="767" applyFont="1" applyAlignment="1">
      <alignment vertical="top"/>
    </xf>
    <xf numFmtId="0" fontId="51" fillId="33" borderId="0" xfId="767" applyFont="1" applyFill="1" applyAlignment="1">
      <alignment vertical="top"/>
    </xf>
    <xf numFmtId="0" fontId="51" fillId="0" borderId="0" xfId="767" applyFont="1" applyAlignment="1">
      <alignment vertical="top"/>
    </xf>
    <xf numFmtId="0" fontId="51" fillId="0" borderId="41" xfId="767" applyFont="1" applyBorder="1" applyAlignment="1">
      <alignment horizontal="center" vertical="top" wrapText="1"/>
    </xf>
    <xf numFmtId="0" fontId="50" fillId="0" borderId="93" xfId="767" applyFont="1" applyBorder="1" applyAlignment="1">
      <alignment vertical="top"/>
    </xf>
    <xf numFmtId="0" fontId="50" fillId="0" borderId="98" xfId="767" applyFont="1" applyBorder="1" applyAlignment="1">
      <alignment vertical="top"/>
    </xf>
    <xf numFmtId="0" fontId="51" fillId="33" borderId="98" xfId="767" applyFont="1" applyFill="1" applyBorder="1" applyAlignment="1">
      <alignment vertical="top"/>
    </xf>
    <xf numFmtId="0" fontId="50" fillId="0" borderId="25" xfId="767" applyFont="1" applyBorder="1"/>
    <xf numFmtId="10" fontId="11" fillId="0" borderId="40" xfId="769" applyNumberFormat="1" applyFont="1" applyBorder="1"/>
    <xf numFmtId="0" fontId="51" fillId="0" borderId="0" xfId="767" applyFont="1" applyAlignment="1">
      <alignment vertical="top" wrapText="1"/>
    </xf>
    <xf numFmtId="10" fontId="11" fillId="0" borderId="0" xfId="769" applyNumberFormat="1" applyFont="1" applyBorder="1"/>
    <xf numFmtId="0" fontId="51" fillId="0" borderId="47" xfId="767" applyFont="1" applyBorder="1" applyAlignment="1">
      <alignment vertical="top" wrapText="1"/>
    </xf>
    <xf numFmtId="0" fontId="51" fillId="0" borderId="48" xfId="767" applyFont="1" applyBorder="1" applyAlignment="1">
      <alignment horizontal="center" vertical="center" wrapText="1"/>
    </xf>
    <xf numFmtId="0" fontId="22" fillId="0" borderId="48" xfId="796" applyNumberFormat="1" applyFont="1" applyBorder="1" applyAlignment="1">
      <alignment horizontal="center" vertical="center"/>
    </xf>
    <xf numFmtId="0" fontId="50" fillId="0" borderId="49" xfId="767" applyFont="1" applyBorder="1"/>
    <xf numFmtId="0" fontId="51" fillId="0" borderId="45" xfId="767" applyFont="1" applyBorder="1" applyAlignment="1">
      <alignment horizontal="left" vertical="center" wrapText="1"/>
    </xf>
    <xf numFmtId="0" fontId="51" fillId="35" borderId="1" xfId="767" applyFont="1" applyFill="1" applyBorder="1" applyAlignment="1">
      <alignment horizontal="center" vertical="center" wrapText="1"/>
    </xf>
    <xf numFmtId="10" fontId="11" fillId="0" borderId="41" xfId="769" applyNumberFormat="1" applyFont="1" applyBorder="1" applyAlignment="1">
      <alignment horizontal="center" vertical="center" wrapText="1"/>
    </xf>
    <xf numFmtId="0" fontId="115" fillId="0" borderId="46" xfId="767" applyFont="1" applyBorder="1" applyAlignment="1">
      <alignment horizontal="left" vertical="top" wrapText="1"/>
    </xf>
    <xf numFmtId="0" fontId="116" fillId="0" borderId="25" xfId="767" applyFont="1" applyBorder="1" applyAlignment="1">
      <alignment vertical="top" wrapText="1"/>
    </xf>
    <xf numFmtId="0" fontId="115" fillId="0" borderId="0" xfId="767" applyFont="1" applyAlignment="1">
      <alignment horizontal="left" vertical="top" wrapText="1"/>
    </xf>
    <xf numFmtId="0" fontId="116" fillId="0" borderId="0" xfId="767" applyFont="1" applyAlignment="1">
      <alignment vertical="top" wrapText="1"/>
    </xf>
    <xf numFmtId="0" fontId="113" fillId="0" borderId="0" xfId="767" applyFont="1" applyAlignment="1">
      <alignment horizontal="center" vertical="top" wrapText="1"/>
    </xf>
    <xf numFmtId="0" fontId="50" fillId="0" borderId="35" xfId="767" applyFont="1" applyBorder="1"/>
    <xf numFmtId="0" fontId="50" fillId="0" borderId="7" xfId="767" applyFont="1" applyBorder="1"/>
    <xf numFmtId="0" fontId="50" fillId="0" borderId="32" xfId="767" applyFont="1" applyBorder="1" applyAlignment="1">
      <alignment wrapText="1"/>
    </xf>
    <xf numFmtId="43" fontId="50" fillId="0" borderId="0" xfId="767" applyNumberFormat="1" applyFont="1" applyAlignment="1">
      <alignment horizontal="center" vertical="center"/>
    </xf>
    <xf numFmtId="43" fontId="50" fillId="0" borderId="41" xfId="767" applyNumberFormat="1" applyFont="1" applyBorder="1" applyAlignment="1">
      <alignment horizontal="center" vertical="center"/>
    </xf>
    <xf numFmtId="0" fontId="50" fillId="0" borderId="7" xfId="767" applyFont="1" applyBorder="1" applyAlignment="1">
      <alignment wrapText="1"/>
    </xf>
    <xf numFmtId="43" fontId="11" fillId="33" borderId="70" xfId="796" applyFont="1" applyFill="1" applyBorder="1" applyAlignment="1">
      <alignment horizontal="center" vertical="center"/>
    </xf>
    <xf numFmtId="43" fontId="50" fillId="0" borderId="70" xfId="767" applyNumberFormat="1" applyFont="1" applyBorder="1" applyAlignment="1">
      <alignment horizontal="center" vertical="center"/>
    </xf>
    <xf numFmtId="43" fontId="50" fillId="0" borderId="78" xfId="767" applyNumberFormat="1" applyFont="1" applyBorder="1" applyAlignment="1">
      <alignment horizontal="center" vertical="center"/>
    </xf>
    <xf numFmtId="0" fontId="50" fillId="62" borderId="15" xfId="767" applyFont="1" applyFill="1" applyBorder="1" applyAlignment="1">
      <alignment wrapText="1"/>
    </xf>
    <xf numFmtId="43" fontId="50" fillId="62" borderId="51" xfId="767" applyNumberFormat="1" applyFont="1" applyFill="1" applyBorder="1" applyAlignment="1">
      <alignment horizontal="center" vertical="center"/>
    </xf>
    <xf numFmtId="0" fontId="50" fillId="0" borderId="96" xfId="767" applyFont="1" applyBorder="1" applyAlignment="1">
      <alignment wrapText="1"/>
    </xf>
    <xf numFmtId="43" fontId="50" fillId="0" borderId="81" xfId="767" applyNumberFormat="1" applyFont="1" applyBorder="1" applyAlignment="1">
      <alignment horizontal="center" vertical="center"/>
    </xf>
    <xf numFmtId="43" fontId="50" fillId="0" borderId="92" xfId="767" applyNumberFormat="1" applyFont="1" applyBorder="1" applyAlignment="1">
      <alignment horizontal="center" vertical="center"/>
    </xf>
    <xf numFmtId="43" fontId="50" fillId="0" borderId="95" xfId="767" applyNumberFormat="1" applyFont="1" applyBorder="1" applyAlignment="1">
      <alignment horizontal="center" vertical="center"/>
    </xf>
    <xf numFmtId="0" fontId="50" fillId="62" borderId="93" xfId="767" applyFont="1" applyFill="1" applyBorder="1" applyAlignment="1">
      <alignment wrapText="1"/>
    </xf>
    <xf numFmtId="43" fontId="50" fillId="62" borderId="108" xfId="767" applyNumberFormat="1" applyFont="1" applyFill="1" applyBorder="1" applyAlignment="1">
      <alignment horizontal="center" vertical="center"/>
    </xf>
    <xf numFmtId="43" fontId="50" fillId="62" borderId="109" xfId="767" applyNumberFormat="1" applyFont="1" applyFill="1" applyBorder="1" applyAlignment="1">
      <alignment horizontal="center" vertical="center"/>
    </xf>
    <xf numFmtId="43" fontId="11" fillId="62" borderId="51" xfId="768" applyFont="1" applyFill="1" applyBorder="1" applyAlignment="1">
      <alignment horizontal="center" vertical="center"/>
    </xf>
    <xf numFmtId="43" fontId="11" fillId="62" borderId="52" xfId="768" applyFont="1" applyFill="1" applyBorder="1" applyAlignment="1">
      <alignment horizontal="center" vertical="center"/>
    </xf>
    <xf numFmtId="1" fontId="11" fillId="33" borderId="23" xfId="634" applyNumberFormat="1" applyFont="1" applyFill="1" applyBorder="1" applyAlignment="1">
      <alignment horizontal="center"/>
    </xf>
    <xf numFmtId="43" fontId="11" fillId="65" borderId="23" xfId="379" applyFont="1" applyFill="1" applyBorder="1" applyAlignment="1">
      <alignment horizontal="center"/>
    </xf>
    <xf numFmtId="0" fontId="111" fillId="0" borderId="0" xfId="0" applyFont="1" applyAlignment="1" applyProtection="1">
      <alignment horizontal="left" vertical="center" wrapText="1"/>
      <protection locked="0"/>
    </xf>
    <xf numFmtId="43" fontId="11" fillId="0" borderId="0" xfId="379" applyFont="1" applyAlignment="1">
      <alignment horizontal="center"/>
    </xf>
    <xf numFmtId="43" fontId="11" fillId="0" borderId="0" xfId="379" applyFont="1" applyAlignment="1" applyProtection="1">
      <alignment horizontal="center"/>
      <protection locked="0"/>
    </xf>
    <xf numFmtId="43" fontId="54" fillId="0" borderId="0" xfId="379" applyFont="1" applyBorder="1" applyAlignment="1" applyProtection="1">
      <alignment horizontal="left" vertical="center"/>
      <protection locked="0"/>
    </xf>
    <xf numFmtId="43" fontId="18" fillId="0" borderId="0" xfId="379" applyFont="1" applyAlignment="1" applyProtection="1">
      <alignment horizontal="center"/>
      <protection locked="0"/>
    </xf>
    <xf numFmtId="43" fontId="18" fillId="0" borderId="44" xfId="379" applyFont="1" applyBorder="1" applyAlignment="1" applyProtection="1">
      <alignment horizontal="center" wrapText="1"/>
      <protection locked="0"/>
    </xf>
    <xf numFmtId="43" fontId="11" fillId="0" borderId="0" xfId="379" applyFont="1" applyBorder="1" applyProtection="1">
      <protection locked="0"/>
    </xf>
    <xf numFmtId="43" fontId="11" fillId="0" borderId="0" xfId="379" applyFont="1" applyBorder="1"/>
    <xf numFmtId="43" fontId="11" fillId="0" borderId="70" xfId="379" applyFont="1" applyBorder="1" applyAlignment="1">
      <alignment horizontal="center"/>
    </xf>
    <xf numFmtId="43" fontId="67" fillId="0" borderId="17" xfId="379" applyFont="1" applyBorder="1" applyAlignment="1">
      <alignment horizontal="center"/>
    </xf>
    <xf numFmtId="43" fontId="67" fillId="0" borderId="21" xfId="379" applyFont="1" applyBorder="1" applyAlignment="1">
      <alignment horizontal="center"/>
    </xf>
    <xf numFmtId="43" fontId="67" fillId="0" borderId="55" xfId="379" applyFont="1" applyBorder="1" applyAlignment="1">
      <alignment horizontal="center"/>
    </xf>
    <xf numFmtId="43" fontId="67" fillId="0" borderId="1" xfId="379" applyFont="1" applyBorder="1" applyAlignment="1">
      <alignment horizontal="center"/>
    </xf>
    <xf numFmtId="43" fontId="108" fillId="0" borderId="1" xfId="379" applyFont="1" applyBorder="1"/>
    <xf numFmtId="2" fontId="11" fillId="0" borderId="23" xfId="379" applyNumberFormat="1" applyFont="1" applyFill="1" applyBorder="1" applyAlignment="1" applyProtection="1">
      <protection locked="0"/>
    </xf>
    <xf numFmtId="43" fontId="11" fillId="0" borderId="0" xfId="0" applyNumberFormat="1" applyFont="1"/>
    <xf numFmtId="0" fontId="67" fillId="0" borderId="0" xfId="0" applyFont="1" applyAlignment="1">
      <alignment horizontal="center"/>
    </xf>
    <xf numFmtId="43" fontId="67" fillId="0" borderId="0" xfId="379" applyFont="1" applyBorder="1" applyAlignment="1">
      <alignment horizontal="center"/>
    </xf>
    <xf numFmtId="49" fontId="11" fillId="0" borderId="0" xfId="0" applyNumberFormat="1" applyFont="1" applyAlignment="1" applyProtection="1">
      <alignment horizontal="center"/>
      <protection locked="0"/>
    </xf>
    <xf numFmtId="43" fontId="11" fillId="0" borderId="0" xfId="379" applyFont="1" applyBorder="1" applyAlignment="1" applyProtection="1">
      <alignment horizontal="center"/>
      <protection locked="0"/>
    </xf>
    <xf numFmtId="10" fontId="11" fillId="0" borderId="0" xfId="557" applyNumberFormat="1" applyFont="1" applyBorder="1" applyAlignment="1" applyProtection="1">
      <alignment horizontal="center"/>
      <protection locked="0"/>
    </xf>
    <xf numFmtId="0" fontId="0" fillId="0" borderId="0" xfId="0" applyAlignment="1">
      <alignment vertical="center"/>
    </xf>
    <xf numFmtId="0" fontId="11" fillId="36" borderId="2" xfId="0" applyFont="1" applyFill="1" applyBorder="1" applyAlignment="1">
      <alignment wrapText="1"/>
    </xf>
    <xf numFmtId="0" fontId="11" fillId="36" borderId="9" xfId="0" applyFont="1" applyFill="1" applyBorder="1" applyAlignment="1">
      <alignment wrapText="1"/>
    </xf>
    <xf numFmtId="0" fontId="11" fillId="36" borderId="19" xfId="0" applyFont="1" applyFill="1" applyBorder="1" applyAlignment="1">
      <alignment wrapText="1"/>
    </xf>
    <xf numFmtId="49" fontId="11" fillId="36" borderId="2" xfId="0" applyNumberFormat="1" applyFont="1" applyFill="1" applyBorder="1" applyAlignment="1">
      <alignment wrapText="1"/>
    </xf>
    <xf numFmtId="0" fontId="18" fillId="0" borderId="115" xfId="0" applyFont="1" applyBorder="1" applyAlignment="1">
      <alignment wrapText="1"/>
    </xf>
    <xf numFmtId="0" fontId="18" fillId="0" borderId="116" xfId="0" applyFont="1" applyBorder="1" applyAlignment="1">
      <alignment horizontal="center" wrapText="1"/>
    </xf>
    <xf numFmtId="0" fontId="18" fillId="0" borderId="117" xfId="0" applyFont="1" applyBorder="1" applyAlignment="1">
      <alignment horizontal="center" wrapText="1"/>
    </xf>
    <xf numFmtId="49" fontId="11" fillId="36" borderId="43" xfId="0" applyNumberFormat="1" applyFont="1" applyFill="1" applyBorder="1" applyAlignment="1">
      <alignment wrapText="1"/>
    </xf>
    <xf numFmtId="0" fontId="11" fillId="36" borderId="39" xfId="0" applyFont="1" applyFill="1" applyBorder="1" applyAlignment="1">
      <alignment wrapText="1"/>
    </xf>
    <xf numFmtId="2" fontId="11" fillId="0" borderId="1" xfId="379" applyNumberFormat="1" applyFont="1" applyBorder="1" applyAlignment="1" applyProtection="1">
      <protection locked="0"/>
    </xf>
    <xf numFmtId="0" fontId="118" fillId="0" borderId="0" xfId="0" applyFont="1" applyAlignment="1" applyProtection="1">
      <alignment horizontal="center" vertical="center" wrapText="1"/>
      <protection locked="0"/>
    </xf>
    <xf numFmtId="0" fontId="21" fillId="0" borderId="0" xfId="0" applyFont="1" applyAlignment="1" applyProtection="1">
      <alignment horizontal="left"/>
      <protection locked="0"/>
    </xf>
    <xf numFmtId="10" fontId="21" fillId="0" borderId="0" xfId="557" applyNumberFormat="1" applyFont="1" applyBorder="1"/>
    <xf numFmtId="170" fontId="11" fillId="65" borderId="28" xfId="379" applyNumberFormat="1" applyFont="1" applyFill="1" applyBorder="1"/>
    <xf numFmtId="170" fontId="11" fillId="65" borderId="26" xfId="379" applyNumberFormat="1" applyFont="1" applyFill="1" applyBorder="1"/>
    <xf numFmtId="167" fontId="11" fillId="65" borderId="28" xfId="0" applyNumberFormat="1" applyFont="1" applyFill="1" applyBorder="1"/>
    <xf numFmtId="167" fontId="11" fillId="65" borderId="26" xfId="0" applyNumberFormat="1" applyFont="1" applyFill="1" applyBorder="1"/>
    <xf numFmtId="0" fontId="11" fillId="65" borderId="1" xfId="0" applyFont="1" applyFill="1" applyBorder="1" applyAlignment="1">
      <alignment horizontal="center"/>
    </xf>
    <xf numFmtId="0" fontId="11" fillId="65" borderId="10" xfId="0" applyFont="1" applyFill="1" applyBorder="1" applyAlignment="1">
      <alignment horizontal="center"/>
    </xf>
    <xf numFmtId="0" fontId="119" fillId="0" borderId="0" xfId="0" applyFont="1"/>
    <xf numFmtId="0" fontId="11" fillId="33" borderId="0" xfId="0" applyFont="1" applyFill="1"/>
    <xf numFmtId="2" fontId="11" fillId="66" borderId="7" xfId="379" applyNumberFormat="1" applyFont="1" applyFill="1" applyBorder="1" applyAlignment="1" applyProtection="1">
      <alignment horizontal="center"/>
      <protection locked="0"/>
    </xf>
    <xf numFmtId="2" fontId="11" fillId="66" borderId="23" xfId="379" applyNumberFormat="1" applyFont="1" applyFill="1" applyBorder="1" applyAlignment="1" applyProtection="1">
      <alignment horizontal="center"/>
      <protection locked="0"/>
    </xf>
    <xf numFmtId="2" fontId="11" fillId="66" borderId="2" xfId="379" applyNumberFormat="1" applyFont="1" applyFill="1" applyBorder="1" applyAlignment="1" applyProtection="1">
      <alignment horizontal="center"/>
      <protection locked="0"/>
    </xf>
    <xf numFmtId="0" fontId="11" fillId="66" borderId="0" xfId="0" applyFont="1" applyFill="1"/>
    <xf numFmtId="0" fontId="18" fillId="67" borderId="1" xfId="0" applyFont="1" applyFill="1" applyBorder="1" applyAlignment="1">
      <alignment horizontal="center"/>
    </xf>
    <xf numFmtId="0" fontId="18" fillId="67" borderId="8" xfId="0" applyFont="1" applyFill="1" applyBorder="1" applyAlignment="1">
      <alignment horizontal="center"/>
    </xf>
    <xf numFmtId="0" fontId="18" fillId="67" borderId="10" xfId="0" applyFont="1" applyFill="1" applyBorder="1" applyAlignment="1">
      <alignment horizontal="center"/>
    </xf>
    <xf numFmtId="0" fontId="18" fillId="67" borderId="11" xfId="0" applyFont="1" applyFill="1" applyBorder="1" applyAlignment="1">
      <alignment horizontal="center"/>
    </xf>
    <xf numFmtId="0" fontId="18" fillId="67" borderId="12" xfId="0" applyFont="1" applyFill="1" applyBorder="1" applyAlignment="1">
      <alignment horizontal="center"/>
    </xf>
    <xf numFmtId="0" fontId="18" fillId="67" borderId="13" xfId="0" applyFont="1" applyFill="1" applyBorder="1" applyAlignment="1">
      <alignment horizontal="center"/>
    </xf>
    <xf numFmtId="0" fontId="18" fillId="67" borderId="44" xfId="0" applyFont="1" applyFill="1" applyBorder="1" applyAlignment="1">
      <alignment horizontal="center"/>
    </xf>
    <xf numFmtId="0" fontId="18" fillId="67" borderId="18" xfId="0" applyFont="1" applyFill="1" applyBorder="1" applyAlignment="1">
      <alignment horizontal="center"/>
    </xf>
    <xf numFmtId="0" fontId="18" fillId="67" borderId="26" xfId="0" applyFont="1" applyFill="1" applyBorder="1" applyAlignment="1">
      <alignment horizontal="center"/>
    </xf>
    <xf numFmtId="0" fontId="18" fillId="67" borderId="42" xfId="0" applyFont="1" applyFill="1" applyBorder="1" applyAlignment="1">
      <alignment horizontal="center"/>
    </xf>
    <xf numFmtId="0" fontId="18" fillId="66" borderId="44" xfId="0" applyFont="1" applyFill="1" applyBorder="1" applyAlignment="1">
      <alignment horizontal="center" wrapText="1"/>
    </xf>
    <xf numFmtId="2" fontId="11" fillId="66" borderId="1" xfId="379" applyNumberFormat="1" applyFont="1" applyFill="1" applyBorder="1" applyAlignment="1" applyProtection="1">
      <alignment horizontal="center"/>
      <protection locked="0"/>
    </xf>
    <xf numFmtId="43" fontId="120" fillId="64" borderId="97" xfId="768" applyFont="1" applyFill="1" applyBorder="1" applyAlignment="1">
      <alignment horizontal="center" vertical="center"/>
    </xf>
    <xf numFmtId="49" fontId="57" fillId="0" borderId="17" xfId="0" applyNumberFormat="1" applyFont="1" applyBorder="1"/>
    <xf numFmtId="0" fontId="57" fillId="0" borderId="17" xfId="0" applyFont="1" applyBorder="1"/>
    <xf numFmtId="0" fontId="57" fillId="0" borderId="22" xfId="0" applyFont="1" applyBorder="1"/>
    <xf numFmtId="0" fontId="11" fillId="0" borderId="0" xfId="0" applyFont="1" applyAlignment="1">
      <alignment horizontal="center" vertical="center"/>
    </xf>
    <xf numFmtId="0" fontId="11" fillId="0" borderId="0" xfId="0" applyFont="1" applyAlignment="1" applyProtection="1">
      <alignment horizontal="center" vertical="center"/>
      <protection locked="0"/>
    </xf>
    <xf numFmtId="0" fontId="18" fillId="0" borderId="81" xfId="0" applyFont="1" applyBorder="1" applyAlignment="1" applyProtection="1">
      <alignment horizontal="center" vertical="center" wrapText="1"/>
      <protection locked="0"/>
    </xf>
    <xf numFmtId="0" fontId="11" fillId="0" borderId="0" xfId="0" applyFont="1" applyAlignment="1" applyProtection="1">
      <alignment vertical="center"/>
      <protection locked="0"/>
    </xf>
    <xf numFmtId="0" fontId="54" fillId="0" borderId="0" xfId="0" applyFont="1" applyAlignment="1" applyProtection="1">
      <alignment horizontal="center" vertical="center"/>
      <protection locked="0"/>
    </xf>
    <xf numFmtId="17" fontId="11" fillId="0" borderId="0" xfId="0" applyNumberFormat="1" applyFont="1" applyAlignment="1" applyProtection="1">
      <alignment horizontal="center" vertical="center"/>
      <protection locked="0"/>
    </xf>
    <xf numFmtId="17" fontId="11" fillId="0" borderId="0" xfId="0" applyNumberFormat="1" applyFont="1" applyAlignment="1">
      <alignment horizontal="center" vertical="center"/>
    </xf>
    <xf numFmtId="0" fontId="112" fillId="0" borderId="0" xfId="0" applyFont="1" applyAlignment="1" applyProtection="1">
      <alignment horizontal="center"/>
      <protection locked="0"/>
    </xf>
    <xf numFmtId="0" fontId="18" fillId="0" borderId="68" xfId="0" applyFont="1" applyBorder="1" applyAlignment="1" applyProtection="1">
      <alignment horizontal="center"/>
      <protection locked="0"/>
    </xf>
    <xf numFmtId="0" fontId="112" fillId="0" borderId="0" xfId="0" applyFont="1" applyAlignment="1">
      <alignment horizontal="center"/>
    </xf>
    <xf numFmtId="0" fontId="18" fillId="0" borderId="0" xfId="0" applyFont="1" applyAlignment="1">
      <alignment horizontal="center"/>
    </xf>
    <xf numFmtId="0" fontId="0" fillId="0" borderId="0" xfId="0" applyAlignment="1" applyProtection="1">
      <alignment vertical="center"/>
      <protection locked="0"/>
    </xf>
    <xf numFmtId="0" fontId="11" fillId="0" borderId="81" xfId="0" applyFont="1" applyBorder="1" applyAlignment="1" applyProtection="1">
      <alignment horizontal="center" vertical="center"/>
      <protection locked="0"/>
    </xf>
    <xf numFmtId="43" fontId="18" fillId="0" borderId="81" xfId="379" applyFont="1" applyBorder="1" applyAlignment="1" applyProtection="1">
      <alignment horizontal="center" vertical="center" wrapText="1"/>
      <protection locked="0"/>
    </xf>
    <xf numFmtId="0" fontId="18" fillId="66" borderId="1" xfId="0" applyFont="1" applyFill="1" applyBorder="1" applyAlignment="1">
      <alignment horizontal="center" vertical="center" wrapText="1"/>
    </xf>
    <xf numFmtId="0" fontId="122" fillId="0" borderId="0" xfId="0" applyFont="1"/>
    <xf numFmtId="0" fontId="60" fillId="66" borderId="24" xfId="0" applyFont="1" applyFill="1" applyBorder="1" applyAlignment="1">
      <alignment horizontal="centerContinuous"/>
    </xf>
    <xf numFmtId="0" fontId="60" fillId="66" borderId="24" xfId="0" applyFont="1" applyFill="1" applyBorder="1" applyAlignment="1">
      <alignment horizontal="center"/>
    </xf>
    <xf numFmtId="49" fontId="11" fillId="66" borderId="2" xfId="0" applyNumberFormat="1" applyFont="1" applyFill="1" applyBorder="1" applyAlignment="1">
      <alignment horizontal="center"/>
    </xf>
    <xf numFmtId="170" fontId="11" fillId="66" borderId="1" xfId="379" applyNumberFormat="1" applyFont="1" applyFill="1" applyBorder="1" applyAlignment="1">
      <alignment horizontal="center"/>
    </xf>
    <xf numFmtId="167" fontId="11" fillId="66" borderId="1" xfId="0" applyNumberFormat="1" applyFont="1" applyFill="1" applyBorder="1" applyAlignment="1">
      <alignment horizontal="center"/>
    </xf>
    <xf numFmtId="0" fontId="11" fillId="66" borderId="1" xfId="0" applyFont="1" applyFill="1" applyBorder="1" applyAlignment="1">
      <alignment horizontal="center"/>
    </xf>
    <xf numFmtId="1" fontId="11" fillId="66" borderId="1" xfId="0" applyNumberFormat="1" applyFont="1" applyFill="1" applyBorder="1" applyAlignment="1">
      <alignment horizontal="center"/>
    </xf>
    <xf numFmtId="0" fontId="11" fillId="66" borderId="8" xfId="0" applyFont="1" applyFill="1" applyBorder="1" applyAlignment="1">
      <alignment horizontal="center"/>
    </xf>
    <xf numFmtId="49" fontId="11" fillId="66" borderId="9" xfId="0" applyNumberFormat="1" applyFont="1" applyFill="1" applyBorder="1" applyAlignment="1">
      <alignment horizontal="center"/>
    </xf>
    <xf numFmtId="170" fontId="11" fillId="66" borderId="10" xfId="379" applyNumberFormat="1" applyFont="1" applyFill="1" applyBorder="1" applyAlignment="1">
      <alignment horizontal="center"/>
    </xf>
    <xf numFmtId="167" fontId="11" fillId="66" borderId="10" xfId="0" applyNumberFormat="1" applyFont="1" applyFill="1" applyBorder="1" applyAlignment="1">
      <alignment horizontal="center"/>
    </xf>
    <xf numFmtId="0" fontId="11" fillId="66" borderId="10" xfId="0" applyFont="1" applyFill="1" applyBorder="1" applyAlignment="1">
      <alignment horizontal="center"/>
    </xf>
    <xf numFmtId="1" fontId="11" fillId="66" borderId="10" xfId="0" applyNumberFormat="1" applyFont="1" applyFill="1" applyBorder="1" applyAlignment="1">
      <alignment horizontal="center"/>
    </xf>
    <xf numFmtId="0" fontId="11" fillId="66" borderId="11" xfId="0" applyFont="1" applyFill="1" applyBorder="1" applyAlignment="1">
      <alignment horizontal="center"/>
    </xf>
    <xf numFmtId="0" fontId="11" fillId="66" borderId="3" xfId="0" applyFont="1" applyFill="1" applyBorder="1" applyAlignment="1">
      <alignment horizontal="center"/>
    </xf>
    <xf numFmtId="170" fontId="11" fillId="66" borderId="2" xfId="379" applyNumberFormat="1" applyFont="1" applyFill="1" applyBorder="1"/>
    <xf numFmtId="0" fontId="11" fillId="66" borderId="8" xfId="0" applyFont="1" applyFill="1" applyBorder="1"/>
    <xf numFmtId="0" fontId="11" fillId="66" borderId="11" xfId="0" applyFont="1" applyFill="1" applyBorder="1"/>
    <xf numFmtId="0" fontId="11" fillId="66" borderId="4" xfId="0" applyFont="1" applyFill="1" applyBorder="1" applyAlignment="1">
      <alignment horizontal="center"/>
    </xf>
    <xf numFmtId="0" fontId="11" fillId="66" borderId="4" xfId="0" applyFont="1" applyFill="1" applyBorder="1" applyAlignment="1">
      <alignment horizontal="center" wrapText="1"/>
    </xf>
    <xf numFmtId="0" fontId="11" fillId="66" borderId="5" xfId="0" applyFont="1" applyFill="1" applyBorder="1" applyAlignment="1">
      <alignment horizontal="center"/>
    </xf>
    <xf numFmtId="0" fontId="11" fillId="66" borderId="6" xfId="0" applyFont="1" applyFill="1" applyBorder="1" applyAlignment="1">
      <alignment horizontal="center"/>
    </xf>
    <xf numFmtId="0" fontId="18" fillId="66" borderId="39" xfId="0" applyFont="1" applyFill="1" applyBorder="1"/>
    <xf numFmtId="2" fontId="18" fillId="66" borderId="7" xfId="0" applyNumberFormat="1" applyFont="1" applyFill="1" applyBorder="1"/>
    <xf numFmtId="0" fontId="18" fillId="0" borderId="2" xfId="0" applyFont="1" applyBorder="1"/>
    <xf numFmtId="2" fontId="18" fillId="66" borderId="2" xfId="0" applyNumberFormat="1" applyFont="1" applyFill="1" applyBorder="1"/>
    <xf numFmtId="2" fontId="18" fillId="66" borderId="43" xfId="0" applyNumberFormat="1" applyFont="1" applyFill="1" applyBorder="1"/>
    <xf numFmtId="0" fontId="18" fillId="66" borderId="26" xfId="0" applyFont="1" applyFill="1" applyBorder="1" applyAlignment="1">
      <alignment horizontal="center"/>
    </xf>
    <xf numFmtId="49" fontId="18" fillId="66" borderId="26" xfId="0" applyNumberFormat="1" applyFont="1" applyFill="1" applyBorder="1" applyAlignment="1">
      <alignment horizontal="center"/>
    </xf>
    <xf numFmtId="49" fontId="18" fillId="66" borderId="42" xfId="0" applyNumberFormat="1" applyFont="1" applyFill="1" applyBorder="1" applyAlignment="1">
      <alignment horizontal="center"/>
    </xf>
    <xf numFmtId="0" fontId="11" fillId="66" borderId="26" xfId="0" applyFont="1" applyFill="1" applyBorder="1"/>
    <xf numFmtId="0" fontId="11" fillId="66" borderId="26" xfId="0" applyFont="1" applyFill="1" applyBorder="1" applyAlignment="1">
      <alignment horizontal="center"/>
    </xf>
    <xf numFmtId="49" fontId="11" fillId="66" borderId="26" xfId="0" applyNumberFormat="1" applyFont="1" applyFill="1" applyBorder="1" applyAlignment="1">
      <alignment horizontal="center"/>
    </xf>
    <xf numFmtId="49" fontId="11" fillId="66" borderId="42" xfId="0" applyNumberFormat="1" applyFont="1" applyFill="1" applyBorder="1" applyAlignment="1">
      <alignment horizontal="center"/>
    </xf>
    <xf numFmtId="0" fontId="11" fillId="66" borderId="39" xfId="521" applyFont="1" applyFill="1" applyBorder="1"/>
    <xf numFmtId="0" fontId="11" fillId="66" borderId="66" xfId="521" applyFont="1" applyFill="1" applyBorder="1"/>
    <xf numFmtId="0" fontId="11" fillId="66" borderId="26" xfId="521" applyFont="1" applyFill="1" applyBorder="1" applyAlignment="1">
      <alignment horizontal="center"/>
    </xf>
    <xf numFmtId="49" fontId="11" fillId="66" borderId="26" xfId="521" applyNumberFormat="1" applyFont="1" applyFill="1" applyBorder="1" applyAlignment="1">
      <alignment horizontal="center"/>
    </xf>
    <xf numFmtId="2" fontId="11" fillId="66" borderId="26" xfId="521" applyNumberFormat="1" applyFont="1" applyFill="1" applyBorder="1" applyAlignment="1">
      <alignment horizontal="center"/>
    </xf>
    <xf numFmtId="2" fontId="11" fillId="66" borderId="42" xfId="521" applyNumberFormat="1" applyFont="1" applyFill="1" applyBorder="1" applyAlignment="1">
      <alignment horizontal="center"/>
    </xf>
    <xf numFmtId="0" fontId="11" fillId="66" borderId="39" xfId="521" applyFont="1" applyFill="1" applyBorder="1" applyAlignment="1">
      <alignment horizontal="center" wrapText="1"/>
    </xf>
    <xf numFmtId="0" fontId="11" fillId="66" borderId="26" xfId="521" applyFont="1" applyFill="1" applyBorder="1" applyAlignment="1">
      <alignment horizontal="center" wrapText="1"/>
    </xf>
    <xf numFmtId="0" fontId="11" fillId="66" borderId="69" xfId="521" applyFont="1" applyFill="1" applyBorder="1" applyAlignment="1">
      <alignment horizontal="center" wrapText="1"/>
    </xf>
    <xf numFmtId="0" fontId="11" fillId="66" borderId="42" xfId="521" applyFont="1" applyFill="1" applyBorder="1" applyAlignment="1">
      <alignment horizontal="center" wrapText="1"/>
    </xf>
    <xf numFmtId="43" fontId="11" fillId="0" borderId="54" xfId="768" applyFont="1" applyBorder="1" applyAlignment="1">
      <alignment horizontal="center" vertical="center"/>
    </xf>
    <xf numFmtId="43" fontId="11" fillId="0" borderId="70" xfId="768" applyFont="1" applyBorder="1" applyAlignment="1">
      <alignment horizontal="center" vertical="center"/>
    </xf>
    <xf numFmtId="0" fontId="2" fillId="0" borderId="32" xfId="767" applyFont="1" applyBorder="1" applyAlignment="1" applyProtection="1">
      <alignment wrapText="1"/>
      <protection locked="0"/>
    </xf>
    <xf numFmtId="43" fontId="117" fillId="64" borderId="78" xfId="768" applyFont="1" applyFill="1" applyBorder="1" applyAlignment="1">
      <alignment horizontal="center" vertical="center"/>
    </xf>
    <xf numFmtId="0" fontId="27" fillId="0" borderId="68" xfId="524" applyBorder="1"/>
    <xf numFmtId="43" fontId="50" fillId="62" borderId="55" xfId="767" applyNumberFormat="1" applyFont="1" applyFill="1" applyBorder="1" applyAlignment="1">
      <alignment horizontal="center" vertical="center"/>
    </xf>
    <xf numFmtId="43" fontId="50" fillId="62" borderId="120" xfId="767" applyNumberFormat="1" applyFont="1" applyFill="1" applyBorder="1" applyAlignment="1">
      <alignment horizontal="center" vertical="center"/>
    </xf>
    <xf numFmtId="0" fontId="27" fillId="0" borderId="55" xfId="524" applyBorder="1"/>
    <xf numFmtId="0" fontId="51" fillId="65" borderId="121" xfId="767" applyFont="1" applyFill="1" applyBorder="1" applyAlignment="1">
      <alignment horizontal="center"/>
    </xf>
    <xf numFmtId="0" fontId="51" fillId="65" borderId="48" xfId="767" applyFont="1" applyFill="1" applyBorder="1" applyAlignment="1">
      <alignment horizontal="center"/>
    </xf>
    <xf numFmtId="0" fontId="51" fillId="65" borderId="48" xfId="767" applyFont="1" applyFill="1" applyBorder="1" applyAlignment="1">
      <alignment horizontal="center" vertical="center"/>
    </xf>
    <xf numFmtId="0" fontId="51" fillId="65" borderId="119" xfId="767" applyFont="1" applyFill="1" applyBorder="1" applyAlignment="1">
      <alignment horizontal="center" vertical="center"/>
    </xf>
    <xf numFmtId="0" fontId="51" fillId="65" borderId="49" xfId="767" applyFont="1" applyFill="1" applyBorder="1" applyAlignment="1">
      <alignment horizontal="center" vertical="center"/>
    </xf>
    <xf numFmtId="0" fontId="51" fillId="65" borderId="54" xfId="767" applyFont="1" applyFill="1" applyBorder="1" applyAlignment="1">
      <alignment horizontal="center" vertical="top"/>
    </xf>
    <xf numFmtId="0" fontId="51" fillId="65" borderId="70" xfId="767" applyFont="1" applyFill="1" applyBorder="1" applyAlignment="1">
      <alignment horizontal="center" vertical="top"/>
    </xf>
    <xf numFmtId="0" fontId="51" fillId="65" borderId="55" xfId="767" applyFont="1" applyFill="1" applyBorder="1" applyAlignment="1">
      <alignment horizontal="center" vertical="top"/>
    </xf>
    <xf numFmtId="43" fontId="50" fillId="65" borderId="78" xfId="767" applyNumberFormat="1" applyFont="1" applyFill="1" applyBorder="1" applyAlignment="1">
      <alignment horizontal="center" vertical="center"/>
    </xf>
    <xf numFmtId="43" fontId="50" fillId="62" borderId="78" xfId="767" applyNumberFormat="1" applyFont="1" applyFill="1" applyBorder="1" applyAlignment="1">
      <alignment horizontal="center" vertical="center"/>
    </xf>
    <xf numFmtId="43" fontId="11" fillId="62" borderId="70" xfId="768" applyFont="1" applyFill="1" applyBorder="1" applyAlignment="1">
      <alignment horizontal="center" vertical="center"/>
    </xf>
    <xf numFmtId="10" fontId="50" fillId="0" borderId="118" xfId="767" applyNumberFormat="1" applyFont="1" applyBorder="1" applyAlignment="1">
      <alignment horizontal="center" vertical="center"/>
    </xf>
    <xf numFmtId="3" fontId="11" fillId="0" borderId="75" xfId="379" applyNumberFormat="1" applyFont="1" applyFill="1" applyBorder="1" applyAlignment="1">
      <alignment horizontal="center"/>
    </xf>
    <xf numFmtId="3" fontId="11" fillId="0" borderId="50" xfId="379" applyNumberFormat="1" applyFont="1" applyFill="1" applyBorder="1" applyAlignment="1">
      <alignment horizontal="center"/>
    </xf>
    <xf numFmtId="3" fontId="11" fillId="0" borderId="56" xfId="379" applyNumberFormat="1" applyFont="1" applyFill="1" applyBorder="1" applyAlignment="1">
      <alignment horizontal="center"/>
    </xf>
    <xf numFmtId="0" fontId="11" fillId="66" borderId="39" xfId="0" applyFont="1" applyFill="1" applyBorder="1"/>
    <xf numFmtId="0" fontId="11" fillId="0" borderId="0" xfId="696" applyProtection="1">
      <protection locked="0"/>
    </xf>
    <xf numFmtId="0" fontId="18" fillId="0" borderId="0" xfId="696" applyFont="1" applyAlignment="1" applyProtection="1">
      <alignment horizontal="left"/>
      <protection locked="0"/>
    </xf>
    <xf numFmtId="0" fontId="89" fillId="0" borderId="0" xfId="696" applyFont="1" applyAlignment="1" applyProtection="1">
      <alignment horizontal="right" vertical="top"/>
      <protection locked="0"/>
    </xf>
    <xf numFmtId="0" fontId="1" fillId="0" borderId="0" xfId="1446" applyProtection="1">
      <protection locked="0"/>
    </xf>
    <xf numFmtId="0" fontId="89" fillId="33" borderId="122" xfId="696" applyFont="1" applyFill="1" applyBorder="1" applyAlignment="1" applyProtection="1">
      <alignment horizontal="right" vertical="top"/>
      <protection locked="0"/>
    </xf>
    <xf numFmtId="0" fontId="89" fillId="0" borderId="122" xfId="696" applyFont="1" applyBorder="1" applyAlignment="1" applyProtection="1">
      <alignment horizontal="right" vertical="top"/>
      <protection locked="0"/>
    </xf>
    <xf numFmtId="0" fontId="89" fillId="33" borderId="0" xfId="696" applyFont="1" applyFill="1" applyAlignment="1" applyProtection="1">
      <alignment horizontal="right" vertical="top"/>
      <protection locked="0"/>
    </xf>
    <xf numFmtId="15" fontId="89" fillId="33" borderId="0" xfId="696" applyNumberFormat="1" applyFont="1" applyFill="1" applyAlignment="1" applyProtection="1">
      <alignment vertical="top"/>
      <protection locked="0"/>
    </xf>
    <xf numFmtId="0" fontId="11" fillId="0" borderId="0" xfId="696" applyAlignment="1" applyProtection="1">
      <alignment horizontal="left"/>
      <protection locked="0"/>
    </xf>
    <xf numFmtId="49" fontId="124" fillId="0" borderId="0" xfId="597" applyNumberFormat="1" applyFont="1" applyBorder="1" applyAlignment="1" applyProtection="1">
      <alignment vertical="top" wrapText="1"/>
      <protection locked="0"/>
    </xf>
    <xf numFmtId="49" fontId="1" fillId="0" borderId="0" xfId="1446" applyNumberFormat="1" applyAlignment="1" applyProtection="1">
      <alignment vertical="top" wrapText="1"/>
      <protection locked="0"/>
    </xf>
    <xf numFmtId="49" fontId="125" fillId="0" borderId="0" xfId="597" applyNumberFormat="1" applyFont="1" applyBorder="1" applyAlignment="1" applyProtection="1">
      <alignment vertical="top" wrapText="1"/>
      <protection locked="0"/>
    </xf>
    <xf numFmtId="0" fontId="81" fillId="34" borderId="45" xfId="1446" applyFont="1" applyFill="1" applyBorder="1" applyAlignment="1" applyProtection="1">
      <alignment horizontal="right"/>
      <protection locked="0"/>
    </xf>
    <xf numFmtId="0" fontId="81" fillId="34" borderId="0" xfId="1446" applyFont="1" applyFill="1" applyAlignment="1" applyProtection="1">
      <alignment horizontal="right"/>
      <protection locked="0"/>
    </xf>
    <xf numFmtId="0" fontId="81" fillId="34" borderId="41" xfId="1446" applyFont="1" applyFill="1" applyBorder="1" applyAlignment="1" applyProtection="1">
      <alignment horizontal="right"/>
      <protection locked="0"/>
    </xf>
    <xf numFmtId="0" fontId="81" fillId="0" borderId="45" xfId="1446" applyFont="1" applyBorder="1" applyProtection="1">
      <protection locked="0"/>
    </xf>
    <xf numFmtId="0" fontId="81" fillId="0" borderId="123" xfId="1446" applyFont="1" applyBorder="1" applyProtection="1">
      <protection locked="0"/>
    </xf>
    <xf numFmtId="0" fontId="1" fillId="0" borderId="45" xfId="1446" applyBorder="1" applyProtection="1">
      <protection locked="0"/>
    </xf>
    <xf numFmtId="10" fontId="124" fillId="0" borderId="0" xfId="611" applyNumberFormat="1" applyFont="1" applyBorder="1" applyProtection="1">
      <protection locked="0"/>
    </xf>
    <xf numFmtId="10" fontId="124" fillId="0" borderId="99" xfId="611" applyNumberFormat="1" applyFont="1" applyBorder="1" applyProtection="1">
      <protection locked="0"/>
    </xf>
    <xf numFmtId="10" fontId="124" fillId="0" borderId="41" xfId="611" applyNumberFormat="1" applyFont="1" applyBorder="1" applyProtection="1">
      <protection locked="0"/>
    </xf>
    <xf numFmtId="0" fontId="1" fillId="0" borderId="123" xfId="1446" applyBorder="1" applyProtection="1">
      <protection locked="0"/>
    </xf>
    <xf numFmtId="9" fontId="0" fillId="68" borderId="0" xfId="611" applyFont="1" applyFill="1" applyProtection="1">
      <protection locked="0"/>
    </xf>
    <xf numFmtId="9" fontId="1" fillId="68" borderId="0" xfId="1446" applyNumberFormat="1" applyFill="1" applyProtection="1">
      <protection locked="0"/>
    </xf>
    <xf numFmtId="9" fontId="1" fillId="0" borderId="0" xfId="1446" applyNumberFormat="1" applyProtection="1">
      <protection locked="0"/>
    </xf>
    <xf numFmtId="0" fontId="1" fillId="0" borderId="93" xfId="1446" applyBorder="1" applyProtection="1">
      <protection locked="0"/>
    </xf>
    <xf numFmtId="0" fontId="1" fillId="0" borderId="98" xfId="1446" applyBorder="1" applyProtection="1">
      <protection locked="0"/>
    </xf>
    <xf numFmtId="10" fontId="124" fillId="0" borderId="100" xfId="611" applyNumberFormat="1" applyFont="1" applyBorder="1" applyProtection="1">
      <protection locked="0"/>
    </xf>
    <xf numFmtId="10" fontId="124" fillId="0" borderId="94" xfId="611" applyNumberFormat="1" applyFont="1" applyBorder="1" applyProtection="1">
      <protection locked="0"/>
    </xf>
    <xf numFmtId="10" fontId="81" fillId="0" borderId="0" xfId="1446" applyNumberFormat="1" applyFont="1" applyProtection="1">
      <protection locked="0"/>
    </xf>
    <xf numFmtId="10" fontId="81" fillId="0" borderId="99" xfId="1446" applyNumberFormat="1" applyFont="1" applyBorder="1" applyProtection="1">
      <protection locked="0"/>
    </xf>
    <xf numFmtId="10" fontId="81" fillId="0" borderId="41" xfId="1446" applyNumberFormat="1" applyFont="1" applyBorder="1" applyProtection="1">
      <protection locked="0"/>
    </xf>
    <xf numFmtId="43" fontId="124" fillId="33" borderId="0" xfId="597" applyNumberFormat="1" applyFont="1" applyFill="1" applyBorder="1" applyProtection="1">
      <protection locked="0"/>
    </xf>
    <xf numFmtId="43" fontId="124" fillId="0" borderId="41" xfId="597" applyNumberFormat="1" applyFont="1" applyBorder="1" applyProtection="1">
      <protection locked="0"/>
    </xf>
    <xf numFmtId="43" fontId="124" fillId="0" borderId="0" xfId="597" applyNumberFormat="1" applyFont="1" applyBorder="1" applyProtection="1">
      <protection locked="0"/>
    </xf>
    <xf numFmtId="43" fontId="124" fillId="0" borderId="98" xfId="597" applyNumberFormat="1" applyFont="1" applyBorder="1" applyProtection="1">
      <protection locked="0"/>
    </xf>
    <xf numFmtId="43" fontId="124" fillId="0" borderId="94" xfId="597" applyNumberFormat="1" applyFont="1" applyBorder="1" applyProtection="1">
      <protection locked="0"/>
    </xf>
    <xf numFmtId="0" fontId="1" fillId="33" borderId="45" xfId="1446" applyFill="1" applyBorder="1" applyProtection="1">
      <protection locked="0"/>
    </xf>
    <xf numFmtId="0" fontId="1" fillId="33" borderId="123" xfId="1446" applyFill="1" applyBorder="1" applyProtection="1">
      <protection locked="0"/>
    </xf>
    <xf numFmtId="0" fontId="81" fillId="0" borderId="46" xfId="1446" applyFont="1" applyBorder="1" applyProtection="1">
      <protection locked="0"/>
    </xf>
    <xf numFmtId="43" fontId="81" fillId="0" borderId="25" xfId="597" applyNumberFormat="1" applyFont="1" applyBorder="1" applyProtection="1">
      <protection locked="0"/>
    </xf>
    <xf numFmtId="43" fontId="81" fillId="0" borderId="101" xfId="597" applyNumberFormat="1" applyFont="1" applyBorder="1" applyProtection="1">
      <protection locked="0"/>
    </xf>
    <xf numFmtId="43" fontId="81" fillId="0" borderId="40" xfId="597" applyNumberFormat="1" applyFont="1" applyBorder="1" applyProtection="1">
      <protection locked="0"/>
    </xf>
    <xf numFmtId="0" fontId="1" fillId="0" borderId="46" xfId="1446" applyBorder="1" applyProtection="1">
      <protection locked="0"/>
    </xf>
    <xf numFmtId="0" fontId="1" fillId="0" borderId="124" xfId="1446" applyBorder="1" applyProtection="1">
      <protection locked="0"/>
    </xf>
    <xf numFmtId="0" fontId="81" fillId="0" borderId="0" xfId="1446" applyFont="1" applyProtection="1">
      <protection locked="0"/>
    </xf>
    <xf numFmtId="43" fontId="81" fillId="0" borderId="0" xfId="597" applyNumberFormat="1" applyFont="1" applyBorder="1" applyProtection="1">
      <protection locked="0"/>
    </xf>
    <xf numFmtId="0" fontId="81" fillId="62" borderId="45" xfId="1446" applyFont="1" applyFill="1" applyBorder="1" applyAlignment="1" applyProtection="1">
      <alignment horizontal="right"/>
      <protection locked="0"/>
    </xf>
    <xf numFmtId="0" fontId="81" fillId="62" borderId="0" xfId="1446" applyFont="1" applyFill="1" applyAlignment="1" applyProtection="1">
      <alignment horizontal="right"/>
      <protection locked="0"/>
    </xf>
    <xf numFmtId="0" fontId="81" fillId="62" borderId="41" xfId="1446" applyFont="1" applyFill="1" applyBorder="1" applyAlignment="1" applyProtection="1">
      <alignment horizontal="right"/>
      <protection locked="0"/>
    </xf>
    <xf numFmtId="10" fontId="124" fillId="61" borderId="0" xfId="611" applyNumberFormat="1" applyFont="1" applyFill="1" applyBorder="1" applyProtection="1">
      <protection locked="0"/>
    </xf>
    <xf numFmtId="10" fontId="124" fillId="61" borderId="99" xfId="611" applyNumberFormat="1" applyFont="1" applyFill="1" applyBorder="1" applyProtection="1">
      <protection locked="0"/>
    </xf>
    <xf numFmtId="0" fontId="81" fillId="0" borderId="104" xfId="1446" applyFont="1" applyBorder="1" applyProtection="1">
      <protection locked="0"/>
    </xf>
    <xf numFmtId="10" fontId="81" fillId="0" borderId="105" xfId="1446" applyNumberFormat="1" applyFont="1" applyBorder="1" applyProtection="1">
      <protection locked="0"/>
    </xf>
    <xf numFmtId="10" fontId="81" fillId="0" borderId="106" xfId="1446" applyNumberFormat="1" applyFont="1" applyBorder="1" applyProtection="1">
      <protection locked="0"/>
    </xf>
    <xf numFmtId="10" fontId="81" fillId="0" borderId="107" xfId="1446" applyNumberFormat="1" applyFont="1" applyBorder="1" applyProtection="1">
      <protection locked="0"/>
    </xf>
    <xf numFmtId="43" fontId="124" fillId="61" borderId="0" xfId="597" applyNumberFormat="1" applyFont="1" applyFill="1" applyBorder="1" applyProtection="1">
      <protection locked="0"/>
    </xf>
    <xf numFmtId="43" fontId="124" fillId="61" borderId="99" xfId="597" applyNumberFormat="1" applyFont="1" applyFill="1" applyBorder="1" applyProtection="1">
      <protection locked="0"/>
    </xf>
    <xf numFmtId="43" fontId="124" fillId="33" borderId="103" xfId="597" applyNumberFormat="1" applyFont="1" applyFill="1" applyBorder="1" applyProtection="1">
      <protection locked="0"/>
    </xf>
    <xf numFmtId="43" fontId="124" fillId="61" borderId="103" xfId="597" applyNumberFormat="1" applyFont="1" applyFill="1" applyBorder="1" applyProtection="1">
      <protection locked="0"/>
    </xf>
    <xf numFmtId="43" fontId="124" fillId="61" borderId="102" xfId="597" applyNumberFormat="1" applyFont="1" applyFill="1" applyBorder="1" applyProtection="1">
      <protection locked="0"/>
    </xf>
    <xf numFmtId="43" fontId="124" fillId="0" borderId="0" xfId="597" applyNumberFormat="1" applyFont="1" applyFill="1" applyBorder="1" applyProtection="1">
      <protection locked="0"/>
    </xf>
    <xf numFmtId="43" fontId="124" fillId="33" borderId="100" xfId="597" applyNumberFormat="1" applyFont="1" applyFill="1" applyBorder="1" applyProtection="1">
      <protection locked="0"/>
    </xf>
    <xf numFmtId="0" fontId="1" fillId="0" borderId="0" xfId="1446" applyAlignment="1" applyProtection="1">
      <alignment vertical="top" wrapText="1"/>
      <protection locked="0"/>
    </xf>
    <xf numFmtId="0" fontId="81" fillId="34" borderId="45" xfId="1446" applyFont="1" applyFill="1" applyBorder="1" applyAlignment="1" applyProtection="1">
      <alignment horizontal="center"/>
      <protection locked="0"/>
    </xf>
    <xf numFmtId="0" fontId="81" fillId="34" borderId="0" xfId="1446" applyFont="1" applyFill="1" applyAlignment="1" applyProtection="1">
      <alignment horizontal="center"/>
      <protection locked="0"/>
    </xf>
    <xf numFmtId="0" fontId="81" fillId="34" borderId="41" xfId="1446" applyFont="1" applyFill="1" applyBorder="1" applyAlignment="1" applyProtection="1">
      <alignment horizontal="center"/>
      <protection locked="0"/>
    </xf>
    <xf numFmtId="0" fontId="81" fillId="35" borderId="41" xfId="1446" applyFont="1" applyFill="1" applyBorder="1" applyAlignment="1" applyProtection="1">
      <alignment horizontal="center"/>
      <protection locked="0"/>
    </xf>
    <xf numFmtId="0" fontId="81" fillId="34" borderId="38" xfId="1446" applyFont="1" applyFill="1" applyBorder="1" applyAlignment="1" applyProtection="1">
      <alignment horizontal="center"/>
      <protection locked="0"/>
    </xf>
    <xf numFmtId="0" fontId="81" fillId="34" borderId="70" xfId="1446" applyFont="1" applyFill="1" applyBorder="1" applyAlignment="1" applyProtection="1">
      <alignment horizontal="center"/>
      <protection locked="0"/>
    </xf>
    <xf numFmtId="0" fontId="81" fillId="34" borderId="78" xfId="1446" applyFont="1" applyFill="1" applyBorder="1" applyAlignment="1" applyProtection="1">
      <alignment horizontal="center"/>
      <protection locked="0"/>
    </xf>
    <xf numFmtId="0" fontId="1" fillId="34" borderId="45" xfId="1446" applyFill="1" applyBorder="1" applyAlignment="1" applyProtection="1">
      <alignment vertical="top"/>
      <protection locked="0"/>
    </xf>
    <xf numFmtId="0" fontId="1" fillId="34" borderId="0" xfId="1446" applyFill="1" applyAlignment="1" applyProtection="1">
      <alignment vertical="top"/>
      <protection locked="0"/>
    </xf>
    <xf numFmtId="0" fontId="81" fillId="34" borderId="41" xfId="1446" applyFont="1" applyFill="1" applyBorder="1" applyAlignment="1" applyProtection="1">
      <alignment horizontal="center" wrapText="1"/>
      <protection locked="0"/>
    </xf>
    <xf numFmtId="0" fontId="81" fillId="34" borderId="70" xfId="1446" applyFont="1" applyFill="1" applyBorder="1" applyAlignment="1" applyProtection="1">
      <alignment horizontal="center" vertical="center"/>
      <protection locked="0"/>
    </xf>
    <xf numFmtId="0" fontId="81" fillId="34" borderId="78" xfId="1446" applyFont="1" applyFill="1" applyBorder="1" applyAlignment="1" applyProtection="1">
      <alignment horizontal="center" vertical="center" wrapText="1"/>
      <protection locked="0"/>
    </xf>
    <xf numFmtId="0" fontId="1" fillId="0" borderId="45" xfId="1446" applyBorder="1" applyAlignment="1" applyProtection="1">
      <alignment vertical="top"/>
      <protection locked="0"/>
    </xf>
    <xf numFmtId="0" fontId="1" fillId="0" borderId="0" xfId="1446" applyAlignment="1" applyProtection="1">
      <alignment vertical="top"/>
      <protection locked="0"/>
    </xf>
    <xf numFmtId="0" fontId="81" fillId="33" borderId="0" xfId="1446" applyFont="1" applyFill="1" applyAlignment="1" applyProtection="1">
      <alignment vertical="top"/>
      <protection locked="0"/>
    </xf>
    <xf numFmtId="0" fontId="81" fillId="0" borderId="0" xfId="1446" applyFont="1" applyAlignment="1" applyProtection="1">
      <alignment vertical="top"/>
      <protection locked="0"/>
    </xf>
    <xf numFmtId="0" fontId="81" fillId="0" borderId="41" xfId="1446" applyFont="1" applyBorder="1" applyAlignment="1" applyProtection="1">
      <alignment horizontal="center" vertical="top" wrapText="1"/>
      <protection locked="0"/>
    </xf>
    <xf numFmtId="0" fontId="81" fillId="33" borderId="125" xfId="1446" applyFont="1" applyFill="1" applyBorder="1" applyAlignment="1" applyProtection="1">
      <alignment vertical="top"/>
      <protection locked="0"/>
    </xf>
    <xf numFmtId="0" fontId="1" fillId="0" borderId="93" xfId="1446" applyBorder="1" applyAlignment="1" applyProtection="1">
      <alignment vertical="top"/>
      <protection locked="0"/>
    </xf>
    <xf numFmtId="0" fontId="1" fillId="0" borderId="98" xfId="1446" applyBorder="1" applyAlignment="1" applyProtection="1">
      <alignment vertical="top"/>
      <protection locked="0"/>
    </xf>
    <xf numFmtId="0" fontId="81" fillId="33" borderId="98" xfId="1446" applyFont="1" applyFill="1" applyBorder="1" applyAlignment="1" applyProtection="1">
      <alignment vertical="top"/>
      <protection locked="0"/>
    </xf>
    <xf numFmtId="0" fontId="1" fillId="0" borderId="25" xfId="1446" applyBorder="1" applyProtection="1">
      <protection locked="0"/>
    </xf>
    <xf numFmtId="10" fontId="125" fillId="0" borderId="40" xfId="611" applyNumberFormat="1" applyFont="1" applyBorder="1" applyProtection="1">
      <protection locked="0"/>
    </xf>
    <xf numFmtId="0" fontId="81" fillId="0" borderId="0" xfId="1446" applyFont="1" applyAlignment="1" applyProtection="1">
      <alignment vertical="top" wrapText="1"/>
      <protection locked="0"/>
    </xf>
    <xf numFmtId="10" fontId="125" fillId="0" borderId="0" xfId="611" applyNumberFormat="1" applyFont="1" applyBorder="1" applyProtection="1">
      <protection locked="0"/>
    </xf>
    <xf numFmtId="0" fontId="1" fillId="0" borderId="0" xfId="1446" applyAlignment="1" applyProtection="1">
      <alignment horizontal="left" vertical="top" wrapText="1"/>
      <protection locked="0"/>
    </xf>
    <xf numFmtId="0" fontId="81" fillId="0" borderId="47" xfId="1446" applyFont="1" applyBorder="1" applyAlignment="1" applyProtection="1">
      <alignment vertical="top" wrapText="1"/>
      <protection locked="0"/>
    </xf>
    <xf numFmtId="0" fontId="81" fillId="0" borderId="48" xfId="1446" applyFont="1" applyBorder="1" applyAlignment="1" applyProtection="1">
      <alignment horizontal="center" vertical="center" wrapText="1"/>
      <protection locked="0"/>
    </xf>
    <xf numFmtId="0" fontId="127" fillId="0" borderId="48" xfId="796" applyNumberFormat="1" applyFont="1" applyBorder="1" applyAlignment="1" applyProtection="1">
      <alignment horizontal="center" vertical="center"/>
      <protection locked="0"/>
    </xf>
    <xf numFmtId="0" fontId="1" fillId="0" borderId="49" xfId="1446" applyBorder="1" applyProtection="1">
      <protection locked="0"/>
    </xf>
    <xf numFmtId="0" fontId="81" fillId="0" borderId="45" xfId="1446" applyFont="1" applyBorder="1" applyAlignment="1" applyProtection="1">
      <alignment horizontal="left" vertical="center" wrapText="1"/>
      <protection locked="0"/>
    </xf>
    <xf numFmtId="0" fontId="81" fillId="35" borderId="1" xfId="1446" applyFont="1" applyFill="1" applyBorder="1" applyAlignment="1" applyProtection="1">
      <alignment horizontal="center" vertical="center" wrapText="1"/>
      <protection locked="0"/>
    </xf>
    <xf numFmtId="10" fontId="125" fillId="0" borderId="41" xfId="611" applyNumberFormat="1" applyFont="1" applyBorder="1" applyAlignment="1" applyProtection="1">
      <alignment horizontal="center" vertical="center" wrapText="1"/>
      <protection locked="0"/>
    </xf>
    <xf numFmtId="0" fontId="128" fillId="0" borderId="46" xfId="1446" applyFont="1" applyBorder="1" applyAlignment="1" applyProtection="1">
      <alignment horizontal="left" vertical="top" wrapText="1"/>
      <protection locked="0"/>
    </xf>
    <xf numFmtId="0" fontId="129" fillId="0" borderId="25" xfId="1446" applyFont="1" applyBorder="1" applyAlignment="1" applyProtection="1">
      <alignment vertical="top" wrapText="1"/>
      <protection locked="0"/>
    </xf>
    <xf numFmtId="0" fontId="129" fillId="69" borderId="25" xfId="1446" applyFont="1" applyFill="1" applyBorder="1" applyAlignment="1" applyProtection="1">
      <alignment vertical="top" wrapText="1"/>
      <protection locked="0"/>
    </xf>
    <xf numFmtId="0" fontId="128" fillId="0" borderId="0" xfId="1446" applyFont="1" applyAlignment="1" applyProtection="1">
      <alignment horizontal="left" vertical="top" wrapText="1"/>
      <protection locked="0"/>
    </xf>
    <xf numFmtId="0" fontId="129" fillId="0" borderId="0" xfId="1446" applyFont="1" applyAlignment="1" applyProtection="1">
      <alignment vertical="top" wrapText="1"/>
      <protection locked="0"/>
    </xf>
    <xf numFmtId="0" fontId="126" fillId="0" borderId="0" xfId="1446" applyFont="1" applyAlignment="1" applyProtection="1">
      <alignment horizontal="center" vertical="top" wrapText="1"/>
      <protection locked="0"/>
    </xf>
    <xf numFmtId="0" fontId="1" fillId="0" borderId="47" xfId="1446" applyBorder="1" applyProtection="1">
      <protection locked="0"/>
    </xf>
    <xf numFmtId="0" fontId="81" fillId="34" borderId="47" xfId="1446" applyFont="1" applyFill="1" applyBorder="1" applyAlignment="1" applyProtection="1">
      <alignment horizontal="center"/>
      <protection locked="0"/>
    </xf>
    <xf numFmtId="0" fontId="81" fillId="34" borderId="48" xfId="1446" applyFont="1" applyFill="1" applyBorder="1" applyAlignment="1" applyProtection="1">
      <alignment horizontal="center"/>
      <protection locked="0"/>
    </xf>
    <xf numFmtId="0" fontId="81" fillId="34" borderId="48" xfId="1446" applyFont="1" applyFill="1" applyBorder="1" applyAlignment="1" applyProtection="1">
      <alignment horizontal="center" vertical="center"/>
      <protection locked="0"/>
    </xf>
    <xf numFmtId="0" fontId="81" fillId="34" borderId="3" xfId="1446" applyFont="1" applyFill="1" applyBorder="1" applyAlignment="1" applyProtection="1">
      <alignment horizontal="center" vertical="center"/>
      <protection locked="0"/>
    </xf>
    <xf numFmtId="0" fontId="1" fillId="0" borderId="38" xfId="1446" applyBorder="1" applyProtection="1">
      <protection locked="0"/>
    </xf>
    <xf numFmtId="0" fontId="81" fillId="34" borderId="45" xfId="1446" applyFont="1" applyFill="1" applyBorder="1" applyAlignment="1" applyProtection="1">
      <alignment vertical="top"/>
      <protection locked="0"/>
    </xf>
    <xf numFmtId="0" fontId="81" fillId="34" borderId="0" xfId="1446" applyFont="1" applyFill="1" applyAlignment="1" applyProtection="1">
      <alignment vertical="top"/>
      <protection locked="0"/>
    </xf>
    <xf numFmtId="0" fontId="81" fillId="34" borderId="74" xfId="1446" applyFont="1" applyFill="1" applyBorder="1" applyAlignment="1" applyProtection="1">
      <alignment vertical="top"/>
      <protection locked="0"/>
    </xf>
    <xf numFmtId="0" fontId="1" fillId="0" borderId="45" xfId="1446" applyBorder="1" applyAlignment="1" applyProtection="1">
      <alignment wrapText="1"/>
      <protection locked="0"/>
    </xf>
    <xf numFmtId="43" fontId="1" fillId="0" borderId="1" xfId="1446" applyNumberFormat="1" applyBorder="1" applyAlignment="1" applyProtection="1">
      <alignment horizontal="center" vertical="center"/>
      <protection locked="0"/>
    </xf>
    <xf numFmtId="43" fontId="1" fillId="0" borderId="50" xfId="1446" applyNumberFormat="1" applyBorder="1" applyAlignment="1" applyProtection="1">
      <alignment horizontal="center" vertical="center"/>
      <protection locked="0"/>
    </xf>
    <xf numFmtId="43" fontId="1" fillId="0" borderId="126" xfId="1446" applyNumberFormat="1" applyBorder="1" applyAlignment="1" applyProtection="1">
      <alignment horizontal="center" vertical="center"/>
      <protection locked="0"/>
    </xf>
    <xf numFmtId="0" fontId="1" fillId="69" borderId="38" xfId="1446" applyFill="1" applyBorder="1" applyAlignment="1" applyProtection="1">
      <alignment wrapText="1"/>
      <protection locked="0"/>
    </xf>
    <xf numFmtId="43" fontId="125" fillId="33" borderId="1" xfId="796" applyFont="1" applyFill="1" applyBorder="1" applyAlignment="1" applyProtection="1">
      <alignment horizontal="center" vertical="center"/>
      <protection locked="0"/>
    </xf>
    <xf numFmtId="43" fontId="1" fillId="33" borderId="1" xfId="1446" applyNumberFormat="1" applyFill="1" applyBorder="1" applyAlignment="1" applyProtection="1">
      <alignment horizontal="center" vertical="center"/>
      <protection locked="0"/>
    </xf>
    <xf numFmtId="0" fontId="1" fillId="62" borderId="15" xfId="1446" applyFill="1" applyBorder="1" applyAlignment="1" applyProtection="1">
      <alignment wrapText="1"/>
      <protection locked="0"/>
    </xf>
    <xf numFmtId="43" fontId="1" fillId="62" borderId="1" xfId="1446" applyNumberFormat="1" applyFill="1" applyBorder="1" applyAlignment="1" applyProtection="1">
      <alignment horizontal="center" vertical="center"/>
      <protection locked="0"/>
    </xf>
    <xf numFmtId="43" fontId="1" fillId="62" borderId="50" xfId="1446" applyNumberFormat="1" applyFill="1" applyBorder="1" applyAlignment="1" applyProtection="1">
      <alignment horizontal="center" vertical="center"/>
      <protection locked="0"/>
    </xf>
    <xf numFmtId="43" fontId="1" fillId="62" borderId="126" xfId="1446" applyNumberFormat="1" applyFill="1" applyBorder="1" applyAlignment="1" applyProtection="1">
      <alignment horizontal="center" vertical="center"/>
      <protection locked="0"/>
    </xf>
    <xf numFmtId="0" fontId="1" fillId="0" borderId="127" xfId="1446" applyBorder="1" applyAlignment="1" applyProtection="1">
      <alignment wrapText="1"/>
      <protection locked="0"/>
    </xf>
    <xf numFmtId="0" fontId="1" fillId="62" borderId="93" xfId="1446" applyFill="1" applyBorder="1" applyAlignment="1" applyProtection="1">
      <alignment wrapText="1"/>
      <protection locked="0"/>
    </xf>
    <xf numFmtId="43" fontId="125" fillId="0" borderId="1" xfId="597" applyNumberFormat="1" applyFont="1" applyBorder="1" applyAlignment="1" applyProtection="1">
      <alignment horizontal="center" vertical="center"/>
      <protection locked="0"/>
    </xf>
    <xf numFmtId="43" fontId="125" fillId="0" borderId="50" xfId="597" applyNumberFormat="1" applyFont="1" applyBorder="1" applyAlignment="1" applyProtection="1">
      <alignment horizontal="center" vertical="center"/>
      <protection locked="0"/>
    </xf>
    <xf numFmtId="43" fontId="125" fillId="69" borderId="126" xfId="597" applyNumberFormat="1" applyFont="1" applyFill="1" applyBorder="1" applyAlignment="1" applyProtection="1">
      <alignment horizontal="center" vertical="center"/>
      <protection locked="0"/>
    </xf>
    <xf numFmtId="43" fontId="125" fillId="62" borderId="1" xfId="597" applyNumberFormat="1" applyFont="1" applyFill="1" applyBorder="1" applyAlignment="1" applyProtection="1">
      <alignment horizontal="center" vertical="center"/>
      <protection locked="0"/>
    </xf>
    <xf numFmtId="43" fontId="125" fillId="62" borderId="50" xfId="597" applyNumberFormat="1" applyFont="1" applyFill="1" applyBorder="1" applyAlignment="1" applyProtection="1">
      <alignment horizontal="center" vertical="center"/>
      <protection locked="0"/>
    </xf>
    <xf numFmtId="43" fontId="125" fillId="62" borderId="126" xfId="597" applyNumberFormat="1" applyFont="1" applyFill="1" applyBorder="1" applyAlignment="1" applyProtection="1">
      <alignment horizontal="center" vertical="center"/>
      <protection locked="0"/>
    </xf>
    <xf numFmtId="10" fontId="125" fillId="33" borderId="1" xfId="611" applyNumberFormat="1" applyFont="1" applyFill="1" applyBorder="1" applyAlignment="1" applyProtection="1">
      <alignment horizontal="center" vertical="center"/>
      <protection locked="0"/>
    </xf>
    <xf numFmtId="43" fontId="79" fillId="0" borderId="1" xfId="597" applyNumberFormat="1" applyFont="1" applyBorder="1" applyAlignment="1" applyProtection="1">
      <alignment horizontal="center" vertical="center"/>
      <protection locked="0"/>
    </xf>
    <xf numFmtId="43" fontId="125" fillId="0" borderId="126" xfId="597" applyNumberFormat="1" applyFont="1" applyBorder="1" applyAlignment="1" applyProtection="1">
      <alignment horizontal="center" vertical="center"/>
      <protection locked="0"/>
    </xf>
    <xf numFmtId="0" fontId="1" fillId="69" borderId="46" xfId="1446" applyFill="1" applyBorder="1" applyAlignment="1" applyProtection="1">
      <alignment wrapText="1"/>
      <protection locked="0"/>
    </xf>
    <xf numFmtId="43" fontId="125" fillId="69" borderId="128" xfId="597" applyNumberFormat="1" applyFont="1" applyFill="1" applyBorder="1" applyAlignment="1" applyProtection="1">
      <alignment horizontal="center" vertical="center"/>
      <protection locked="0"/>
    </xf>
    <xf numFmtId="0" fontId="1" fillId="0" borderId="0" xfId="1446" applyAlignment="1" applyProtection="1">
      <alignment wrapText="1"/>
      <protection locked="0"/>
    </xf>
    <xf numFmtId="43" fontId="125" fillId="0" borderId="0" xfId="597" applyNumberFormat="1" applyFont="1" applyBorder="1" applyAlignment="1" applyProtection="1">
      <alignment horizontal="center" vertical="center"/>
      <protection locked="0"/>
    </xf>
    <xf numFmtId="43" fontId="11" fillId="0" borderId="23" xfId="379" applyFont="1" applyFill="1" applyBorder="1" applyAlignment="1">
      <alignment horizontal="center"/>
    </xf>
    <xf numFmtId="17" fontId="11" fillId="0" borderId="23" xfId="0" applyNumberFormat="1" applyFont="1" applyBorder="1" applyAlignment="1" applyProtection="1">
      <alignment horizontal="center"/>
      <protection locked="0"/>
    </xf>
    <xf numFmtId="17" fontId="11" fillId="0" borderId="23" xfId="0" applyNumberFormat="1" applyFont="1" applyBorder="1" applyAlignment="1">
      <alignment horizontal="center"/>
    </xf>
    <xf numFmtId="1" fontId="11" fillId="0" borderId="1" xfId="0" applyNumberFormat="1" applyFont="1" applyBorder="1" applyProtection="1">
      <protection locked="0"/>
    </xf>
    <xf numFmtId="1" fontId="11" fillId="0" borderId="23" xfId="379" applyNumberFormat="1" applyFont="1" applyFill="1" applyBorder="1" applyAlignment="1">
      <alignment horizontal="center"/>
    </xf>
    <xf numFmtId="1" fontId="11" fillId="0" borderId="23" xfId="0" applyNumberFormat="1" applyFont="1" applyBorder="1" applyProtection="1">
      <protection locked="0"/>
    </xf>
    <xf numFmtId="1" fontId="11" fillId="0" borderId="23" xfId="379" applyNumberFormat="1" applyFont="1" applyFill="1" applyBorder="1" applyAlignment="1" applyProtection="1">
      <alignment horizontal="center"/>
      <protection locked="0"/>
    </xf>
    <xf numFmtId="17" fontId="11" fillId="0" borderId="1" xfId="0" applyNumberFormat="1" applyFont="1" applyBorder="1" applyAlignment="1" applyProtection="1">
      <alignment horizontal="center"/>
      <protection locked="0"/>
    </xf>
    <xf numFmtId="2" fontId="11" fillId="0" borderId="0" xfId="0" applyNumberFormat="1" applyFont="1" applyAlignment="1" applyProtection="1">
      <alignment horizontal="center" vertical="center"/>
      <protection locked="0"/>
    </xf>
    <xf numFmtId="2" fontId="11" fillId="0" borderId="0" xfId="0" applyNumberFormat="1" applyFont="1" applyProtection="1">
      <protection locked="0"/>
    </xf>
    <xf numFmtId="1" fontId="11" fillId="65" borderId="23" xfId="0" applyNumberFormat="1" applyFont="1" applyFill="1" applyBorder="1" applyProtection="1">
      <protection locked="0"/>
    </xf>
    <xf numFmtId="170" fontId="11" fillId="65" borderId="1" xfId="379" applyNumberFormat="1" applyFont="1" applyFill="1" applyBorder="1" applyAlignment="1" applyProtection="1">
      <alignment horizontal="center"/>
      <protection locked="0"/>
    </xf>
    <xf numFmtId="43" fontId="11" fillId="65" borderId="1" xfId="379" applyFont="1" applyFill="1" applyBorder="1" applyAlignment="1" applyProtection="1">
      <alignment horizontal="center"/>
      <protection locked="0"/>
    </xf>
    <xf numFmtId="43" fontId="11" fillId="0" borderId="1" xfId="379" applyFont="1" applyFill="1" applyBorder="1" applyAlignment="1" applyProtection="1">
      <alignment horizontal="center"/>
      <protection locked="0"/>
    </xf>
    <xf numFmtId="1" fontId="11" fillId="65" borderId="23" xfId="379" applyNumberFormat="1" applyFont="1" applyFill="1" applyBorder="1" applyAlignment="1" applyProtection="1">
      <alignment horizontal="center"/>
      <protection locked="0"/>
    </xf>
    <xf numFmtId="0" fontId="132" fillId="0" borderId="0" xfId="0" applyFont="1"/>
    <xf numFmtId="0" fontId="133" fillId="0" borderId="0" xfId="0" applyFont="1"/>
    <xf numFmtId="0" fontId="133" fillId="0" borderId="0" xfId="0" applyFont="1" applyProtection="1">
      <protection locked="0"/>
    </xf>
    <xf numFmtId="0" fontId="133" fillId="0" borderId="0" xfId="0" applyFont="1" applyAlignment="1" applyProtection="1">
      <alignment horizontal="center"/>
      <protection locked="0"/>
    </xf>
    <xf numFmtId="0" fontId="133" fillId="0" borderId="129" xfId="0" applyFont="1" applyBorder="1"/>
    <xf numFmtId="0" fontId="133" fillId="0" borderId="129" xfId="0" applyFont="1" applyBorder="1" applyAlignment="1">
      <alignment vertical="center"/>
    </xf>
    <xf numFmtId="0" fontId="133" fillId="0" borderId="129" xfId="0" applyFont="1" applyBorder="1" applyProtection="1">
      <protection locked="0"/>
    </xf>
    <xf numFmtId="0" fontId="133" fillId="0" borderId="129" xfId="0" applyFont="1" applyBorder="1" applyAlignment="1" applyProtection="1">
      <alignment horizontal="center"/>
      <protection locked="0"/>
    </xf>
    <xf numFmtId="3" fontId="11" fillId="33" borderId="21" xfId="379" applyNumberFormat="1" applyFont="1" applyFill="1" applyBorder="1" applyAlignment="1">
      <alignment horizontal="center"/>
    </xf>
    <xf numFmtId="49" fontId="11" fillId="33" borderId="15" xfId="0" applyNumberFormat="1" applyFont="1" applyFill="1" applyBorder="1" applyAlignment="1">
      <alignment horizontal="center"/>
    </xf>
    <xf numFmtId="17" fontId="11" fillId="33" borderId="15" xfId="0" applyNumberFormat="1" applyFont="1" applyFill="1" applyBorder="1" applyAlignment="1">
      <alignment horizontal="center"/>
    </xf>
    <xf numFmtId="1" fontId="11" fillId="33" borderId="2" xfId="379" applyNumberFormat="1" applyFont="1" applyFill="1" applyBorder="1" applyAlignment="1">
      <alignment horizontal="center"/>
    </xf>
    <xf numFmtId="1" fontId="44" fillId="33" borderId="51" xfId="0" applyNumberFormat="1" applyFont="1" applyFill="1" applyBorder="1" applyAlignment="1">
      <alignment horizontal="center"/>
    </xf>
    <xf numFmtId="1" fontId="11" fillId="33" borderId="2" xfId="0" applyNumberFormat="1" applyFont="1" applyFill="1" applyBorder="1" applyAlignment="1">
      <alignment horizontal="center"/>
    </xf>
    <xf numFmtId="1" fontId="11" fillId="33" borderId="51" xfId="0" applyNumberFormat="1" applyFont="1" applyFill="1" applyBorder="1" applyAlignment="1">
      <alignment horizontal="center"/>
    </xf>
    <xf numFmtId="1" fontId="11" fillId="33" borderId="2" xfId="379" applyNumberFormat="1" applyFont="1" applyFill="1" applyBorder="1" applyAlignment="1">
      <alignment horizontal="center" vertical="center"/>
    </xf>
    <xf numFmtId="1" fontId="46" fillId="33" borderId="2" xfId="0" applyNumberFormat="1" applyFont="1" applyFill="1" applyBorder="1" applyAlignment="1">
      <alignment horizontal="center"/>
    </xf>
    <xf numFmtId="1" fontId="27" fillId="33" borderId="2" xfId="0" applyNumberFormat="1" applyFont="1" applyFill="1" applyBorder="1" applyAlignment="1">
      <alignment horizontal="center"/>
    </xf>
    <xf numFmtId="1" fontId="11" fillId="33" borderId="9" xfId="0" applyNumberFormat="1" applyFont="1" applyFill="1" applyBorder="1" applyAlignment="1">
      <alignment horizontal="center"/>
    </xf>
    <xf numFmtId="1" fontId="44" fillId="33" borderId="67" xfId="0" applyNumberFormat="1" applyFont="1" applyFill="1" applyBorder="1" applyAlignment="1">
      <alignment horizontal="center"/>
    </xf>
    <xf numFmtId="1" fontId="11" fillId="33" borderId="10" xfId="379" applyNumberFormat="1" applyFont="1" applyFill="1" applyBorder="1" applyAlignment="1">
      <alignment horizontal="center"/>
    </xf>
    <xf numFmtId="1" fontId="11" fillId="33" borderId="9" xfId="379" applyNumberFormat="1" applyFont="1" applyFill="1" applyBorder="1" applyAlignment="1">
      <alignment horizontal="center"/>
    </xf>
    <xf numFmtId="1" fontId="11" fillId="33" borderId="67" xfId="0" applyNumberFormat="1" applyFont="1" applyFill="1" applyBorder="1" applyAlignment="1">
      <alignment horizontal="center"/>
    </xf>
    <xf numFmtId="3" fontId="121" fillId="33" borderId="21" xfId="0" applyNumberFormat="1" applyFont="1" applyFill="1" applyBorder="1" applyAlignment="1">
      <alignment horizontal="center"/>
    </xf>
    <xf numFmtId="3" fontId="121" fillId="33" borderId="8" xfId="0" applyNumberFormat="1" applyFont="1" applyFill="1" applyBorder="1" applyAlignment="1">
      <alignment horizontal="center"/>
    </xf>
    <xf numFmtId="3" fontId="121" fillId="33" borderId="2" xfId="379" applyNumberFormat="1" applyFont="1" applyFill="1" applyBorder="1" applyAlignment="1">
      <alignment horizontal="center"/>
    </xf>
    <xf numFmtId="43" fontId="11" fillId="0" borderId="23" xfId="379" applyFont="1" applyFill="1" applyBorder="1" applyAlignment="1"/>
    <xf numFmtId="0" fontId="133" fillId="0" borderId="0" xfId="0" applyFont="1" applyAlignment="1">
      <alignment vertical="center"/>
    </xf>
    <xf numFmtId="0" fontId="134" fillId="0" borderId="129" xfId="0" applyFont="1" applyBorder="1" applyAlignment="1" applyProtection="1">
      <alignment horizontal="center"/>
      <protection locked="0"/>
    </xf>
    <xf numFmtId="0" fontId="134" fillId="0" borderId="129" xfId="0" applyFont="1" applyBorder="1" applyProtection="1">
      <protection locked="0"/>
    </xf>
    <xf numFmtId="39" fontId="133" fillId="0" borderId="129" xfId="0" applyNumberFormat="1" applyFont="1" applyBorder="1" applyAlignment="1">
      <alignment horizontal="center"/>
    </xf>
    <xf numFmtId="10" fontId="133" fillId="0" borderId="129" xfId="0" applyNumberFormat="1" applyFont="1" applyBorder="1" applyAlignment="1">
      <alignment horizontal="center"/>
    </xf>
    <xf numFmtId="177" fontId="133" fillId="0" borderId="129" xfId="0" applyNumberFormat="1" applyFont="1" applyBorder="1" applyAlignment="1">
      <alignment horizontal="center"/>
    </xf>
    <xf numFmtId="2" fontId="133" fillId="0" borderId="129" xfId="0" applyNumberFormat="1" applyFont="1" applyBorder="1" applyAlignment="1" applyProtection="1">
      <alignment horizontal="center"/>
      <protection locked="0"/>
    </xf>
    <xf numFmtId="49" fontId="133" fillId="0" borderId="1" xfId="0" applyNumberFormat="1" applyFont="1" applyBorder="1" applyAlignment="1" applyProtection="1">
      <alignment horizontal="center"/>
      <protection locked="0"/>
    </xf>
    <xf numFmtId="43" fontId="133" fillId="0" borderId="1" xfId="379" applyFont="1" applyBorder="1" applyAlignment="1" applyProtection="1">
      <alignment horizontal="center"/>
      <protection locked="0"/>
    </xf>
    <xf numFmtId="185" fontId="133" fillId="0" borderId="1" xfId="557" applyNumberFormat="1" applyFont="1" applyBorder="1" applyAlignment="1" applyProtection="1">
      <alignment horizontal="center"/>
      <protection locked="0"/>
    </xf>
    <xf numFmtId="0" fontId="134" fillId="70" borderId="1" xfId="0" applyFont="1" applyFill="1" applyBorder="1" applyAlignment="1" applyProtection="1">
      <alignment horizontal="center"/>
      <protection locked="0"/>
    </xf>
    <xf numFmtId="3" fontId="27" fillId="33" borderId="2" xfId="379" applyNumberFormat="1" applyFont="1" applyFill="1" applyBorder="1" applyAlignment="1">
      <alignment horizontal="center"/>
    </xf>
    <xf numFmtId="3" fontId="27" fillId="33" borderId="2" xfId="0" applyNumberFormat="1" applyFont="1" applyFill="1" applyBorder="1" applyAlignment="1">
      <alignment horizontal="center"/>
    </xf>
    <xf numFmtId="3" fontId="27" fillId="33" borderId="1" xfId="0" applyNumberFormat="1" applyFont="1" applyFill="1" applyBorder="1" applyAlignment="1">
      <alignment horizontal="center"/>
    </xf>
    <xf numFmtId="3" fontId="44" fillId="33" borderId="2" xfId="379" applyNumberFormat="1" applyFont="1" applyFill="1" applyBorder="1" applyAlignment="1">
      <alignment horizontal="center"/>
    </xf>
    <xf numFmtId="0" fontId="18" fillId="66" borderId="1" xfId="0" applyFont="1" applyFill="1" applyBorder="1" applyAlignment="1" applyProtection="1">
      <alignment horizontal="center"/>
      <protection locked="0"/>
    </xf>
    <xf numFmtId="2" fontId="11" fillId="0" borderId="1" xfId="379" applyNumberFormat="1" applyFont="1" applyFill="1" applyBorder="1" applyAlignment="1" applyProtection="1">
      <alignment horizontal="center"/>
      <protection locked="0"/>
    </xf>
    <xf numFmtId="43" fontId="11" fillId="71" borderId="23" xfId="379" applyFont="1" applyFill="1" applyBorder="1" applyAlignment="1">
      <alignment horizontal="center"/>
    </xf>
    <xf numFmtId="0" fontId="15" fillId="0" borderId="25" xfId="0" applyFont="1" applyBorder="1"/>
    <xf numFmtId="37" fontId="133" fillId="0" borderId="1" xfId="379" applyNumberFormat="1" applyFont="1" applyBorder="1" applyAlignment="1" applyProtection="1">
      <alignment horizontal="center"/>
      <protection locked="0"/>
    </xf>
    <xf numFmtId="170" fontId="11" fillId="0" borderId="1" xfId="379" applyNumberFormat="1" applyFont="1" applyFill="1" applyBorder="1" applyAlignment="1" applyProtection="1">
      <alignment horizontal="center" vertical="center"/>
      <protection locked="0"/>
    </xf>
    <xf numFmtId="170" fontId="11" fillId="0" borderId="23" xfId="379" applyNumberFormat="1" applyFont="1" applyFill="1" applyBorder="1" applyAlignment="1">
      <alignment horizontal="center" vertical="center"/>
    </xf>
    <xf numFmtId="170" fontId="11" fillId="0" borderId="23" xfId="379" applyNumberFormat="1" applyFont="1" applyFill="1" applyBorder="1" applyAlignment="1" applyProtection="1">
      <alignment horizontal="center" vertical="center"/>
      <protection locked="0"/>
    </xf>
    <xf numFmtId="170" fontId="11" fillId="0" borderId="23" xfId="379" applyNumberFormat="1" applyFont="1" applyFill="1" applyBorder="1" applyAlignment="1" applyProtection="1">
      <alignment horizontal="center"/>
      <protection locked="0"/>
    </xf>
    <xf numFmtId="170" fontId="11" fillId="65" borderId="1" xfId="379" applyNumberFormat="1" applyFont="1" applyFill="1" applyBorder="1" applyAlignment="1" applyProtection="1">
      <alignment horizontal="center" vertical="center"/>
      <protection locked="0"/>
    </xf>
    <xf numFmtId="170" fontId="11" fillId="65" borderId="23" xfId="379" applyNumberFormat="1" applyFont="1" applyFill="1" applyBorder="1" applyAlignment="1">
      <alignment horizontal="center" vertical="center"/>
    </xf>
    <xf numFmtId="170" fontId="11" fillId="65" borderId="23" xfId="379" applyNumberFormat="1" applyFont="1" applyFill="1" applyBorder="1" applyAlignment="1">
      <alignment horizontal="center"/>
    </xf>
    <xf numFmtId="170" fontId="11" fillId="65" borderId="23" xfId="379" applyNumberFormat="1" applyFont="1" applyFill="1" applyBorder="1" applyAlignment="1" applyProtection="1">
      <alignment horizontal="center"/>
      <protection locked="0"/>
    </xf>
    <xf numFmtId="170" fontId="11" fillId="65" borderId="23" xfId="379" applyNumberFormat="1" applyFont="1" applyFill="1" applyBorder="1" applyAlignment="1" applyProtection="1">
      <alignment horizontal="center" vertical="center"/>
      <protection locked="0"/>
    </xf>
    <xf numFmtId="170" fontId="11" fillId="0" borderId="23" xfId="379" applyNumberFormat="1" applyFont="1" applyBorder="1" applyProtection="1">
      <protection locked="0"/>
    </xf>
    <xf numFmtId="172" fontId="135" fillId="33" borderId="0" xfId="1447" applyNumberFormat="1" applyFill="1" applyBorder="1" applyAlignment="1">
      <alignment horizontal="left"/>
    </xf>
    <xf numFmtId="172" fontId="11" fillId="33" borderId="0" xfId="383" applyNumberFormat="1" applyFont="1" applyFill="1" applyBorder="1" applyAlignment="1">
      <alignment horizontal="left"/>
    </xf>
    <xf numFmtId="172" fontId="11" fillId="0" borderId="0" xfId="383" applyNumberFormat="1" applyFont="1" applyFill="1" applyBorder="1" applyAlignment="1">
      <alignment horizontal="center"/>
    </xf>
    <xf numFmtId="0" fontId="25" fillId="0" borderId="0" xfId="0" applyFont="1" applyAlignment="1">
      <alignment horizontal="center" vertical="top"/>
    </xf>
    <xf numFmtId="0" fontId="26" fillId="0" borderId="0" xfId="0" applyFont="1" applyAlignment="1">
      <alignment horizontal="left" vertical="top"/>
    </xf>
    <xf numFmtId="0" fontId="63" fillId="0" borderId="0" xfId="0" applyFont="1" applyAlignment="1">
      <alignment horizontal="center" vertical="center" wrapText="1"/>
    </xf>
    <xf numFmtId="0" fontId="18" fillId="0" borderId="15" xfId="0" applyFont="1" applyBorder="1" applyAlignment="1">
      <alignment horizontal="center"/>
    </xf>
    <xf numFmtId="0" fontId="18" fillId="0" borderId="52" xfId="0" applyFont="1" applyBorder="1" applyAlignment="1">
      <alignment horizontal="center"/>
    </xf>
    <xf numFmtId="0" fontId="18" fillId="0" borderId="20" xfId="0" applyFont="1" applyBorder="1" applyAlignment="1">
      <alignment horizontal="center"/>
    </xf>
    <xf numFmtId="0" fontId="18" fillId="0" borderId="13" xfId="0" applyFont="1" applyBorder="1" applyAlignment="1">
      <alignment horizontal="center"/>
    </xf>
    <xf numFmtId="49" fontId="18" fillId="0" borderId="14" xfId="0" applyNumberFormat="1" applyFont="1" applyBorder="1" applyAlignment="1">
      <alignment horizontal="center" wrapText="1"/>
    </xf>
    <xf numFmtId="0" fontId="18" fillId="0" borderId="24" xfId="0" applyFont="1" applyBorder="1" applyAlignment="1">
      <alignment horizontal="center" wrapText="1"/>
    </xf>
    <xf numFmtId="0" fontId="18" fillId="0" borderId="53" xfId="0" applyFont="1" applyBorder="1" applyAlignment="1">
      <alignment horizontal="center" wrapText="1"/>
    </xf>
    <xf numFmtId="49" fontId="18" fillId="0" borderId="20" xfId="0" applyNumberFormat="1" applyFont="1" applyBorder="1" applyAlignment="1">
      <alignment horizontal="center"/>
    </xf>
    <xf numFmtId="49" fontId="18" fillId="0" borderId="24" xfId="0" applyNumberFormat="1" applyFont="1" applyBorder="1" applyAlignment="1">
      <alignment horizontal="center"/>
    </xf>
    <xf numFmtId="0" fontId="18" fillId="0" borderId="51" xfId="0" applyFont="1" applyBorder="1" applyAlignment="1">
      <alignment horizontal="center"/>
    </xf>
    <xf numFmtId="0" fontId="18" fillId="0" borderId="19" xfId="0" applyFont="1" applyBorder="1" applyAlignment="1">
      <alignment horizontal="center"/>
    </xf>
    <xf numFmtId="0" fontId="18" fillId="0" borderId="12" xfId="0" applyFont="1" applyBorder="1" applyAlignment="1">
      <alignment horizontal="center"/>
    </xf>
    <xf numFmtId="2" fontId="18" fillId="0" borderId="20" xfId="0" applyNumberFormat="1" applyFont="1" applyBorder="1" applyAlignment="1">
      <alignment horizontal="center"/>
    </xf>
    <xf numFmtId="2" fontId="18" fillId="0" borderId="13" xfId="0" applyNumberFormat="1" applyFont="1" applyBorder="1" applyAlignment="1">
      <alignment horizontal="center"/>
    </xf>
    <xf numFmtId="170" fontId="11" fillId="0" borderId="14" xfId="379" applyNumberFormat="1" applyFont="1" applyBorder="1" applyAlignment="1">
      <alignment horizontal="center"/>
    </xf>
    <xf numFmtId="170" fontId="11" fillId="0" borderId="53" xfId="379" applyNumberFormat="1" applyFont="1" applyBorder="1" applyAlignment="1">
      <alignment horizontal="center"/>
    </xf>
    <xf numFmtId="0" fontId="11" fillId="66" borderId="47" xfId="0" applyFont="1" applyFill="1" applyBorder="1" applyAlignment="1">
      <alignment horizontal="center" vertical="center" wrapText="1"/>
    </xf>
    <xf numFmtId="0" fontId="11" fillId="66" borderId="49" xfId="0" applyFont="1" applyFill="1" applyBorder="1" applyAlignment="1">
      <alignment horizontal="center" vertical="center" wrapText="1"/>
    </xf>
    <xf numFmtId="0" fontId="18" fillId="0" borderId="50" xfId="0" applyFont="1" applyBorder="1" applyAlignment="1">
      <alignment horizontal="center"/>
    </xf>
    <xf numFmtId="0" fontId="18" fillId="0" borderId="21" xfId="0" applyFont="1" applyBorder="1" applyAlignment="1">
      <alignment horizontal="center"/>
    </xf>
    <xf numFmtId="49" fontId="11" fillId="66" borderId="47" xfId="0" applyNumberFormat="1" applyFont="1" applyFill="1" applyBorder="1" applyAlignment="1">
      <alignment horizontal="center"/>
    </xf>
    <xf numFmtId="0" fontId="11" fillId="66" borderId="49" xfId="0" applyFont="1" applyFill="1" applyBorder="1" applyAlignment="1">
      <alignment horizontal="center"/>
    </xf>
    <xf numFmtId="49" fontId="11" fillId="66" borderId="47" xfId="0" applyNumberFormat="1" applyFont="1" applyFill="1" applyBorder="1" applyAlignment="1">
      <alignment horizontal="center" vertical="center" wrapText="1"/>
    </xf>
    <xf numFmtId="0" fontId="18" fillId="0" borderId="1" xfId="0" applyFont="1" applyBorder="1" applyAlignment="1" applyProtection="1">
      <alignment horizontal="center"/>
      <protection locked="0"/>
    </xf>
    <xf numFmtId="0" fontId="62" fillId="0" borderId="0" xfId="0" applyFont="1" applyAlignment="1" applyProtection="1">
      <alignment horizontal="center" vertical="center"/>
      <protection locked="0"/>
    </xf>
    <xf numFmtId="0" fontId="66" fillId="0" borderId="1" xfId="860" applyFont="1" applyBorder="1" applyAlignment="1">
      <alignment horizontal="center"/>
    </xf>
    <xf numFmtId="0" fontId="18" fillId="0" borderId="82" xfId="0" applyFont="1" applyBorder="1" applyAlignment="1" applyProtection="1">
      <alignment horizontal="center"/>
      <protection locked="0"/>
    </xf>
    <xf numFmtId="0" fontId="18" fillId="0" borderId="0" xfId="0" applyFont="1" applyAlignment="1" applyProtection="1">
      <alignment horizontal="center"/>
      <protection locked="0"/>
    </xf>
    <xf numFmtId="0" fontId="134" fillId="66" borderId="129" xfId="0" applyFont="1" applyFill="1" applyBorder="1" applyAlignment="1">
      <alignment horizontal="center"/>
    </xf>
    <xf numFmtId="0" fontId="134" fillId="66" borderId="129" xfId="0" applyFont="1" applyFill="1" applyBorder="1" applyAlignment="1" applyProtection="1">
      <alignment horizontal="center"/>
      <protection locked="0"/>
    </xf>
    <xf numFmtId="0" fontId="134" fillId="66" borderId="130" xfId="0" applyFont="1" applyFill="1" applyBorder="1" applyAlignment="1" applyProtection="1">
      <alignment horizontal="center"/>
      <protection locked="0"/>
    </xf>
    <xf numFmtId="0" fontId="134" fillId="66" borderId="131" xfId="0" applyFont="1" applyFill="1" applyBorder="1" applyAlignment="1" applyProtection="1">
      <alignment horizontal="center"/>
      <protection locked="0"/>
    </xf>
    <xf numFmtId="0" fontId="134" fillId="66" borderId="132" xfId="0" applyFont="1" applyFill="1" applyBorder="1" applyAlignment="1" applyProtection="1">
      <alignment horizontal="center"/>
      <protection locked="0"/>
    </xf>
    <xf numFmtId="172" fontId="11" fillId="66" borderId="31" xfId="383" applyNumberFormat="1" applyFont="1" applyFill="1" applyBorder="1" applyAlignment="1">
      <alignment horizontal="center"/>
    </xf>
    <xf numFmtId="172" fontId="11" fillId="66" borderId="5" xfId="383" applyNumberFormat="1" applyFont="1" applyFill="1" applyBorder="1" applyAlignment="1">
      <alignment horizontal="center"/>
    </xf>
    <xf numFmtId="172" fontId="11" fillId="66" borderId="6" xfId="383" applyNumberFormat="1" applyFont="1" applyFill="1" applyBorder="1" applyAlignment="1">
      <alignment horizontal="center"/>
    </xf>
    <xf numFmtId="0" fontId="11" fillId="34" borderId="48" xfId="0" applyFont="1" applyFill="1" applyBorder="1" applyAlignment="1">
      <alignment horizontal="left" vertical="center" wrapText="1"/>
    </xf>
    <xf numFmtId="0" fontId="45" fillId="34" borderId="0" xfId="0" applyFont="1" applyFill="1" applyAlignment="1">
      <alignment horizontal="center" vertical="center"/>
    </xf>
    <xf numFmtId="0" fontId="11" fillId="0" borderId="39" xfId="0" applyFont="1" applyBorder="1" applyAlignment="1">
      <alignment horizontal="center"/>
    </xf>
    <xf numFmtId="0" fontId="11" fillId="0" borderId="26" xfId="0" applyFont="1" applyBorder="1" applyAlignment="1">
      <alignment horizontal="center"/>
    </xf>
    <xf numFmtId="0" fontId="11" fillId="0" borderId="42" xfId="0" applyFont="1" applyBorder="1" applyAlignment="1">
      <alignment horizontal="center"/>
    </xf>
    <xf numFmtId="0" fontId="46" fillId="0" borderId="12" xfId="0" applyFont="1" applyBorder="1" applyAlignment="1">
      <alignment horizontal="center" vertical="center" wrapText="1"/>
    </xf>
    <xf numFmtId="0" fontId="56" fillId="0" borderId="75" xfId="0" applyFont="1" applyBorder="1" applyAlignment="1">
      <alignment horizontal="center" vertical="center" wrapText="1"/>
    </xf>
    <xf numFmtId="0" fontId="56" fillId="0" borderId="20" xfId="0" applyFont="1" applyBorder="1" applyAlignment="1">
      <alignment horizontal="center" vertical="center" wrapText="1"/>
    </xf>
    <xf numFmtId="3" fontId="44" fillId="0" borderId="1" xfId="0" applyNumberFormat="1" applyFont="1" applyBorder="1" applyAlignment="1">
      <alignment horizontal="center" vertical="center" wrapText="1"/>
    </xf>
    <xf numFmtId="3" fontId="44" fillId="0" borderId="50" xfId="0" applyNumberFormat="1" applyFont="1" applyBorder="1" applyAlignment="1">
      <alignment horizontal="center" vertical="center" wrapText="1"/>
    </xf>
    <xf numFmtId="3" fontId="44" fillId="0" borderId="21" xfId="0" applyNumberFormat="1" applyFont="1" applyBorder="1" applyAlignment="1">
      <alignment horizontal="center" vertical="center" wrapText="1"/>
    </xf>
    <xf numFmtId="3" fontId="44" fillId="0" borderId="10" xfId="0" applyNumberFormat="1" applyFont="1" applyBorder="1" applyAlignment="1">
      <alignment horizontal="center" vertical="center" wrapText="1"/>
    </xf>
    <xf numFmtId="3" fontId="44" fillId="0" borderId="76" xfId="0" applyNumberFormat="1" applyFont="1" applyBorder="1" applyAlignment="1">
      <alignment horizontal="center" vertical="center" wrapText="1"/>
    </xf>
    <xf numFmtId="3" fontId="44" fillId="0" borderId="77" xfId="0" applyNumberFormat="1" applyFont="1" applyBorder="1" applyAlignment="1">
      <alignment horizontal="center" vertical="center" wrapText="1"/>
    </xf>
    <xf numFmtId="0" fontId="46" fillId="0" borderId="23" xfId="0" applyFont="1" applyBorder="1" applyAlignment="1">
      <alignment horizontal="center" vertical="center" wrapText="1"/>
    </xf>
    <xf numFmtId="0" fontId="56" fillId="0" borderId="54" xfId="0" applyFont="1" applyBorder="1" applyAlignment="1">
      <alignment horizontal="center" vertical="center" wrapText="1"/>
    </xf>
    <xf numFmtId="0" fontId="56" fillId="0" borderId="55" xfId="0" applyFont="1" applyBorder="1" applyAlignment="1">
      <alignment horizontal="center" vertical="center" wrapText="1"/>
    </xf>
    <xf numFmtId="0" fontId="58" fillId="0" borderId="0" xfId="0" applyFont="1" applyAlignment="1">
      <alignment horizontal="center"/>
    </xf>
    <xf numFmtId="0" fontId="56" fillId="0" borderId="54" xfId="0" applyFont="1" applyBorder="1" applyAlignment="1">
      <alignment horizontal="center" vertical="center"/>
    </xf>
    <xf numFmtId="0" fontId="56" fillId="0" borderId="55" xfId="0" applyFont="1" applyBorder="1" applyAlignment="1">
      <alignment horizontal="center" vertical="center"/>
    </xf>
    <xf numFmtId="0" fontId="11" fillId="34" borderId="48" xfId="0" applyFont="1" applyFill="1" applyBorder="1" applyAlignment="1">
      <alignment horizontal="center" vertical="center" wrapText="1"/>
    </xf>
    <xf numFmtId="172" fontId="11" fillId="0" borderId="31" xfId="383" applyNumberFormat="1" applyFont="1" applyFill="1" applyBorder="1" applyAlignment="1">
      <alignment horizontal="center"/>
    </xf>
    <xf numFmtId="172" fontId="11" fillId="0" borderId="5" xfId="383" applyNumberFormat="1" applyFont="1" applyFill="1" applyBorder="1" applyAlignment="1">
      <alignment horizontal="center"/>
    </xf>
    <xf numFmtId="172" fontId="11" fillId="0" borderId="6" xfId="383" applyNumberFormat="1" applyFont="1" applyFill="1" applyBorder="1" applyAlignment="1">
      <alignment horizontal="center"/>
    </xf>
    <xf numFmtId="2" fontId="85" fillId="66" borderId="3" xfId="379" applyNumberFormat="1" applyFont="1" applyFill="1" applyBorder="1" applyAlignment="1" applyProtection="1">
      <alignment horizontal="center" vertical="center"/>
      <protection locked="0"/>
    </xf>
    <xf numFmtId="2" fontId="85" fillId="66" borderId="79" xfId="379" applyNumberFormat="1" applyFont="1" applyFill="1" applyBorder="1" applyAlignment="1" applyProtection="1">
      <alignment horizontal="center" vertical="center"/>
      <protection locked="0"/>
    </xf>
    <xf numFmtId="0" fontId="58" fillId="0" borderId="19" xfId="0" applyFont="1" applyBorder="1" applyAlignment="1">
      <alignment horizontal="center"/>
    </xf>
    <xf numFmtId="0" fontId="58" fillId="0" borderId="24" xfId="0" applyFont="1" applyBorder="1" applyAlignment="1">
      <alignment horizontal="center"/>
    </xf>
    <xf numFmtId="0" fontId="58" fillId="0" borderId="13" xfId="0" applyFont="1" applyBorder="1" applyAlignment="1">
      <alignment horizontal="center"/>
    </xf>
    <xf numFmtId="0" fontId="67" fillId="0" borderId="50" xfId="0" applyFont="1" applyBorder="1" applyAlignment="1">
      <alignment horizontal="center"/>
    </xf>
    <xf numFmtId="0" fontId="67" fillId="0" borderId="51" xfId="0" applyFont="1" applyBorder="1" applyAlignment="1">
      <alignment horizontal="center"/>
    </xf>
    <xf numFmtId="0" fontId="67" fillId="0" borderId="21" xfId="0" applyFont="1" applyBorder="1" applyAlignment="1">
      <alignment horizontal="center"/>
    </xf>
    <xf numFmtId="0" fontId="50" fillId="0" borderId="0" xfId="767" applyFont="1" applyAlignment="1">
      <alignment horizontal="left" vertical="top" wrapText="1"/>
    </xf>
    <xf numFmtId="0" fontId="114" fillId="0" borderId="0" xfId="767" applyFont="1" applyAlignment="1">
      <alignment horizontal="left" vertical="top"/>
    </xf>
    <xf numFmtId="0" fontId="51" fillId="66" borderId="47" xfId="767" applyFont="1" applyFill="1" applyBorder="1" applyAlignment="1">
      <alignment horizontal="center" vertical="top"/>
    </xf>
    <xf numFmtId="0" fontId="51" fillId="66" borderId="48" xfId="767" applyFont="1" applyFill="1" applyBorder="1" applyAlignment="1">
      <alignment horizontal="center" vertical="top"/>
    </xf>
    <xf numFmtId="0" fontId="51" fillId="66" borderId="49" xfId="767" applyFont="1" applyFill="1" applyBorder="1" applyAlignment="1">
      <alignment horizontal="center" vertical="top"/>
    </xf>
    <xf numFmtId="171" fontId="21" fillId="66" borderId="45" xfId="768" applyNumberFormat="1" applyFont="1" applyFill="1" applyBorder="1" applyAlignment="1">
      <alignment horizontal="center"/>
    </xf>
    <xf numFmtId="171" fontId="21" fillId="66" borderId="0" xfId="768" applyNumberFormat="1" applyFont="1" applyFill="1" applyBorder="1" applyAlignment="1">
      <alignment horizontal="center"/>
    </xf>
    <xf numFmtId="171" fontId="21" fillId="66" borderId="41" xfId="768" applyNumberFormat="1" applyFont="1" applyFill="1" applyBorder="1" applyAlignment="1">
      <alignment horizontal="center"/>
    </xf>
    <xf numFmtId="0" fontId="51" fillId="66" borderId="47" xfId="767" applyFont="1" applyFill="1" applyBorder="1" applyAlignment="1">
      <alignment horizontal="center"/>
    </xf>
    <xf numFmtId="0" fontId="51" fillId="66" borderId="48" xfId="767" applyFont="1" applyFill="1" applyBorder="1" applyAlignment="1">
      <alignment horizontal="center"/>
    </xf>
    <xf numFmtId="0" fontId="51" fillId="66" borderId="49" xfId="767" applyFont="1" applyFill="1" applyBorder="1" applyAlignment="1">
      <alignment horizontal="center"/>
    </xf>
    <xf numFmtId="0" fontId="51" fillId="34" borderId="15" xfId="767" applyFont="1" applyFill="1" applyBorder="1" applyAlignment="1">
      <alignment horizontal="center" vertical="center"/>
    </xf>
    <xf numFmtId="0" fontId="51" fillId="34" borderId="51" xfId="767" applyFont="1" applyFill="1" applyBorder="1" applyAlignment="1">
      <alignment horizontal="center" vertical="center"/>
    </xf>
    <xf numFmtId="0" fontId="51" fillId="34" borderId="52" xfId="767" applyFont="1" applyFill="1" applyBorder="1" applyAlignment="1">
      <alignment horizontal="center" vertical="center"/>
    </xf>
    <xf numFmtId="0" fontId="26" fillId="0" borderId="0" xfId="696" applyFont="1" applyAlignment="1">
      <alignment horizontal="left"/>
    </xf>
    <xf numFmtId="0" fontId="114" fillId="0" borderId="0" xfId="767" applyFont="1" applyAlignment="1">
      <alignment horizontal="left" vertical="top" wrapText="1"/>
    </xf>
    <xf numFmtId="0" fontId="51" fillId="34" borderId="45" xfId="767" applyFont="1" applyFill="1" applyBorder="1" applyAlignment="1">
      <alignment horizontal="center" vertical="top"/>
    </xf>
    <xf numFmtId="0" fontId="51" fillId="34" borderId="0" xfId="767" applyFont="1" applyFill="1" applyAlignment="1">
      <alignment horizontal="center" vertical="top"/>
    </xf>
    <xf numFmtId="0" fontId="51" fillId="34" borderId="41" xfId="767" applyFont="1" applyFill="1" applyBorder="1" applyAlignment="1">
      <alignment horizontal="center" vertical="top"/>
    </xf>
    <xf numFmtId="0" fontId="114" fillId="0" borderId="0" xfId="767" applyFont="1" applyAlignment="1">
      <alignment horizontal="left"/>
    </xf>
    <xf numFmtId="0" fontId="51" fillId="0" borderId="0" xfId="767" applyFont="1" applyAlignment="1">
      <alignment horizontal="center" vertical="top" wrapText="1"/>
    </xf>
    <xf numFmtId="0" fontId="51" fillId="34" borderId="47" xfId="767" applyFont="1" applyFill="1" applyBorder="1" applyAlignment="1">
      <alignment horizontal="center"/>
    </xf>
    <xf numFmtId="0" fontId="51" fillId="34" borderId="48" xfId="767" applyFont="1" applyFill="1" applyBorder="1" applyAlignment="1">
      <alignment horizontal="center"/>
    </xf>
    <xf numFmtId="0" fontId="51" fillId="34" borderId="49" xfId="767" applyFont="1" applyFill="1" applyBorder="1" applyAlignment="1">
      <alignment horizontal="center"/>
    </xf>
    <xf numFmtId="0" fontId="51" fillId="34" borderId="45" xfId="767" applyFont="1" applyFill="1" applyBorder="1" applyAlignment="1">
      <alignment horizontal="left" vertical="center"/>
    </xf>
    <xf numFmtId="0" fontId="51" fillId="34" borderId="0" xfId="767" applyFont="1" applyFill="1" applyAlignment="1">
      <alignment horizontal="left" vertical="center"/>
    </xf>
    <xf numFmtId="0" fontId="50" fillId="34" borderId="38" xfId="767" applyFont="1" applyFill="1" applyBorder="1" applyAlignment="1">
      <alignment vertical="top" wrapText="1"/>
    </xf>
    <xf numFmtId="0" fontId="50" fillId="34" borderId="70" xfId="767" applyFont="1" applyFill="1" applyBorder="1" applyAlignment="1">
      <alignment vertical="top" wrapText="1"/>
    </xf>
    <xf numFmtId="0" fontId="51" fillId="0" borderId="46" xfId="767" applyFont="1" applyBorder="1" applyAlignment="1">
      <alignment vertical="top" wrapText="1"/>
    </xf>
    <xf numFmtId="0" fontId="51" fillId="0" borderId="25" xfId="767" applyFont="1" applyBorder="1" applyAlignment="1">
      <alignment vertical="top" wrapText="1"/>
    </xf>
    <xf numFmtId="171" fontId="21" fillId="66" borderId="45" xfId="768" applyNumberFormat="1" applyFont="1" applyFill="1" applyBorder="1" applyAlignment="1">
      <alignment horizontal="center" vertical="top"/>
    </xf>
    <xf numFmtId="171" fontId="21" fillId="66" borderId="0" xfId="768" applyNumberFormat="1" applyFont="1" applyFill="1" applyBorder="1" applyAlignment="1">
      <alignment horizontal="center" vertical="top"/>
    </xf>
    <xf numFmtId="171" fontId="21" fillId="66" borderId="41" xfId="768" applyNumberFormat="1" applyFont="1" applyFill="1" applyBorder="1" applyAlignment="1">
      <alignment horizontal="center" vertical="top"/>
    </xf>
    <xf numFmtId="0" fontId="124" fillId="0" borderId="0" xfId="1446" applyFont="1" applyAlignment="1" applyProtection="1">
      <alignment horizontal="left" vertical="top"/>
      <protection locked="0"/>
    </xf>
    <xf numFmtId="0" fontId="1" fillId="0" borderId="0" xfId="1446" applyAlignment="1" applyProtection="1">
      <alignment horizontal="left" vertical="top" wrapText="1"/>
      <protection locked="0"/>
    </xf>
    <xf numFmtId="0" fontId="129" fillId="0" borderId="0" xfId="1446" applyFont="1" applyAlignment="1" applyProtection="1">
      <alignment horizontal="left" vertical="top" wrapText="1"/>
      <protection locked="0"/>
    </xf>
    <xf numFmtId="0" fontId="81" fillId="34" borderId="47" xfId="1446" applyFont="1" applyFill="1" applyBorder="1" applyAlignment="1" applyProtection="1">
      <alignment horizontal="center"/>
      <protection locked="0"/>
    </xf>
    <xf numFmtId="0" fontId="81" fillId="34" borderId="48" xfId="1446" applyFont="1" applyFill="1" applyBorder="1" applyAlignment="1" applyProtection="1">
      <alignment horizontal="center"/>
      <protection locked="0"/>
    </xf>
    <xf numFmtId="0" fontId="81" fillId="34" borderId="49" xfId="1446" applyFont="1" applyFill="1" applyBorder="1" applyAlignment="1" applyProtection="1">
      <alignment horizontal="center"/>
      <protection locked="0"/>
    </xf>
    <xf numFmtId="0" fontId="81" fillId="34" borderId="45" xfId="1446" applyFont="1" applyFill="1" applyBorder="1" applyAlignment="1" applyProtection="1">
      <alignment horizontal="left" vertical="center"/>
      <protection locked="0"/>
    </xf>
    <xf numFmtId="0" fontId="81" fillId="34" borderId="0" xfId="1446" applyFont="1" applyFill="1" applyAlignment="1" applyProtection="1">
      <alignment horizontal="left" vertical="center"/>
      <protection locked="0"/>
    </xf>
    <xf numFmtId="0" fontId="1" fillId="34" borderId="38" xfId="1446" applyFill="1" applyBorder="1" applyAlignment="1" applyProtection="1">
      <alignment vertical="top" wrapText="1"/>
      <protection locked="0"/>
    </xf>
    <xf numFmtId="0" fontId="1" fillId="34" borderId="70" xfId="1446" applyFill="1" applyBorder="1" applyAlignment="1" applyProtection="1">
      <alignment vertical="top" wrapText="1"/>
      <protection locked="0"/>
    </xf>
    <xf numFmtId="0" fontId="81" fillId="0" borderId="46" xfId="1446" applyFont="1" applyBorder="1" applyAlignment="1" applyProtection="1">
      <alignment vertical="top" wrapText="1"/>
      <protection locked="0"/>
    </xf>
    <xf numFmtId="0" fontId="81" fillId="0" borderId="25" xfId="1446" applyFont="1" applyBorder="1" applyAlignment="1" applyProtection="1">
      <alignment vertical="top" wrapText="1"/>
      <protection locked="0"/>
    </xf>
    <xf numFmtId="0" fontId="81" fillId="0" borderId="0" xfId="1446" applyFont="1" applyAlignment="1" applyProtection="1">
      <alignment horizontal="center" vertical="top" wrapText="1"/>
      <protection locked="0"/>
    </xf>
    <xf numFmtId="0" fontId="126" fillId="0" borderId="0" xfId="1446" applyFont="1" applyAlignment="1" applyProtection="1">
      <alignment horizontal="center" vertical="top" wrapText="1"/>
      <protection locked="0"/>
    </xf>
    <xf numFmtId="0" fontId="126" fillId="0" borderId="0" xfId="1446" applyFont="1" applyAlignment="1" applyProtection="1">
      <alignment horizontal="center"/>
      <protection locked="0"/>
    </xf>
    <xf numFmtId="49" fontId="124" fillId="0" borderId="0" xfId="597" applyNumberFormat="1" applyFont="1" applyBorder="1" applyAlignment="1" applyProtection="1">
      <alignment horizontal="left" vertical="top" wrapText="1"/>
      <protection locked="0"/>
    </xf>
    <xf numFmtId="0" fontId="81" fillId="34" borderId="47" xfId="1446" applyFont="1" applyFill="1" applyBorder="1" applyAlignment="1" applyProtection="1">
      <alignment horizontal="center" wrapText="1"/>
      <protection locked="0"/>
    </xf>
    <xf numFmtId="0" fontId="81" fillId="34" borderId="49" xfId="1446" applyFont="1" applyFill="1" applyBorder="1" applyAlignment="1" applyProtection="1">
      <alignment horizontal="center" wrapText="1"/>
      <protection locked="0"/>
    </xf>
    <xf numFmtId="0" fontId="81" fillId="34" borderId="45" xfId="1446" applyFont="1" applyFill="1" applyBorder="1" applyAlignment="1" applyProtection="1">
      <alignment horizontal="center" wrapText="1"/>
      <protection locked="0"/>
    </xf>
    <xf numFmtId="0" fontId="81" fillId="34" borderId="41" xfId="1446" applyFont="1" applyFill="1" applyBorder="1" applyAlignment="1" applyProtection="1">
      <alignment horizontal="center" wrapText="1"/>
      <protection locked="0"/>
    </xf>
    <xf numFmtId="171" fontId="124" fillId="33" borderId="45" xfId="597" applyNumberFormat="1" applyFont="1" applyFill="1" applyBorder="1" applyAlignment="1" applyProtection="1">
      <alignment horizontal="center"/>
      <protection locked="0"/>
    </xf>
    <xf numFmtId="171" fontId="124" fillId="33" borderId="0" xfId="597" applyNumberFormat="1" applyFont="1" applyFill="1" applyBorder="1" applyAlignment="1" applyProtection="1">
      <alignment horizontal="center"/>
      <protection locked="0"/>
    </xf>
    <xf numFmtId="171" fontId="124" fillId="33" borderId="41" xfId="597" applyNumberFormat="1" applyFont="1" applyFill="1" applyBorder="1" applyAlignment="1" applyProtection="1">
      <alignment horizontal="center"/>
      <protection locked="0"/>
    </xf>
    <xf numFmtId="0" fontId="81" fillId="34" borderId="15" xfId="1446" applyFont="1" applyFill="1" applyBorder="1" applyAlignment="1" applyProtection="1">
      <alignment horizontal="center" vertical="center"/>
      <protection locked="0"/>
    </xf>
    <xf numFmtId="0" fontId="81" fillId="34" borderId="51" xfId="1446" applyFont="1" applyFill="1" applyBorder="1" applyAlignment="1" applyProtection="1">
      <alignment horizontal="center" vertical="center"/>
      <protection locked="0"/>
    </xf>
    <xf numFmtId="0" fontId="81" fillId="34" borderId="52" xfId="1446" applyFont="1" applyFill="1" applyBorder="1" applyAlignment="1" applyProtection="1">
      <alignment horizontal="center" vertical="center"/>
      <protection locked="0"/>
    </xf>
    <xf numFmtId="0" fontId="123" fillId="0" borderId="0" xfId="1446" applyFont="1" applyAlignment="1" applyProtection="1">
      <alignment horizontal="center" vertical="top"/>
      <protection locked="0"/>
    </xf>
    <xf numFmtId="0" fontId="81" fillId="62" borderId="47" xfId="1446" applyFont="1" applyFill="1" applyBorder="1" applyAlignment="1" applyProtection="1">
      <alignment horizontal="center" vertical="top"/>
      <protection locked="0"/>
    </xf>
    <xf numFmtId="0" fontId="81" fillId="62" borderId="48" xfId="1446" applyFont="1" applyFill="1" applyBorder="1" applyAlignment="1" applyProtection="1">
      <alignment horizontal="center" vertical="top"/>
      <protection locked="0"/>
    </xf>
    <xf numFmtId="0" fontId="81" fillId="62" borderId="49" xfId="1446" applyFont="1" applyFill="1" applyBorder="1" applyAlignment="1" applyProtection="1">
      <alignment horizontal="center" vertical="top"/>
      <protection locked="0"/>
    </xf>
    <xf numFmtId="171" fontId="124" fillId="33" borderId="45" xfId="597" applyNumberFormat="1" applyFont="1" applyFill="1" applyBorder="1" applyAlignment="1" applyProtection="1">
      <alignment horizontal="center" vertical="top"/>
      <protection locked="0"/>
    </xf>
    <xf numFmtId="171" fontId="124" fillId="33" borderId="0" xfId="597" applyNumberFormat="1" applyFont="1" applyFill="1" applyBorder="1" applyAlignment="1" applyProtection="1">
      <alignment horizontal="center" vertical="top"/>
      <protection locked="0"/>
    </xf>
    <xf numFmtId="171" fontId="124" fillId="33" borderId="41" xfId="597" applyNumberFormat="1" applyFont="1" applyFill="1" applyBorder="1" applyAlignment="1" applyProtection="1">
      <alignment horizontal="center" vertical="top"/>
      <protection locked="0"/>
    </xf>
    <xf numFmtId="0" fontId="81" fillId="34" borderId="45" xfId="1446" applyFont="1" applyFill="1" applyBorder="1" applyAlignment="1" applyProtection="1">
      <alignment horizontal="center" vertical="top"/>
      <protection locked="0"/>
    </xf>
    <xf numFmtId="0" fontId="81" fillId="34" borderId="0" xfId="1446" applyFont="1" applyFill="1" applyAlignment="1" applyProtection="1">
      <alignment horizontal="center" vertical="top"/>
      <protection locked="0"/>
    </xf>
    <xf numFmtId="0" fontId="81" fillId="34" borderId="41" xfId="1446" applyFont="1" applyFill="1" applyBorder="1" applyAlignment="1" applyProtection="1">
      <alignment horizontal="center" vertical="top"/>
      <protection locked="0"/>
    </xf>
    <xf numFmtId="0" fontId="25" fillId="0" borderId="0" xfId="696" applyFont="1" applyAlignment="1" applyProtection="1">
      <alignment horizontal="center"/>
      <protection locked="0"/>
    </xf>
    <xf numFmtId="0" fontId="1" fillId="0" borderId="0" xfId="1446" applyAlignment="1" applyProtection="1">
      <alignment horizontal="left" vertical="top"/>
      <protection locked="0"/>
    </xf>
    <xf numFmtId="2" fontId="11" fillId="0" borderId="75" xfId="0" applyNumberFormat="1" applyFont="1" applyBorder="1" applyAlignment="1">
      <alignment horizontal="center" wrapText="1"/>
    </xf>
    <xf numFmtId="2" fontId="11" fillId="0" borderId="20" xfId="0" applyNumberFormat="1" applyFont="1" applyBorder="1" applyAlignment="1">
      <alignment horizontal="center" wrapText="1"/>
    </xf>
    <xf numFmtId="2" fontId="11" fillId="0" borderId="53" xfId="0" applyNumberFormat="1" applyFont="1" applyBorder="1" applyAlignment="1">
      <alignment horizontal="center" wrapText="1"/>
    </xf>
    <xf numFmtId="2" fontId="11" fillId="0" borderId="12" xfId="0" applyNumberFormat="1" applyFont="1" applyBorder="1" applyAlignment="1">
      <alignment horizontal="center" wrapText="1"/>
    </xf>
    <xf numFmtId="0" fontId="11" fillId="0" borderId="12" xfId="0" applyFont="1" applyBorder="1" applyAlignment="1">
      <alignment horizontal="center" wrapText="1"/>
    </xf>
    <xf numFmtId="2" fontId="18" fillId="0" borderId="31" xfId="0" applyNumberFormat="1" applyFont="1" applyBorder="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cellXfs>
  <cellStyles count="1448">
    <cellStyle name="$" xfId="745" xr:uid="{00000000-0005-0000-0000-000000000000}"/>
    <cellStyle name="$.00" xfId="746" xr:uid="{00000000-0005-0000-0000-000001000000}"/>
    <cellStyle name="$_9. Rev2Cost_GDPIPI" xfId="747" xr:uid="{00000000-0005-0000-0000-000002000000}"/>
    <cellStyle name="$_lists" xfId="748" xr:uid="{00000000-0005-0000-0000-000003000000}"/>
    <cellStyle name="$_lists_4. Current Monthly Fixed Charge" xfId="749" xr:uid="{00000000-0005-0000-0000-000004000000}"/>
    <cellStyle name="$_Sheet4" xfId="750" xr:uid="{00000000-0005-0000-0000-000005000000}"/>
    <cellStyle name="$M" xfId="751" xr:uid="{00000000-0005-0000-0000-000006000000}"/>
    <cellStyle name="$M.00" xfId="752" xr:uid="{00000000-0005-0000-0000-000007000000}"/>
    <cellStyle name="$M_9. Rev2Cost_GDPIPI" xfId="753" xr:uid="{00000000-0005-0000-0000-000008000000}"/>
    <cellStyle name="20% - Accent1 10" xfId="1" xr:uid="{00000000-0005-0000-0000-000009000000}"/>
    <cellStyle name="20% - Accent1 11" xfId="2" xr:uid="{00000000-0005-0000-0000-00000A000000}"/>
    <cellStyle name="20% - Accent1 12" xfId="3" xr:uid="{00000000-0005-0000-0000-00000B000000}"/>
    <cellStyle name="20% - Accent1 13" xfId="4" xr:uid="{00000000-0005-0000-0000-00000C000000}"/>
    <cellStyle name="20% - Accent1 14" xfId="5" xr:uid="{00000000-0005-0000-0000-00000D000000}"/>
    <cellStyle name="20% - Accent1 15" xfId="6" xr:uid="{00000000-0005-0000-0000-00000E000000}"/>
    <cellStyle name="20% - Accent1 16" xfId="669" xr:uid="{00000000-0005-0000-0000-00000F000000}"/>
    <cellStyle name="20% - Accent1 2" xfId="7" xr:uid="{00000000-0005-0000-0000-000010000000}"/>
    <cellStyle name="20% - Accent1 2 2" xfId="716" xr:uid="{00000000-0005-0000-0000-000011000000}"/>
    <cellStyle name="20% - Accent1 3" xfId="8" xr:uid="{00000000-0005-0000-0000-000012000000}"/>
    <cellStyle name="20% - Accent1 4" xfId="9" xr:uid="{00000000-0005-0000-0000-000013000000}"/>
    <cellStyle name="20% - Accent1 5" xfId="10" xr:uid="{00000000-0005-0000-0000-000014000000}"/>
    <cellStyle name="20% - Accent1 6" xfId="11" xr:uid="{00000000-0005-0000-0000-000015000000}"/>
    <cellStyle name="20% - Accent1 7" xfId="12" xr:uid="{00000000-0005-0000-0000-000016000000}"/>
    <cellStyle name="20% - Accent1 8" xfId="13" xr:uid="{00000000-0005-0000-0000-000017000000}"/>
    <cellStyle name="20% - Accent1 9" xfId="14" xr:uid="{00000000-0005-0000-0000-000018000000}"/>
    <cellStyle name="20% - Accent2 10" xfId="15" xr:uid="{00000000-0005-0000-0000-000019000000}"/>
    <cellStyle name="20% - Accent2 11" xfId="16" xr:uid="{00000000-0005-0000-0000-00001A000000}"/>
    <cellStyle name="20% - Accent2 12" xfId="17" xr:uid="{00000000-0005-0000-0000-00001B000000}"/>
    <cellStyle name="20% - Accent2 13" xfId="18" xr:uid="{00000000-0005-0000-0000-00001C000000}"/>
    <cellStyle name="20% - Accent2 14" xfId="19" xr:uid="{00000000-0005-0000-0000-00001D000000}"/>
    <cellStyle name="20% - Accent2 15" xfId="20" xr:uid="{00000000-0005-0000-0000-00001E000000}"/>
    <cellStyle name="20% - Accent2 16" xfId="670" xr:uid="{00000000-0005-0000-0000-00001F000000}"/>
    <cellStyle name="20% - Accent2 2" xfId="21" xr:uid="{00000000-0005-0000-0000-000020000000}"/>
    <cellStyle name="20% - Accent2 2 2" xfId="720" xr:uid="{00000000-0005-0000-0000-000021000000}"/>
    <cellStyle name="20% - Accent2 3" xfId="22" xr:uid="{00000000-0005-0000-0000-000022000000}"/>
    <cellStyle name="20% - Accent2 4" xfId="23" xr:uid="{00000000-0005-0000-0000-000023000000}"/>
    <cellStyle name="20% - Accent2 5" xfId="24" xr:uid="{00000000-0005-0000-0000-000024000000}"/>
    <cellStyle name="20% - Accent2 6" xfId="25" xr:uid="{00000000-0005-0000-0000-000025000000}"/>
    <cellStyle name="20% - Accent2 7" xfId="26" xr:uid="{00000000-0005-0000-0000-000026000000}"/>
    <cellStyle name="20% - Accent2 8" xfId="27" xr:uid="{00000000-0005-0000-0000-000027000000}"/>
    <cellStyle name="20% - Accent2 9" xfId="28" xr:uid="{00000000-0005-0000-0000-000028000000}"/>
    <cellStyle name="20% - Accent3 10" xfId="29" xr:uid="{00000000-0005-0000-0000-000029000000}"/>
    <cellStyle name="20% - Accent3 11" xfId="30" xr:uid="{00000000-0005-0000-0000-00002A000000}"/>
    <cellStyle name="20% - Accent3 12" xfId="31" xr:uid="{00000000-0005-0000-0000-00002B000000}"/>
    <cellStyle name="20% - Accent3 13" xfId="32" xr:uid="{00000000-0005-0000-0000-00002C000000}"/>
    <cellStyle name="20% - Accent3 14" xfId="33" xr:uid="{00000000-0005-0000-0000-00002D000000}"/>
    <cellStyle name="20% - Accent3 15" xfId="34" xr:uid="{00000000-0005-0000-0000-00002E000000}"/>
    <cellStyle name="20% - Accent3 16" xfId="671" xr:uid="{00000000-0005-0000-0000-00002F000000}"/>
    <cellStyle name="20% - Accent3 2" xfId="35" xr:uid="{00000000-0005-0000-0000-000030000000}"/>
    <cellStyle name="20% - Accent3 2 2" xfId="724" xr:uid="{00000000-0005-0000-0000-000031000000}"/>
    <cellStyle name="20% - Accent3 3" xfId="36" xr:uid="{00000000-0005-0000-0000-000032000000}"/>
    <cellStyle name="20% - Accent3 4" xfId="37" xr:uid="{00000000-0005-0000-0000-000033000000}"/>
    <cellStyle name="20% - Accent3 5" xfId="38" xr:uid="{00000000-0005-0000-0000-000034000000}"/>
    <cellStyle name="20% - Accent3 6" xfId="39" xr:uid="{00000000-0005-0000-0000-000035000000}"/>
    <cellStyle name="20% - Accent3 7" xfId="40" xr:uid="{00000000-0005-0000-0000-000036000000}"/>
    <cellStyle name="20% - Accent3 8" xfId="41" xr:uid="{00000000-0005-0000-0000-000037000000}"/>
    <cellStyle name="20% - Accent3 9" xfId="42" xr:uid="{00000000-0005-0000-0000-000038000000}"/>
    <cellStyle name="20% - Accent4 10" xfId="43" xr:uid="{00000000-0005-0000-0000-000039000000}"/>
    <cellStyle name="20% - Accent4 11" xfId="44" xr:uid="{00000000-0005-0000-0000-00003A000000}"/>
    <cellStyle name="20% - Accent4 12" xfId="45" xr:uid="{00000000-0005-0000-0000-00003B000000}"/>
    <cellStyle name="20% - Accent4 13" xfId="46" xr:uid="{00000000-0005-0000-0000-00003C000000}"/>
    <cellStyle name="20% - Accent4 14" xfId="47" xr:uid="{00000000-0005-0000-0000-00003D000000}"/>
    <cellStyle name="20% - Accent4 15" xfId="48" xr:uid="{00000000-0005-0000-0000-00003E000000}"/>
    <cellStyle name="20% - Accent4 16" xfId="672" xr:uid="{00000000-0005-0000-0000-00003F000000}"/>
    <cellStyle name="20% - Accent4 2" xfId="49" xr:uid="{00000000-0005-0000-0000-000040000000}"/>
    <cellStyle name="20% - Accent4 2 2" xfId="728" xr:uid="{00000000-0005-0000-0000-000041000000}"/>
    <cellStyle name="20% - Accent4 3" xfId="50" xr:uid="{00000000-0005-0000-0000-000042000000}"/>
    <cellStyle name="20% - Accent4 4" xfId="51" xr:uid="{00000000-0005-0000-0000-000043000000}"/>
    <cellStyle name="20% - Accent4 5" xfId="52" xr:uid="{00000000-0005-0000-0000-000044000000}"/>
    <cellStyle name="20% - Accent4 6" xfId="53" xr:uid="{00000000-0005-0000-0000-000045000000}"/>
    <cellStyle name="20% - Accent4 7" xfId="54" xr:uid="{00000000-0005-0000-0000-000046000000}"/>
    <cellStyle name="20% - Accent4 8" xfId="55" xr:uid="{00000000-0005-0000-0000-000047000000}"/>
    <cellStyle name="20% - Accent4 9" xfId="56" xr:uid="{00000000-0005-0000-0000-000048000000}"/>
    <cellStyle name="20% - Accent5 10" xfId="57" xr:uid="{00000000-0005-0000-0000-000049000000}"/>
    <cellStyle name="20% - Accent5 11" xfId="58" xr:uid="{00000000-0005-0000-0000-00004A000000}"/>
    <cellStyle name="20% - Accent5 12" xfId="59" xr:uid="{00000000-0005-0000-0000-00004B000000}"/>
    <cellStyle name="20% - Accent5 13" xfId="60" xr:uid="{00000000-0005-0000-0000-00004C000000}"/>
    <cellStyle name="20% - Accent5 14" xfId="61" xr:uid="{00000000-0005-0000-0000-00004D000000}"/>
    <cellStyle name="20% - Accent5 15" xfId="62" xr:uid="{00000000-0005-0000-0000-00004E000000}"/>
    <cellStyle name="20% - Accent5 16" xfId="673" xr:uid="{00000000-0005-0000-0000-00004F000000}"/>
    <cellStyle name="20% - Accent5 2" xfId="63" xr:uid="{00000000-0005-0000-0000-000050000000}"/>
    <cellStyle name="20% - Accent5 2 2" xfId="732" xr:uid="{00000000-0005-0000-0000-000051000000}"/>
    <cellStyle name="20% - Accent5 3" xfId="64" xr:uid="{00000000-0005-0000-0000-000052000000}"/>
    <cellStyle name="20% - Accent5 4" xfId="65" xr:uid="{00000000-0005-0000-0000-000053000000}"/>
    <cellStyle name="20% - Accent5 5" xfId="66" xr:uid="{00000000-0005-0000-0000-000054000000}"/>
    <cellStyle name="20% - Accent5 6" xfId="67" xr:uid="{00000000-0005-0000-0000-000055000000}"/>
    <cellStyle name="20% - Accent5 7" xfId="68" xr:uid="{00000000-0005-0000-0000-000056000000}"/>
    <cellStyle name="20% - Accent5 8" xfId="69" xr:uid="{00000000-0005-0000-0000-000057000000}"/>
    <cellStyle name="20% - Accent5 9" xfId="70" xr:uid="{00000000-0005-0000-0000-000058000000}"/>
    <cellStyle name="20% - Accent6 10" xfId="71" xr:uid="{00000000-0005-0000-0000-000059000000}"/>
    <cellStyle name="20% - Accent6 11" xfId="72" xr:uid="{00000000-0005-0000-0000-00005A000000}"/>
    <cellStyle name="20% - Accent6 12" xfId="73" xr:uid="{00000000-0005-0000-0000-00005B000000}"/>
    <cellStyle name="20% - Accent6 13" xfId="74" xr:uid="{00000000-0005-0000-0000-00005C000000}"/>
    <cellStyle name="20% - Accent6 14" xfId="75" xr:uid="{00000000-0005-0000-0000-00005D000000}"/>
    <cellStyle name="20% - Accent6 15" xfId="76" xr:uid="{00000000-0005-0000-0000-00005E000000}"/>
    <cellStyle name="20% - Accent6 16" xfId="674" xr:uid="{00000000-0005-0000-0000-00005F000000}"/>
    <cellStyle name="20% - Accent6 2" xfId="77" xr:uid="{00000000-0005-0000-0000-000060000000}"/>
    <cellStyle name="20% - Accent6 2 2" xfId="736" xr:uid="{00000000-0005-0000-0000-000061000000}"/>
    <cellStyle name="20% - Accent6 3" xfId="78" xr:uid="{00000000-0005-0000-0000-000062000000}"/>
    <cellStyle name="20% - Accent6 4" xfId="79" xr:uid="{00000000-0005-0000-0000-000063000000}"/>
    <cellStyle name="20% - Accent6 5" xfId="80" xr:uid="{00000000-0005-0000-0000-000064000000}"/>
    <cellStyle name="20% - Accent6 6" xfId="81" xr:uid="{00000000-0005-0000-0000-000065000000}"/>
    <cellStyle name="20% - Accent6 7" xfId="82" xr:uid="{00000000-0005-0000-0000-000066000000}"/>
    <cellStyle name="20% - Accent6 8" xfId="83" xr:uid="{00000000-0005-0000-0000-000067000000}"/>
    <cellStyle name="20% - Accent6 9" xfId="84" xr:uid="{00000000-0005-0000-0000-000068000000}"/>
    <cellStyle name="40% - Accent1 10" xfId="85" xr:uid="{00000000-0005-0000-0000-000069000000}"/>
    <cellStyle name="40% - Accent1 11" xfId="86" xr:uid="{00000000-0005-0000-0000-00006A000000}"/>
    <cellStyle name="40% - Accent1 12" xfId="87" xr:uid="{00000000-0005-0000-0000-00006B000000}"/>
    <cellStyle name="40% - Accent1 13" xfId="88" xr:uid="{00000000-0005-0000-0000-00006C000000}"/>
    <cellStyle name="40% - Accent1 14" xfId="89" xr:uid="{00000000-0005-0000-0000-00006D000000}"/>
    <cellStyle name="40% - Accent1 15" xfId="90" xr:uid="{00000000-0005-0000-0000-00006E000000}"/>
    <cellStyle name="40% - Accent1 16" xfId="675" xr:uid="{00000000-0005-0000-0000-00006F000000}"/>
    <cellStyle name="40% - Accent1 2" xfId="91" xr:uid="{00000000-0005-0000-0000-000070000000}"/>
    <cellStyle name="40% - Accent1 2 2" xfId="717" xr:uid="{00000000-0005-0000-0000-000071000000}"/>
    <cellStyle name="40% - Accent1 3" xfId="92" xr:uid="{00000000-0005-0000-0000-000072000000}"/>
    <cellStyle name="40% - Accent1 4" xfId="93" xr:uid="{00000000-0005-0000-0000-000073000000}"/>
    <cellStyle name="40% - Accent1 5" xfId="94" xr:uid="{00000000-0005-0000-0000-000074000000}"/>
    <cellStyle name="40% - Accent1 6" xfId="95" xr:uid="{00000000-0005-0000-0000-000075000000}"/>
    <cellStyle name="40% - Accent1 7" xfId="96" xr:uid="{00000000-0005-0000-0000-000076000000}"/>
    <cellStyle name="40% - Accent1 8" xfId="97" xr:uid="{00000000-0005-0000-0000-000077000000}"/>
    <cellStyle name="40% - Accent1 9" xfId="98" xr:uid="{00000000-0005-0000-0000-000078000000}"/>
    <cellStyle name="40% - Accent2 10" xfId="99" xr:uid="{00000000-0005-0000-0000-000079000000}"/>
    <cellStyle name="40% - Accent2 11" xfId="100" xr:uid="{00000000-0005-0000-0000-00007A000000}"/>
    <cellStyle name="40% - Accent2 12" xfId="101" xr:uid="{00000000-0005-0000-0000-00007B000000}"/>
    <cellStyle name="40% - Accent2 13" xfId="102" xr:uid="{00000000-0005-0000-0000-00007C000000}"/>
    <cellStyle name="40% - Accent2 14" xfId="103" xr:uid="{00000000-0005-0000-0000-00007D000000}"/>
    <cellStyle name="40% - Accent2 15" xfId="104" xr:uid="{00000000-0005-0000-0000-00007E000000}"/>
    <cellStyle name="40% - Accent2 16" xfId="676" xr:uid="{00000000-0005-0000-0000-00007F000000}"/>
    <cellStyle name="40% - Accent2 2" xfId="105" xr:uid="{00000000-0005-0000-0000-000080000000}"/>
    <cellStyle name="40% - Accent2 2 2" xfId="721" xr:uid="{00000000-0005-0000-0000-000081000000}"/>
    <cellStyle name="40% - Accent2 3" xfId="106" xr:uid="{00000000-0005-0000-0000-000082000000}"/>
    <cellStyle name="40% - Accent2 4" xfId="107" xr:uid="{00000000-0005-0000-0000-000083000000}"/>
    <cellStyle name="40% - Accent2 5" xfId="108" xr:uid="{00000000-0005-0000-0000-000084000000}"/>
    <cellStyle name="40% - Accent2 6" xfId="109" xr:uid="{00000000-0005-0000-0000-000085000000}"/>
    <cellStyle name="40% - Accent2 7" xfId="110" xr:uid="{00000000-0005-0000-0000-000086000000}"/>
    <cellStyle name="40% - Accent2 8" xfId="111" xr:uid="{00000000-0005-0000-0000-000087000000}"/>
    <cellStyle name="40% - Accent2 9" xfId="112" xr:uid="{00000000-0005-0000-0000-000088000000}"/>
    <cellStyle name="40% - Accent3 10" xfId="113" xr:uid="{00000000-0005-0000-0000-000089000000}"/>
    <cellStyle name="40% - Accent3 11" xfId="114" xr:uid="{00000000-0005-0000-0000-00008A000000}"/>
    <cellStyle name="40% - Accent3 12" xfId="115" xr:uid="{00000000-0005-0000-0000-00008B000000}"/>
    <cellStyle name="40% - Accent3 13" xfId="116" xr:uid="{00000000-0005-0000-0000-00008C000000}"/>
    <cellStyle name="40% - Accent3 14" xfId="117" xr:uid="{00000000-0005-0000-0000-00008D000000}"/>
    <cellStyle name="40% - Accent3 15" xfId="118" xr:uid="{00000000-0005-0000-0000-00008E000000}"/>
    <cellStyle name="40% - Accent3 16" xfId="677" xr:uid="{00000000-0005-0000-0000-00008F000000}"/>
    <cellStyle name="40% - Accent3 2" xfId="119" xr:uid="{00000000-0005-0000-0000-000090000000}"/>
    <cellStyle name="40% - Accent3 2 2" xfId="725" xr:uid="{00000000-0005-0000-0000-000091000000}"/>
    <cellStyle name="40% - Accent3 3" xfId="120" xr:uid="{00000000-0005-0000-0000-000092000000}"/>
    <cellStyle name="40% - Accent3 4" xfId="121" xr:uid="{00000000-0005-0000-0000-000093000000}"/>
    <cellStyle name="40% - Accent3 5" xfId="122" xr:uid="{00000000-0005-0000-0000-000094000000}"/>
    <cellStyle name="40% - Accent3 6" xfId="123" xr:uid="{00000000-0005-0000-0000-000095000000}"/>
    <cellStyle name="40% - Accent3 7" xfId="124" xr:uid="{00000000-0005-0000-0000-000096000000}"/>
    <cellStyle name="40% - Accent3 8" xfId="125" xr:uid="{00000000-0005-0000-0000-000097000000}"/>
    <cellStyle name="40% - Accent3 9" xfId="126" xr:uid="{00000000-0005-0000-0000-000098000000}"/>
    <cellStyle name="40% - Accent4 10" xfId="127" xr:uid="{00000000-0005-0000-0000-000099000000}"/>
    <cellStyle name="40% - Accent4 11" xfId="128" xr:uid="{00000000-0005-0000-0000-00009A000000}"/>
    <cellStyle name="40% - Accent4 12" xfId="129" xr:uid="{00000000-0005-0000-0000-00009B000000}"/>
    <cellStyle name="40% - Accent4 13" xfId="130" xr:uid="{00000000-0005-0000-0000-00009C000000}"/>
    <cellStyle name="40% - Accent4 14" xfId="131" xr:uid="{00000000-0005-0000-0000-00009D000000}"/>
    <cellStyle name="40% - Accent4 15" xfId="132" xr:uid="{00000000-0005-0000-0000-00009E000000}"/>
    <cellStyle name="40% - Accent4 16" xfId="678" xr:uid="{00000000-0005-0000-0000-00009F000000}"/>
    <cellStyle name="40% - Accent4 2" xfId="133" xr:uid="{00000000-0005-0000-0000-0000A0000000}"/>
    <cellStyle name="40% - Accent4 2 2" xfId="729" xr:uid="{00000000-0005-0000-0000-0000A1000000}"/>
    <cellStyle name="40% - Accent4 3" xfId="134" xr:uid="{00000000-0005-0000-0000-0000A2000000}"/>
    <cellStyle name="40% - Accent4 4" xfId="135" xr:uid="{00000000-0005-0000-0000-0000A3000000}"/>
    <cellStyle name="40% - Accent4 5" xfId="136" xr:uid="{00000000-0005-0000-0000-0000A4000000}"/>
    <cellStyle name="40% - Accent4 6" xfId="137" xr:uid="{00000000-0005-0000-0000-0000A5000000}"/>
    <cellStyle name="40% - Accent4 7" xfId="138" xr:uid="{00000000-0005-0000-0000-0000A6000000}"/>
    <cellStyle name="40% - Accent4 8" xfId="139" xr:uid="{00000000-0005-0000-0000-0000A7000000}"/>
    <cellStyle name="40% - Accent4 9" xfId="140" xr:uid="{00000000-0005-0000-0000-0000A8000000}"/>
    <cellStyle name="40% - Accent5 10" xfId="141" xr:uid="{00000000-0005-0000-0000-0000A9000000}"/>
    <cellStyle name="40% - Accent5 11" xfId="142" xr:uid="{00000000-0005-0000-0000-0000AA000000}"/>
    <cellStyle name="40% - Accent5 12" xfId="143" xr:uid="{00000000-0005-0000-0000-0000AB000000}"/>
    <cellStyle name="40% - Accent5 13" xfId="144" xr:uid="{00000000-0005-0000-0000-0000AC000000}"/>
    <cellStyle name="40% - Accent5 14" xfId="145" xr:uid="{00000000-0005-0000-0000-0000AD000000}"/>
    <cellStyle name="40% - Accent5 15" xfId="146" xr:uid="{00000000-0005-0000-0000-0000AE000000}"/>
    <cellStyle name="40% - Accent5 16" xfId="679" xr:uid="{00000000-0005-0000-0000-0000AF000000}"/>
    <cellStyle name="40% - Accent5 2" xfId="147" xr:uid="{00000000-0005-0000-0000-0000B0000000}"/>
    <cellStyle name="40% - Accent5 2 2" xfId="733" xr:uid="{00000000-0005-0000-0000-0000B1000000}"/>
    <cellStyle name="40% - Accent5 3" xfId="148" xr:uid="{00000000-0005-0000-0000-0000B2000000}"/>
    <cellStyle name="40% - Accent5 4" xfId="149" xr:uid="{00000000-0005-0000-0000-0000B3000000}"/>
    <cellStyle name="40% - Accent5 5" xfId="150" xr:uid="{00000000-0005-0000-0000-0000B4000000}"/>
    <cellStyle name="40% - Accent5 6" xfId="151" xr:uid="{00000000-0005-0000-0000-0000B5000000}"/>
    <cellStyle name="40% - Accent5 7" xfId="152" xr:uid="{00000000-0005-0000-0000-0000B6000000}"/>
    <cellStyle name="40% - Accent5 8" xfId="153" xr:uid="{00000000-0005-0000-0000-0000B7000000}"/>
    <cellStyle name="40% - Accent5 9" xfId="154" xr:uid="{00000000-0005-0000-0000-0000B8000000}"/>
    <cellStyle name="40% - Accent6 10" xfId="155" xr:uid="{00000000-0005-0000-0000-0000B9000000}"/>
    <cellStyle name="40% - Accent6 11" xfId="156" xr:uid="{00000000-0005-0000-0000-0000BA000000}"/>
    <cellStyle name="40% - Accent6 12" xfId="157" xr:uid="{00000000-0005-0000-0000-0000BB000000}"/>
    <cellStyle name="40% - Accent6 13" xfId="158" xr:uid="{00000000-0005-0000-0000-0000BC000000}"/>
    <cellStyle name="40% - Accent6 14" xfId="159" xr:uid="{00000000-0005-0000-0000-0000BD000000}"/>
    <cellStyle name="40% - Accent6 15" xfId="160" xr:uid="{00000000-0005-0000-0000-0000BE000000}"/>
    <cellStyle name="40% - Accent6 16" xfId="680" xr:uid="{00000000-0005-0000-0000-0000BF000000}"/>
    <cellStyle name="40% - Accent6 2" xfId="161" xr:uid="{00000000-0005-0000-0000-0000C0000000}"/>
    <cellStyle name="40% - Accent6 2 2" xfId="737" xr:uid="{00000000-0005-0000-0000-0000C1000000}"/>
    <cellStyle name="40% - Accent6 3" xfId="162" xr:uid="{00000000-0005-0000-0000-0000C2000000}"/>
    <cellStyle name="40% - Accent6 4" xfId="163" xr:uid="{00000000-0005-0000-0000-0000C3000000}"/>
    <cellStyle name="40% - Accent6 5" xfId="164" xr:uid="{00000000-0005-0000-0000-0000C4000000}"/>
    <cellStyle name="40% - Accent6 6" xfId="165" xr:uid="{00000000-0005-0000-0000-0000C5000000}"/>
    <cellStyle name="40% - Accent6 7" xfId="166" xr:uid="{00000000-0005-0000-0000-0000C6000000}"/>
    <cellStyle name="40% - Accent6 8" xfId="167" xr:uid="{00000000-0005-0000-0000-0000C7000000}"/>
    <cellStyle name="40% - Accent6 9" xfId="168" xr:uid="{00000000-0005-0000-0000-0000C8000000}"/>
    <cellStyle name="60% - Accent1 10" xfId="169" xr:uid="{00000000-0005-0000-0000-0000C9000000}"/>
    <cellStyle name="60% - Accent1 11" xfId="170" xr:uid="{00000000-0005-0000-0000-0000CA000000}"/>
    <cellStyle name="60% - Accent1 12" xfId="171" xr:uid="{00000000-0005-0000-0000-0000CB000000}"/>
    <cellStyle name="60% - Accent1 13" xfId="172" xr:uid="{00000000-0005-0000-0000-0000CC000000}"/>
    <cellStyle name="60% - Accent1 14" xfId="173" xr:uid="{00000000-0005-0000-0000-0000CD000000}"/>
    <cellStyle name="60% - Accent1 15" xfId="174" xr:uid="{00000000-0005-0000-0000-0000CE000000}"/>
    <cellStyle name="60% - Accent1 16" xfId="681" xr:uid="{00000000-0005-0000-0000-0000CF000000}"/>
    <cellStyle name="60% - Accent1 2" xfId="175" xr:uid="{00000000-0005-0000-0000-0000D0000000}"/>
    <cellStyle name="60% - Accent1 2 2" xfId="718" xr:uid="{00000000-0005-0000-0000-0000D1000000}"/>
    <cellStyle name="60% - Accent1 3" xfId="176" xr:uid="{00000000-0005-0000-0000-0000D2000000}"/>
    <cellStyle name="60% - Accent1 4" xfId="177" xr:uid="{00000000-0005-0000-0000-0000D3000000}"/>
    <cellStyle name="60% - Accent1 5" xfId="178" xr:uid="{00000000-0005-0000-0000-0000D4000000}"/>
    <cellStyle name="60% - Accent1 6" xfId="179" xr:uid="{00000000-0005-0000-0000-0000D5000000}"/>
    <cellStyle name="60% - Accent1 7" xfId="180" xr:uid="{00000000-0005-0000-0000-0000D6000000}"/>
    <cellStyle name="60% - Accent1 8" xfId="181" xr:uid="{00000000-0005-0000-0000-0000D7000000}"/>
    <cellStyle name="60% - Accent1 9" xfId="182" xr:uid="{00000000-0005-0000-0000-0000D8000000}"/>
    <cellStyle name="60% - Accent2 10" xfId="183" xr:uid="{00000000-0005-0000-0000-0000D9000000}"/>
    <cellStyle name="60% - Accent2 11" xfId="184" xr:uid="{00000000-0005-0000-0000-0000DA000000}"/>
    <cellStyle name="60% - Accent2 12" xfId="185" xr:uid="{00000000-0005-0000-0000-0000DB000000}"/>
    <cellStyle name="60% - Accent2 13" xfId="186" xr:uid="{00000000-0005-0000-0000-0000DC000000}"/>
    <cellStyle name="60% - Accent2 14" xfId="187" xr:uid="{00000000-0005-0000-0000-0000DD000000}"/>
    <cellStyle name="60% - Accent2 15" xfId="188" xr:uid="{00000000-0005-0000-0000-0000DE000000}"/>
    <cellStyle name="60% - Accent2 16" xfId="682" xr:uid="{00000000-0005-0000-0000-0000DF000000}"/>
    <cellStyle name="60% - Accent2 2" xfId="189" xr:uid="{00000000-0005-0000-0000-0000E0000000}"/>
    <cellStyle name="60% - Accent2 2 2" xfId="722" xr:uid="{00000000-0005-0000-0000-0000E1000000}"/>
    <cellStyle name="60% - Accent2 3" xfId="190" xr:uid="{00000000-0005-0000-0000-0000E2000000}"/>
    <cellStyle name="60% - Accent2 4" xfId="191" xr:uid="{00000000-0005-0000-0000-0000E3000000}"/>
    <cellStyle name="60% - Accent2 5" xfId="192" xr:uid="{00000000-0005-0000-0000-0000E4000000}"/>
    <cellStyle name="60% - Accent2 6" xfId="193" xr:uid="{00000000-0005-0000-0000-0000E5000000}"/>
    <cellStyle name="60% - Accent2 7" xfId="194" xr:uid="{00000000-0005-0000-0000-0000E6000000}"/>
    <cellStyle name="60% - Accent2 8" xfId="195" xr:uid="{00000000-0005-0000-0000-0000E7000000}"/>
    <cellStyle name="60% - Accent2 9" xfId="196" xr:uid="{00000000-0005-0000-0000-0000E8000000}"/>
    <cellStyle name="60% - Accent3 10" xfId="197" xr:uid="{00000000-0005-0000-0000-0000E9000000}"/>
    <cellStyle name="60% - Accent3 11" xfId="198" xr:uid="{00000000-0005-0000-0000-0000EA000000}"/>
    <cellStyle name="60% - Accent3 12" xfId="199" xr:uid="{00000000-0005-0000-0000-0000EB000000}"/>
    <cellStyle name="60% - Accent3 13" xfId="200" xr:uid="{00000000-0005-0000-0000-0000EC000000}"/>
    <cellStyle name="60% - Accent3 14" xfId="201" xr:uid="{00000000-0005-0000-0000-0000ED000000}"/>
    <cellStyle name="60% - Accent3 15" xfId="202" xr:uid="{00000000-0005-0000-0000-0000EE000000}"/>
    <cellStyle name="60% - Accent3 16" xfId="683" xr:uid="{00000000-0005-0000-0000-0000EF000000}"/>
    <cellStyle name="60% - Accent3 2" xfId="203" xr:uid="{00000000-0005-0000-0000-0000F0000000}"/>
    <cellStyle name="60% - Accent3 2 2" xfId="726" xr:uid="{00000000-0005-0000-0000-0000F1000000}"/>
    <cellStyle name="60% - Accent3 3" xfId="204" xr:uid="{00000000-0005-0000-0000-0000F2000000}"/>
    <cellStyle name="60% - Accent3 4" xfId="205" xr:uid="{00000000-0005-0000-0000-0000F3000000}"/>
    <cellStyle name="60% - Accent3 5" xfId="206" xr:uid="{00000000-0005-0000-0000-0000F4000000}"/>
    <cellStyle name="60% - Accent3 6" xfId="207" xr:uid="{00000000-0005-0000-0000-0000F5000000}"/>
    <cellStyle name="60% - Accent3 7" xfId="208" xr:uid="{00000000-0005-0000-0000-0000F6000000}"/>
    <cellStyle name="60% - Accent3 8" xfId="209" xr:uid="{00000000-0005-0000-0000-0000F7000000}"/>
    <cellStyle name="60% - Accent3 9" xfId="210" xr:uid="{00000000-0005-0000-0000-0000F8000000}"/>
    <cellStyle name="60% - Accent4 10" xfId="211" xr:uid="{00000000-0005-0000-0000-0000F9000000}"/>
    <cellStyle name="60% - Accent4 11" xfId="212" xr:uid="{00000000-0005-0000-0000-0000FA000000}"/>
    <cellStyle name="60% - Accent4 12" xfId="213" xr:uid="{00000000-0005-0000-0000-0000FB000000}"/>
    <cellStyle name="60% - Accent4 13" xfId="214" xr:uid="{00000000-0005-0000-0000-0000FC000000}"/>
    <cellStyle name="60% - Accent4 14" xfId="215" xr:uid="{00000000-0005-0000-0000-0000FD000000}"/>
    <cellStyle name="60% - Accent4 15" xfId="216" xr:uid="{00000000-0005-0000-0000-0000FE000000}"/>
    <cellStyle name="60% - Accent4 16" xfId="684" xr:uid="{00000000-0005-0000-0000-0000FF000000}"/>
    <cellStyle name="60% - Accent4 2" xfId="217" xr:uid="{00000000-0005-0000-0000-000000010000}"/>
    <cellStyle name="60% - Accent4 2 2" xfId="730" xr:uid="{00000000-0005-0000-0000-000001010000}"/>
    <cellStyle name="60% - Accent4 3" xfId="218" xr:uid="{00000000-0005-0000-0000-000002010000}"/>
    <cellStyle name="60% - Accent4 4" xfId="219" xr:uid="{00000000-0005-0000-0000-000003010000}"/>
    <cellStyle name="60% - Accent4 5" xfId="220" xr:uid="{00000000-0005-0000-0000-000004010000}"/>
    <cellStyle name="60% - Accent4 6" xfId="221" xr:uid="{00000000-0005-0000-0000-000005010000}"/>
    <cellStyle name="60% - Accent4 7" xfId="222" xr:uid="{00000000-0005-0000-0000-000006010000}"/>
    <cellStyle name="60% - Accent4 8" xfId="223" xr:uid="{00000000-0005-0000-0000-000007010000}"/>
    <cellStyle name="60% - Accent4 9" xfId="224" xr:uid="{00000000-0005-0000-0000-000008010000}"/>
    <cellStyle name="60% - Accent5 10" xfId="225" xr:uid="{00000000-0005-0000-0000-000009010000}"/>
    <cellStyle name="60% - Accent5 11" xfId="226" xr:uid="{00000000-0005-0000-0000-00000A010000}"/>
    <cellStyle name="60% - Accent5 12" xfId="227" xr:uid="{00000000-0005-0000-0000-00000B010000}"/>
    <cellStyle name="60% - Accent5 13" xfId="228" xr:uid="{00000000-0005-0000-0000-00000C010000}"/>
    <cellStyle name="60% - Accent5 14" xfId="229" xr:uid="{00000000-0005-0000-0000-00000D010000}"/>
    <cellStyle name="60% - Accent5 15" xfId="230" xr:uid="{00000000-0005-0000-0000-00000E010000}"/>
    <cellStyle name="60% - Accent5 16" xfId="685" xr:uid="{00000000-0005-0000-0000-00000F010000}"/>
    <cellStyle name="60% - Accent5 2" xfId="231" xr:uid="{00000000-0005-0000-0000-000010010000}"/>
    <cellStyle name="60% - Accent5 2 2" xfId="734" xr:uid="{00000000-0005-0000-0000-000011010000}"/>
    <cellStyle name="60% - Accent5 3" xfId="232" xr:uid="{00000000-0005-0000-0000-000012010000}"/>
    <cellStyle name="60% - Accent5 4" xfId="233" xr:uid="{00000000-0005-0000-0000-000013010000}"/>
    <cellStyle name="60% - Accent5 5" xfId="234" xr:uid="{00000000-0005-0000-0000-000014010000}"/>
    <cellStyle name="60% - Accent5 6" xfId="235" xr:uid="{00000000-0005-0000-0000-000015010000}"/>
    <cellStyle name="60% - Accent5 7" xfId="236" xr:uid="{00000000-0005-0000-0000-000016010000}"/>
    <cellStyle name="60% - Accent5 8" xfId="237" xr:uid="{00000000-0005-0000-0000-000017010000}"/>
    <cellStyle name="60% - Accent5 9" xfId="238" xr:uid="{00000000-0005-0000-0000-000018010000}"/>
    <cellStyle name="60% - Accent6 10" xfId="239" xr:uid="{00000000-0005-0000-0000-000019010000}"/>
    <cellStyle name="60% - Accent6 11" xfId="240" xr:uid="{00000000-0005-0000-0000-00001A010000}"/>
    <cellStyle name="60% - Accent6 12" xfId="241" xr:uid="{00000000-0005-0000-0000-00001B010000}"/>
    <cellStyle name="60% - Accent6 13" xfId="242" xr:uid="{00000000-0005-0000-0000-00001C010000}"/>
    <cellStyle name="60% - Accent6 14" xfId="243" xr:uid="{00000000-0005-0000-0000-00001D010000}"/>
    <cellStyle name="60% - Accent6 15" xfId="244" xr:uid="{00000000-0005-0000-0000-00001E010000}"/>
    <cellStyle name="60% - Accent6 16" xfId="686" xr:uid="{00000000-0005-0000-0000-00001F010000}"/>
    <cellStyle name="60% - Accent6 2" xfId="245" xr:uid="{00000000-0005-0000-0000-000020010000}"/>
    <cellStyle name="60% - Accent6 2 2" xfId="738" xr:uid="{00000000-0005-0000-0000-000021010000}"/>
    <cellStyle name="60% - Accent6 3" xfId="246" xr:uid="{00000000-0005-0000-0000-000022010000}"/>
    <cellStyle name="60% - Accent6 4" xfId="247" xr:uid="{00000000-0005-0000-0000-000023010000}"/>
    <cellStyle name="60% - Accent6 5" xfId="248" xr:uid="{00000000-0005-0000-0000-000024010000}"/>
    <cellStyle name="60% - Accent6 6" xfId="249" xr:uid="{00000000-0005-0000-0000-000025010000}"/>
    <cellStyle name="60% - Accent6 7" xfId="250" xr:uid="{00000000-0005-0000-0000-000026010000}"/>
    <cellStyle name="60% - Accent6 8" xfId="251" xr:uid="{00000000-0005-0000-0000-000027010000}"/>
    <cellStyle name="60% - Accent6 9" xfId="252" xr:uid="{00000000-0005-0000-0000-000028010000}"/>
    <cellStyle name="Accent1 10" xfId="253" xr:uid="{00000000-0005-0000-0000-000029010000}"/>
    <cellStyle name="Accent1 11" xfId="254" xr:uid="{00000000-0005-0000-0000-00002A010000}"/>
    <cellStyle name="Accent1 12" xfId="255" xr:uid="{00000000-0005-0000-0000-00002B010000}"/>
    <cellStyle name="Accent1 13" xfId="256" xr:uid="{00000000-0005-0000-0000-00002C010000}"/>
    <cellStyle name="Accent1 14" xfId="257" xr:uid="{00000000-0005-0000-0000-00002D010000}"/>
    <cellStyle name="Accent1 15" xfId="258" xr:uid="{00000000-0005-0000-0000-00002E010000}"/>
    <cellStyle name="Accent1 16" xfId="687" xr:uid="{00000000-0005-0000-0000-00002F010000}"/>
    <cellStyle name="Accent1 2" xfId="259" xr:uid="{00000000-0005-0000-0000-000030010000}"/>
    <cellStyle name="Accent1 2 2" xfId="715" xr:uid="{00000000-0005-0000-0000-000031010000}"/>
    <cellStyle name="Accent1 3" xfId="260" xr:uid="{00000000-0005-0000-0000-000032010000}"/>
    <cellStyle name="Accent1 4" xfId="261" xr:uid="{00000000-0005-0000-0000-000033010000}"/>
    <cellStyle name="Accent1 5" xfId="262" xr:uid="{00000000-0005-0000-0000-000034010000}"/>
    <cellStyle name="Accent1 6" xfId="263" xr:uid="{00000000-0005-0000-0000-000035010000}"/>
    <cellStyle name="Accent1 7" xfId="264" xr:uid="{00000000-0005-0000-0000-000036010000}"/>
    <cellStyle name="Accent1 8" xfId="265" xr:uid="{00000000-0005-0000-0000-000037010000}"/>
    <cellStyle name="Accent1 9" xfId="266" xr:uid="{00000000-0005-0000-0000-000038010000}"/>
    <cellStyle name="Accent2 10" xfId="267" xr:uid="{00000000-0005-0000-0000-000039010000}"/>
    <cellStyle name="Accent2 11" xfId="268" xr:uid="{00000000-0005-0000-0000-00003A010000}"/>
    <cellStyle name="Accent2 12" xfId="269" xr:uid="{00000000-0005-0000-0000-00003B010000}"/>
    <cellStyle name="Accent2 13" xfId="270" xr:uid="{00000000-0005-0000-0000-00003C010000}"/>
    <cellStyle name="Accent2 14" xfId="271" xr:uid="{00000000-0005-0000-0000-00003D010000}"/>
    <cellStyle name="Accent2 15" xfId="272" xr:uid="{00000000-0005-0000-0000-00003E010000}"/>
    <cellStyle name="Accent2 16" xfId="688" xr:uid="{00000000-0005-0000-0000-00003F010000}"/>
    <cellStyle name="Accent2 2" xfId="273" xr:uid="{00000000-0005-0000-0000-000040010000}"/>
    <cellStyle name="Accent2 2 2" xfId="719" xr:uid="{00000000-0005-0000-0000-000041010000}"/>
    <cellStyle name="Accent2 3" xfId="274" xr:uid="{00000000-0005-0000-0000-000042010000}"/>
    <cellStyle name="Accent2 4" xfId="275" xr:uid="{00000000-0005-0000-0000-000043010000}"/>
    <cellStyle name="Accent2 5" xfId="276" xr:uid="{00000000-0005-0000-0000-000044010000}"/>
    <cellStyle name="Accent2 6" xfId="277" xr:uid="{00000000-0005-0000-0000-000045010000}"/>
    <cellStyle name="Accent2 7" xfId="278" xr:uid="{00000000-0005-0000-0000-000046010000}"/>
    <cellStyle name="Accent2 8" xfId="279" xr:uid="{00000000-0005-0000-0000-000047010000}"/>
    <cellStyle name="Accent2 9" xfId="280" xr:uid="{00000000-0005-0000-0000-000048010000}"/>
    <cellStyle name="Accent3 10" xfId="281" xr:uid="{00000000-0005-0000-0000-000049010000}"/>
    <cellStyle name="Accent3 11" xfId="282" xr:uid="{00000000-0005-0000-0000-00004A010000}"/>
    <cellStyle name="Accent3 12" xfId="283" xr:uid="{00000000-0005-0000-0000-00004B010000}"/>
    <cellStyle name="Accent3 13" xfId="284" xr:uid="{00000000-0005-0000-0000-00004C010000}"/>
    <cellStyle name="Accent3 14" xfId="285" xr:uid="{00000000-0005-0000-0000-00004D010000}"/>
    <cellStyle name="Accent3 15" xfId="286" xr:uid="{00000000-0005-0000-0000-00004E010000}"/>
    <cellStyle name="Accent3 16" xfId="689" xr:uid="{00000000-0005-0000-0000-00004F010000}"/>
    <cellStyle name="Accent3 2" xfId="287" xr:uid="{00000000-0005-0000-0000-000050010000}"/>
    <cellStyle name="Accent3 2 2" xfId="723" xr:uid="{00000000-0005-0000-0000-000051010000}"/>
    <cellStyle name="Accent3 3" xfId="288" xr:uid="{00000000-0005-0000-0000-000052010000}"/>
    <cellStyle name="Accent3 4" xfId="289" xr:uid="{00000000-0005-0000-0000-000053010000}"/>
    <cellStyle name="Accent3 5" xfId="290" xr:uid="{00000000-0005-0000-0000-000054010000}"/>
    <cellStyle name="Accent3 6" xfId="291" xr:uid="{00000000-0005-0000-0000-000055010000}"/>
    <cellStyle name="Accent3 7" xfId="292" xr:uid="{00000000-0005-0000-0000-000056010000}"/>
    <cellStyle name="Accent3 8" xfId="293" xr:uid="{00000000-0005-0000-0000-000057010000}"/>
    <cellStyle name="Accent3 9" xfId="294" xr:uid="{00000000-0005-0000-0000-000058010000}"/>
    <cellStyle name="Accent4 10" xfId="295" xr:uid="{00000000-0005-0000-0000-000059010000}"/>
    <cellStyle name="Accent4 11" xfId="296" xr:uid="{00000000-0005-0000-0000-00005A010000}"/>
    <cellStyle name="Accent4 12" xfId="297" xr:uid="{00000000-0005-0000-0000-00005B010000}"/>
    <cellStyle name="Accent4 13" xfId="298" xr:uid="{00000000-0005-0000-0000-00005C010000}"/>
    <cellStyle name="Accent4 14" xfId="299" xr:uid="{00000000-0005-0000-0000-00005D010000}"/>
    <cellStyle name="Accent4 15" xfId="300" xr:uid="{00000000-0005-0000-0000-00005E010000}"/>
    <cellStyle name="Accent4 16" xfId="795" xr:uid="{00000000-0005-0000-0000-00005F010000}"/>
    <cellStyle name="Accent4 2" xfId="301" xr:uid="{00000000-0005-0000-0000-000060010000}"/>
    <cellStyle name="Accent4 2 2" xfId="727" xr:uid="{00000000-0005-0000-0000-000061010000}"/>
    <cellStyle name="Accent4 3" xfId="302" xr:uid="{00000000-0005-0000-0000-000062010000}"/>
    <cellStyle name="Accent4 4" xfId="303" xr:uid="{00000000-0005-0000-0000-000063010000}"/>
    <cellStyle name="Accent4 5" xfId="304" xr:uid="{00000000-0005-0000-0000-000064010000}"/>
    <cellStyle name="Accent4 6" xfId="305" xr:uid="{00000000-0005-0000-0000-000065010000}"/>
    <cellStyle name="Accent4 7" xfId="306" xr:uid="{00000000-0005-0000-0000-000066010000}"/>
    <cellStyle name="Accent4 8" xfId="307" xr:uid="{00000000-0005-0000-0000-000067010000}"/>
    <cellStyle name="Accent4 9" xfId="308" xr:uid="{00000000-0005-0000-0000-000068010000}"/>
    <cellStyle name="Accent5 10" xfId="309" xr:uid="{00000000-0005-0000-0000-000069010000}"/>
    <cellStyle name="Accent5 11" xfId="310" xr:uid="{00000000-0005-0000-0000-00006A010000}"/>
    <cellStyle name="Accent5 12" xfId="311" xr:uid="{00000000-0005-0000-0000-00006B010000}"/>
    <cellStyle name="Accent5 13" xfId="312" xr:uid="{00000000-0005-0000-0000-00006C010000}"/>
    <cellStyle name="Accent5 14" xfId="313" xr:uid="{00000000-0005-0000-0000-00006D010000}"/>
    <cellStyle name="Accent5 15" xfId="314" xr:uid="{00000000-0005-0000-0000-00006E010000}"/>
    <cellStyle name="Accent5 16" xfId="790" xr:uid="{00000000-0005-0000-0000-00006F010000}"/>
    <cellStyle name="Accent5 2" xfId="315" xr:uid="{00000000-0005-0000-0000-000070010000}"/>
    <cellStyle name="Accent5 2 2" xfId="731" xr:uid="{00000000-0005-0000-0000-000071010000}"/>
    <cellStyle name="Accent5 3" xfId="316" xr:uid="{00000000-0005-0000-0000-000072010000}"/>
    <cellStyle name="Accent5 4" xfId="317" xr:uid="{00000000-0005-0000-0000-000073010000}"/>
    <cellStyle name="Accent5 5" xfId="318" xr:uid="{00000000-0005-0000-0000-000074010000}"/>
    <cellStyle name="Accent5 6" xfId="319" xr:uid="{00000000-0005-0000-0000-000075010000}"/>
    <cellStyle name="Accent5 7" xfId="320" xr:uid="{00000000-0005-0000-0000-000076010000}"/>
    <cellStyle name="Accent5 8" xfId="321" xr:uid="{00000000-0005-0000-0000-000077010000}"/>
    <cellStyle name="Accent5 9" xfId="322" xr:uid="{00000000-0005-0000-0000-000078010000}"/>
    <cellStyle name="Accent6 10" xfId="323" xr:uid="{00000000-0005-0000-0000-000079010000}"/>
    <cellStyle name="Accent6 11" xfId="324" xr:uid="{00000000-0005-0000-0000-00007A010000}"/>
    <cellStyle name="Accent6 12" xfId="325" xr:uid="{00000000-0005-0000-0000-00007B010000}"/>
    <cellStyle name="Accent6 13" xfId="326" xr:uid="{00000000-0005-0000-0000-00007C010000}"/>
    <cellStyle name="Accent6 14" xfId="327" xr:uid="{00000000-0005-0000-0000-00007D010000}"/>
    <cellStyle name="Accent6 15" xfId="328" xr:uid="{00000000-0005-0000-0000-00007E010000}"/>
    <cellStyle name="Accent6 16" xfId="794" xr:uid="{00000000-0005-0000-0000-00007F010000}"/>
    <cellStyle name="Accent6 2" xfId="329" xr:uid="{00000000-0005-0000-0000-000080010000}"/>
    <cellStyle name="Accent6 2 2" xfId="735" xr:uid="{00000000-0005-0000-0000-000081010000}"/>
    <cellStyle name="Accent6 3" xfId="330" xr:uid="{00000000-0005-0000-0000-000082010000}"/>
    <cellStyle name="Accent6 4" xfId="331" xr:uid="{00000000-0005-0000-0000-000083010000}"/>
    <cellStyle name="Accent6 5" xfId="332" xr:uid="{00000000-0005-0000-0000-000084010000}"/>
    <cellStyle name="Accent6 6" xfId="333" xr:uid="{00000000-0005-0000-0000-000085010000}"/>
    <cellStyle name="Accent6 7" xfId="334" xr:uid="{00000000-0005-0000-0000-000086010000}"/>
    <cellStyle name="Accent6 8" xfId="335" xr:uid="{00000000-0005-0000-0000-000087010000}"/>
    <cellStyle name="Accent6 9" xfId="336" xr:uid="{00000000-0005-0000-0000-000088010000}"/>
    <cellStyle name="Bad 10" xfId="337" xr:uid="{00000000-0005-0000-0000-000089010000}"/>
    <cellStyle name="Bad 11" xfId="338" xr:uid="{00000000-0005-0000-0000-00008A010000}"/>
    <cellStyle name="Bad 12" xfId="339" xr:uid="{00000000-0005-0000-0000-00008B010000}"/>
    <cellStyle name="Bad 13" xfId="340" xr:uid="{00000000-0005-0000-0000-00008C010000}"/>
    <cellStyle name="Bad 14" xfId="341" xr:uid="{00000000-0005-0000-0000-00008D010000}"/>
    <cellStyle name="Bad 15" xfId="342" xr:uid="{00000000-0005-0000-0000-00008E010000}"/>
    <cellStyle name="Bad 16" xfId="779" xr:uid="{00000000-0005-0000-0000-00008F010000}"/>
    <cellStyle name="Bad 2" xfId="343" xr:uid="{00000000-0005-0000-0000-000090010000}"/>
    <cellStyle name="Bad 2 2" xfId="704" xr:uid="{00000000-0005-0000-0000-000091010000}"/>
    <cellStyle name="Bad 3" xfId="344" xr:uid="{00000000-0005-0000-0000-000092010000}"/>
    <cellStyle name="Bad 4" xfId="345" xr:uid="{00000000-0005-0000-0000-000093010000}"/>
    <cellStyle name="Bad 5" xfId="346" xr:uid="{00000000-0005-0000-0000-000094010000}"/>
    <cellStyle name="Bad 6" xfId="347" xr:uid="{00000000-0005-0000-0000-000095010000}"/>
    <cellStyle name="Bad 7" xfId="348" xr:uid="{00000000-0005-0000-0000-000096010000}"/>
    <cellStyle name="Bad 8" xfId="349" xr:uid="{00000000-0005-0000-0000-000097010000}"/>
    <cellStyle name="Bad 9" xfId="350" xr:uid="{00000000-0005-0000-0000-000098010000}"/>
    <cellStyle name="Calculation 10" xfId="351" xr:uid="{00000000-0005-0000-0000-000099010000}"/>
    <cellStyle name="Calculation 11" xfId="352" xr:uid="{00000000-0005-0000-0000-00009A010000}"/>
    <cellStyle name="Calculation 12" xfId="353" xr:uid="{00000000-0005-0000-0000-00009B010000}"/>
    <cellStyle name="Calculation 13" xfId="354" xr:uid="{00000000-0005-0000-0000-00009C010000}"/>
    <cellStyle name="Calculation 14" xfId="355" xr:uid="{00000000-0005-0000-0000-00009D010000}"/>
    <cellStyle name="Calculation 15" xfId="356" xr:uid="{00000000-0005-0000-0000-00009E010000}"/>
    <cellStyle name="Calculation 16" xfId="690" xr:uid="{00000000-0005-0000-0000-00009F010000}"/>
    <cellStyle name="Calculation 2" xfId="357" xr:uid="{00000000-0005-0000-0000-0000A0010000}"/>
    <cellStyle name="Calculation 2 2" xfId="708" xr:uid="{00000000-0005-0000-0000-0000A1010000}"/>
    <cellStyle name="Calculation 3" xfId="358" xr:uid="{00000000-0005-0000-0000-0000A2010000}"/>
    <cellStyle name="Calculation 4" xfId="359" xr:uid="{00000000-0005-0000-0000-0000A3010000}"/>
    <cellStyle name="Calculation 5" xfId="360" xr:uid="{00000000-0005-0000-0000-0000A4010000}"/>
    <cellStyle name="Calculation 6" xfId="361" xr:uid="{00000000-0005-0000-0000-0000A5010000}"/>
    <cellStyle name="Calculation 7" xfId="362" xr:uid="{00000000-0005-0000-0000-0000A6010000}"/>
    <cellStyle name="Calculation 8" xfId="363" xr:uid="{00000000-0005-0000-0000-0000A7010000}"/>
    <cellStyle name="Calculation 9" xfId="364" xr:uid="{00000000-0005-0000-0000-0000A8010000}"/>
    <cellStyle name="Check Cell 10" xfId="365" xr:uid="{00000000-0005-0000-0000-0000A9010000}"/>
    <cellStyle name="Check Cell 11" xfId="366" xr:uid="{00000000-0005-0000-0000-0000AA010000}"/>
    <cellStyle name="Check Cell 12" xfId="367" xr:uid="{00000000-0005-0000-0000-0000AB010000}"/>
    <cellStyle name="Check Cell 13" xfId="368" xr:uid="{00000000-0005-0000-0000-0000AC010000}"/>
    <cellStyle name="Check Cell 14" xfId="369" xr:uid="{00000000-0005-0000-0000-0000AD010000}"/>
    <cellStyle name="Check Cell 15" xfId="370" xr:uid="{00000000-0005-0000-0000-0000AE010000}"/>
    <cellStyle name="Check Cell 16" xfId="775" xr:uid="{00000000-0005-0000-0000-0000AF010000}"/>
    <cellStyle name="Check Cell 2" xfId="371" xr:uid="{00000000-0005-0000-0000-0000B0010000}"/>
    <cellStyle name="Check Cell 2 2" xfId="710" xr:uid="{00000000-0005-0000-0000-0000B1010000}"/>
    <cellStyle name="Check Cell 3" xfId="372" xr:uid="{00000000-0005-0000-0000-0000B2010000}"/>
    <cellStyle name="Check Cell 4" xfId="373" xr:uid="{00000000-0005-0000-0000-0000B3010000}"/>
    <cellStyle name="Check Cell 5" xfId="374" xr:uid="{00000000-0005-0000-0000-0000B4010000}"/>
    <cellStyle name="Check Cell 6" xfId="375" xr:uid="{00000000-0005-0000-0000-0000B5010000}"/>
    <cellStyle name="Check Cell 7" xfId="376" xr:uid="{00000000-0005-0000-0000-0000B6010000}"/>
    <cellStyle name="Check Cell 8" xfId="377" xr:uid="{00000000-0005-0000-0000-0000B7010000}"/>
    <cellStyle name="Check Cell 9" xfId="378" xr:uid="{00000000-0005-0000-0000-0000B8010000}"/>
    <cellStyle name="Comma" xfId="379" builtinId="3"/>
    <cellStyle name="Comma 2" xfId="595" xr:uid="{00000000-0005-0000-0000-0000BA010000}"/>
    <cellStyle name="Comma 2 2" xfId="596" xr:uid="{00000000-0005-0000-0000-0000BB010000}"/>
    <cellStyle name="Comma 2 2 2" xfId="594" xr:uid="{00000000-0005-0000-0000-0000BC010000}"/>
    <cellStyle name="Comma 2 3" xfId="634" xr:uid="{00000000-0005-0000-0000-0000BD010000}"/>
    <cellStyle name="Comma 2 4" xfId="740" xr:uid="{00000000-0005-0000-0000-0000BE010000}"/>
    <cellStyle name="Comma 3" xfId="380" xr:uid="{00000000-0005-0000-0000-0000BF010000}"/>
    <cellStyle name="Comma 3 2" xfId="597" xr:uid="{00000000-0005-0000-0000-0000C0010000}"/>
    <cellStyle name="Comma 3 2 2" xfId="768" xr:uid="{00000000-0005-0000-0000-0000C1010000}"/>
    <cellStyle name="Comma 3 3" xfId="742" xr:uid="{00000000-0005-0000-0000-0000C2010000}"/>
    <cellStyle name="Comma 3 4" xfId="937" xr:uid="{00000000-0005-0000-0000-0000C3010000}"/>
    <cellStyle name="Comma 4" xfId="598" xr:uid="{00000000-0005-0000-0000-0000C4010000}"/>
    <cellStyle name="Comma 4 2" xfId="618" xr:uid="{00000000-0005-0000-0000-0000C5010000}"/>
    <cellStyle name="Comma 4 2 2" xfId="655" xr:uid="{00000000-0005-0000-0000-0000C6010000}"/>
    <cellStyle name="Comma 4 2 2 2" xfId="834" xr:uid="{00000000-0005-0000-0000-0000C7010000}"/>
    <cellStyle name="Comma 4 2 2 2 2" xfId="1165" xr:uid="{00000000-0005-0000-0000-0000C8010000}"/>
    <cellStyle name="Comma 4 2 2 2 2 2" xfId="1398" xr:uid="{00000000-0005-0000-0000-0000C9010000}"/>
    <cellStyle name="Comma 4 2 2 2 3" xfId="1282" xr:uid="{00000000-0005-0000-0000-0000CA010000}"/>
    <cellStyle name="Comma 4 2 2 2 4" xfId="1046" xr:uid="{00000000-0005-0000-0000-0000CB010000}"/>
    <cellStyle name="Comma 4 2 2 3" xfId="904" xr:uid="{00000000-0005-0000-0000-0000CC010000}"/>
    <cellStyle name="Comma 4 2 2 3 2" xfId="1342" xr:uid="{00000000-0005-0000-0000-0000CD010000}"/>
    <cellStyle name="Comma 4 2 2 3 3" xfId="1109" xr:uid="{00000000-0005-0000-0000-0000CE010000}"/>
    <cellStyle name="Comma 4 2 2 4" xfId="1226" xr:uid="{00000000-0005-0000-0000-0000CF010000}"/>
    <cellStyle name="Comma 4 2 2 5" xfId="989" xr:uid="{00000000-0005-0000-0000-0000D0010000}"/>
    <cellStyle name="Comma 4 2 3" xfId="801" xr:uid="{00000000-0005-0000-0000-0000D1010000}"/>
    <cellStyle name="Comma 4 2 3 2" xfId="1135" xr:uid="{00000000-0005-0000-0000-0000D2010000}"/>
    <cellStyle name="Comma 4 2 3 2 2" xfId="1368" xr:uid="{00000000-0005-0000-0000-0000D3010000}"/>
    <cellStyle name="Comma 4 2 3 3" xfId="1252" xr:uid="{00000000-0005-0000-0000-0000D4010000}"/>
    <cellStyle name="Comma 4 2 3 4" xfId="1016" xr:uid="{00000000-0005-0000-0000-0000D5010000}"/>
    <cellStyle name="Comma 4 2 4" xfId="874" xr:uid="{00000000-0005-0000-0000-0000D6010000}"/>
    <cellStyle name="Comma 4 2 4 2" xfId="1316" xr:uid="{00000000-0005-0000-0000-0000D7010000}"/>
    <cellStyle name="Comma 4 2 4 3" xfId="1083" xr:uid="{00000000-0005-0000-0000-0000D8010000}"/>
    <cellStyle name="Comma 4 2 5" xfId="1200" xr:uid="{00000000-0005-0000-0000-0000D9010000}"/>
    <cellStyle name="Comma 4 2 6" xfId="963" xr:uid="{00000000-0005-0000-0000-0000DA010000}"/>
    <cellStyle name="Comma 4 3" xfId="626" xr:uid="{00000000-0005-0000-0000-0000DB010000}"/>
    <cellStyle name="Comma 4 3 2" xfId="663" xr:uid="{00000000-0005-0000-0000-0000DC010000}"/>
    <cellStyle name="Comma 4 3 2 2" xfId="842" xr:uid="{00000000-0005-0000-0000-0000DD010000}"/>
    <cellStyle name="Comma 4 3 2 2 2" xfId="1173" xr:uid="{00000000-0005-0000-0000-0000DE010000}"/>
    <cellStyle name="Comma 4 3 2 2 2 2" xfId="1406" xr:uid="{00000000-0005-0000-0000-0000DF010000}"/>
    <cellStyle name="Comma 4 3 2 2 3" xfId="1290" xr:uid="{00000000-0005-0000-0000-0000E0010000}"/>
    <cellStyle name="Comma 4 3 2 2 4" xfId="1054" xr:uid="{00000000-0005-0000-0000-0000E1010000}"/>
    <cellStyle name="Comma 4 3 2 3" xfId="912" xr:uid="{00000000-0005-0000-0000-0000E2010000}"/>
    <cellStyle name="Comma 4 3 2 3 2" xfId="1350" xr:uid="{00000000-0005-0000-0000-0000E3010000}"/>
    <cellStyle name="Comma 4 3 2 3 3" xfId="1117" xr:uid="{00000000-0005-0000-0000-0000E4010000}"/>
    <cellStyle name="Comma 4 3 2 4" xfId="1234" xr:uid="{00000000-0005-0000-0000-0000E5010000}"/>
    <cellStyle name="Comma 4 3 2 5" xfId="997" xr:uid="{00000000-0005-0000-0000-0000E6010000}"/>
    <cellStyle name="Comma 4 3 3" xfId="809" xr:uid="{00000000-0005-0000-0000-0000E7010000}"/>
    <cellStyle name="Comma 4 3 3 2" xfId="1143" xr:uid="{00000000-0005-0000-0000-0000E8010000}"/>
    <cellStyle name="Comma 4 3 3 2 2" xfId="1376" xr:uid="{00000000-0005-0000-0000-0000E9010000}"/>
    <cellStyle name="Comma 4 3 3 3" xfId="1260" xr:uid="{00000000-0005-0000-0000-0000EA010000}"/>
    <cellStyle name="Comma 4 3 3 4" xfId="1024" xr:uid="{00000000-0005-0000-0000-0000EB010000}"/>
    <cellStyle name="Comma 4 3 4" xfId="882" xr:uid="{00000000-0005-0000-0000-0000EC010000}"/>
    <cellStyle name="Comma 4 3 4 2" xfId="1324" xr:uid="{00000000-0005-0000-0000-0000ED010000}"/>
    <cellStyle name="Comma 4 3 4 3" xfId="1091" xr:uid="{00000000-0005-0000-0000-0000EE010000}"/>
    <cellStyle name="Comma 4 3 5" xfId="1208" xr:uid="{00000000-0005-0000-0000-0000EF010000}"/>
    <cellStyle name="Comma 4 3 6" xfId="971" xr:uid="{00000000-0005-0000-0000-0000F0010000}"/>
    <cellStyle name="Comma 4 4" xfId="647" xr:uid="{00000000-0005-0000-0000-0000F1010000}"/>
    <cellStyle name="Comma 4 4 2" xfId="826" xr:uid="{00000000-0005-0000-0000-0000F2010000}"/>
    <cellStyle name="Comma 4 4 2 2" xfId="1157" xr:uid="{00000000-0005-0000-0000-0000F3010000}"/>
    <cellStyle name="Comma 4 4 2 2 2" xfId="1390" xr:uid="{00000000-0005-0000-0000-0000F4010000}"/>
    <cellStyle name="Comma 4 4 2 3" xfId="1274" xr:uid="{00000000-0005-0000-0000-0000F5010000}"/>
    <cellStyle name="Comma 4 4 2 4" xfId="1038" xr:uid="{00000000-0005-0000-0000-0000F6010000}"/>
    <cellStyle name="Comma 4 4 3" xfId="896" xr:uid="{00000000-0005-0000-0000-0000F7010000}"/>
    <cellStyle name="Comma 4 4 3 2" xfId="1334" xr:uid="{00000000-0005-0000-0000-0000F8010000}"/>
    <cellStyle name="Comma 4 4 3 3" xfId="1101" xr:uid="{00000000-0005-0000-0000-0000F9010000}"/>
    <cellStyle name="Comma 4 4 4" xfId="1218" xr:uid="{00000000-0005-0000-0000-0000FA010000}"/>
    <cellStyle name="Comma 4 4 5" xfId="981" xr:uid="{00000000-0005-0000-0000-0000FB010000}"/>
    <cellStyle name="Comma 4 5" xfId="787" xr:uid="{00000000-0005-0000-0000-0000FC010000}"/>
    <cellStyle name="Comma 4 5 2" xfId="1127" xr:uid="{00000000-0005-0000-0000-0000FD010000}"/>
    <cellStyle name="Comma 4 5 2 2" xfId="1360" xr:uid="{00000000-0005-0000-0000-0000FE010000}"/>
    <cellStyle name="Comma 4 5 3" xfId="1244" xr:uid="{00000000-0005-0000-0000-0000FF010000}"/>
    <cellStyle name="Comma 4 5 4" xfId="1008" xr:uid="{00000000-0005-0000-0000-000000020000}"/>
    <cellStyle name="Comma 4 6" xfId="866" xr:uid="{00000000-0005-0000-0000-000001020000}"/>
    <cellStyle name="Comma 4 6 2" xfId="1308" xr:uid="{00000000-0005-0000-0000-000002020000}"/>
    <cellStyle name="Comma 4 6 3" xfId="1075" xr:uid="{00000000-0005-0000-0000-000003020000}"/>
    <cellStyle name="Comma 4 7" xfId="1192" xr:uid="{00000000-0005-0000-0000-000004020000}"/>
    <cellStyle name="Comma 4 8" xfId="955" xr:uid="{00000000-0005-0000-0000-000005020000}"/>
    <cellStyle name="Comma 5" xfId="641" xr:uid="{00000000-0005-0000-0000-000006020000}"/>
    <cellStyle name="Comma 6" xfId="638" xr:uid="{00000000-0005-0000-0000-000007020000}"/>
    <cellStyle name="Comma 6 2" xfId="819" xr:uid="{00000000-0005-0000-0000-000008020000}"/>
    <cellStyle name="Comma 6 2 2" xfId="1179" xr:uid="{00000000-0005-0000-0000-000009020000}"/>
    <cellStyle name="Comma 6 2 2 2" xfId="1412" xr:uid="{00000000-0005-0000-0000-00000A020000}"/>
    <cellStyle name="Comma 6 2 3" xfId="1296" xr:uid="{00000000-0005-0000-0000-00000B020000}"/>
    <cellStyle name="Comma 6 2 4" xfId="1060" xr:uid="{00000000-0005-0000-0000-00000C020000}"/>
    <cellStyle name="Comma 6 3" xfId="890" xr:uid="{00000000-0005-0000-0000-00000D020000}"/>
    <cellStyle name="Comma 6 3 2" xfId="1384" xr:uid="{00000000-0005-0000-0000-00000E020000}"/>
    <cellStyle name="Comma 6 3 3" xfId="1151" xr:uid="{00000000-0005-0000-0000-00000F020000}"/>
    <cellStyle name="Comma 6 4" xfId="1268" xr:uid="{00000000-0005-0000-0000-000010020000}"/>
    <cellStyle name="Comma 6 5" xfId="1032" xr:uid="{00000000-0005-0000-0000-000011020000}"/>
    <cellStyle name="Comma 7" xfId="796" xr:uid="{00000000-0005-0000-0000-000012020000}"/>
    <cellStyle name="Comma 7 2" xfId="1063" xr:uid="{00000000-0005-0000-0000-000013020000}"/>
    <cellStyle name="Comma 8" xfId="1067" xr:uid="{00000000-0005-0000-0000-000014020000}"/>
    <cellStyle name="Comma 8 2" xfId="1297" xr:uid="{00000000-0005-0000-0000-000015020000}"/>
    <cellStyle name="Comma 9" xfId="1181" xr:uid="{00000000-0005-0000-0000-000016020000}"/>
    <cellStyle name="Comma0" xfId="754" xr:uid="{00000000-0005-0000-0000-000017020000}"/>
    <cellStyle name="Currency 2" xfId="381" xr:uid="{00000000-0005-0000-0000-000018020000}"/>
    <cellStyle name="Currency 2 2" xfId="599" xr:uid="{00000000-0005-0000-0000-000019020000}"/>
    <cellStyle name="Currency 2 3" xfId="589" xr:uid="{00000000-0005-0000-0000-00001A020000}"/>
    <cellStyle name="Currency 2 4" xfId="789" xr:uid="{00000000-0005-0000-0000-00001B020000}"/>
    <cellStyle name="Currency 2 5" xfId="936" xr:uid="{00000000-0005-0000-0000-00001C020000}"/>
    <cellStyle name="Currency 3" xfId="382" xr:uid="{00000000-0005-0000-0000-00001D020000}"/>
    <cellStyle name="Currency 3 2" xfId="600" xr:uid="{00000000-0005-0000-0000-00001E020000}"/>
    <cellStyle name="Currency 3 3" xfId="590" xr:uid="{00000000-0005-0000-0000-00001F020000}"/>
    <cellStyle name="Currency 3 4" xfId="770" xr:uid="{00000000-0005-0000-0000-000020020000}"/>
    <cellStyle name="Currency 4" xfId="948" xr:uid="{00000000-0005-0000-0000-000021020000}"/>
    <cellStyle name="Currency 5" xfId="383" xr:uid="{00000000-0005-0000-0000-000022020000}"/>
    <cellStyle name="Currency0" xfId="755" xr:uid="{00000000-0005-0000-0000-000023020000}"/>
    <cellStyle name="Date" xfId="756" xr:uid="{00000000-0005-0000-0000-000024020000}"/>
    <cellStyle name="Explanatory Text 10" xfId="384" xr:uid="{00000000-0005-0000-0000-000025020000}"/>
    <cellStyle name="Explanatory Text 11" xfId="385" xr:uid="{00000000-0005-0000-0000-000026020000}"/>
    <cellStyle name="Explanatory Text 12" xfId="386" xr:uid="{00000000-0005-0000-0000-000027020000}"/>
    <cellStyle name="Explanatory Text 13" xfId="387" xr:uid="{00000000-0005-0000-0000-000028020000}"/>
    <cellStyle name="Explanatory Text 14" xfId="388" xr:uid="{00000000-0005-0000-0000-000029020000}"/>
    <cellStyle name="Explanatory Text 15" xfId="389" xr:uid="{00000000-0005-0000-0000-00002A020000}"/>
    <cellStyle name="Explanatory Text 16" xfId="782" xr:uid="{00000000-0005-0000-0000-00002B020000}"/>
    <cellStyle name="Explanatory Text 2" xfId="390" xr:uid="{00000000-0005-0000-0000-00002C020000}"/>
    <cellStyle name="Explanatory Text 2 2" xfId="713" xr:uid="{00000000-0005-0000-0000-00002D020000}"/>
    <cellStyle name="Explanatory Text 3" xfId="391" xr:uid="{00000000-0005-0000-0000-00002E020000}"/>
    <cellStyle name="Explanatory Text 4" xfId="392" xr:uid="{00000000-0005-0000-0000-00002F020000}"/>
    <cellStyle name="Explanatory Text 5" xfId="393" xr:uid="{00000000-0005-0000-0000-000030020000}"/>
    <cellStyle name="Explanatory Text 6" xfId="394" xr:uid="{00000000-0005-0000-0000-000031020000}"/>
    <cellStyle name="Explanatory Text 7" xfId="395" xr:uid="{00000000-0005-0000-0000-000032020000}"/>
    <cellStyle name="Explanatory Text 8" xfId="396" xr:uid="{00000000-0005-0000-0000-000033020000}"/>
    <cellStyle name="Explanatory Text 9" xfId="397" xr:uid="{00000000-0005-0000-0000-000034020000}"/>
    <cellStyle name="Fixed" xfId="757" xr:uid="{00000000-0005-0000-0000-000035020000}"/>
    <cellStyle name="Good 10" xfId="398" xr:uid="{00000000-0005-0000-0000-000036020000}"/>
    <cellStyle name="Good 11" xfId="399" xr:uid="{00000000-0005-0000-0000-000037020000}"/>
    <cellStyle name="Good 12" xfId="400" xr:uid="{00000000-0005-0000-0000-000038020000}"/>
    <cellStyle name="Good 13" xfId="401" xr:uid="{00000000-0005-0000-0000-000039020000}"/>
    <cellStyle name="Good 14" xfId="402" xr:uid="{00000000-0005-0000-0000-00003A020000}"/>
    <cellStyle name="Good 15" xfId="403" xr:uid="{00000000-0005-0000-0000-00003B020000}"/>
    <cellStyle name="Good 16" xfId="778" xr:uid="{00000000-0005-0000-0000-00003C020000}"/>
    <cellStyle name="Good 2" xfId="404" xr:uid="{00000000-0005-0000-0000-00003D020000}"/>
    <cellStyle name="Good 2 2" xfId="703" xr:uid="{00000000-0005-0000-0000-00003E020000}"/>
    <cellStyle name="Good 3" xfId="405" xr:uid="{00000000-0005-0000-0000-00003F020000}"/>
    <cellStyle name="Good 4" xfId="406" xr:uid="{00000000-0005-0000-0000-000040020000}"/>
    <cellStyle name="Good 5" xfId="407" xr:uid="{00000000-0005-0000-0000-000041020000}"/>
    <cellStyle name="Good 6" xfId="408" xr:uid="{00000000-0005-0000-0000-000042020000}"/>
    <cellStyle name="Good 7" xfId="409" xr:uid="{00000000-0005-0000-0000-000043020000}"/>
    <cellStyle name="Good 8" xfId="410" xr:uid="{00000000-0005-0000-0000-000044020000}"/>
    <cellStyle name="Good 9" xfId="411" xr:uid="{00000000-0005-0000-0000-000045020000}"/>
    <cellStyle name="Grey" xfId="758" xr:uid="{00000000-0005-0000-0000-000046020000}"/>
    <cellStyle name="Heading 1 10" xfId="412" xr:uid="{00000000-0005-0000-0000-000047020000}"/>
    <cellStyle name="Heading 1 11" xfId="413" xr:uid="{00000000-0005-0000-0000-000048020000}"/>
    <cellStyle name="Heading 1 12" xfId="414" xr:uid="{00000000-0005-0000-0000-000049020000}"/>
    <cellStyle name="Heading 1 13" xfId="415" xr:uid="{00000000-0005-0000-0000-00004A020000}"/>
    <cellStyle name="Heading 1 14" xfId="416" xr:uid="{00000000-0005-0000-0000-00004B020000}"/>
    <cellStyle name="Heading 1 15" xfId="417" xr:uid="{00000000-0005-0000-0000-00004C020000}"/>
    <cellStyle name="Heading 1 16" xfId="783" xr:uid="{00000000-0005-0000-0000-00004D020000}"/>
    <cellStyle name="Heading 1 2" xfId="418" xr:uid="{00000000-0005-0000-0000-00004E020000}"/>
    <cellStyle name="Heading 1 2 2" xfId="699" xr:uid="{00000000-0005-0000-0000-00004F020000}"/>
    <cellStyle name="Heading 1 3" xfId="419" xr:uid="{00000000-0005-0000-0000-000050020000}"/>
    <cellStyle name="Heading 1 4" xfId="420" xr:uid="{00000000-0005-0000-0000-000051020000}"/>
    <cellStyle name="Heading 1 5" xfId="421" xr:uid="{00000000-0005-0000-0000-000052020000}"/>
    <cellStyle name="Heading 1 6" xfId="422" xr:uid="{00000000-0005-0000-0000-000053020000}"/>
    <cellStyle name="Heading 1 7" xfId="423" xr:uid="{00000000-0005-0000-0000-000054020000}"/>
    <cellStyle name="Heading 1 8" xfId="424" xr:uid="{00000000-0005-0000-0000-000055020000}"/>
    <cellStyle name="Heading 1 9" xfId="425" xr:uid="{00000000-0005-0000-0000-000056020000}"/>
    <cellStyle name="Heading 2 10" xfId="426" xr:uid="{00000000-0005-0000-0000-000057020000}"/>
    <cellStyle name="Heading 2 11" xfId="427" xr:uid="{00000000-0005-0000-0000-000058020000}"/>
    <cellStyle name="Heading 2 12" xfId="428" xr:uid="{00000000-0005-0000-0000-000059020000}"/>
    <cellStyle name="Heading 2 13" xfId="429" xr:uid="{00000000-0005-0000-0000-00005A020000}"/>
    <cellStyle name="Heading 2 14" xfId="430" xr:uid="{00000000-0005-0000-0000-00005B020000}"/>
    <cellStyle name="Heading 2 15" xfId="431" xr:uid="{00000000-0005-0000-0000-00005C020000}"/>
    <cellStyle name="Heading 2 16" xfId="781" xr:uid="{00000000-0005-0000-0000-00005D020000}"/>
    <cellStyle name="Heading 2 2" xfId="432" xr:uid="{00000000-0005-0000-0000-00005E020000}"/>
    <cellStyle name="Heading 2 2 2" xfId="698" xr:uid="{00000000-0005-0000-0000-00005F020000}"/>
    <cellStyle name="Heading 2 3" xfId="433" xr:uid="{00000000-0005-0000-0000-000060020000}"/>
    <cellStyle name="Heading 2 4" xfId="434" xr:uid="{00000000-0005-0000-0000-000061020000}"/>
    <cellStyle name="Heading 2 5" xfId="435" xr:uid="{00000000-0005-0000-0000-000062020000}"/>
    <cellStyle name="Heading 2 6" xfId="436" xr:uid="{00000000-0005-0000-0000-000063020000}"/>
    <cellStyle name="Heading 2 7" xfId="437" xr:uid="{00000000-0005-0000-0000-000064020000}"/>
    <cellStyle name="Heading 2 8" xfId="438" xr:uid="{00000000-0005-0000-0000-000065020000}"/>
    <cellStyle name="Heading 2 9" xfId="439" xr:uid="{00000000-0005-0000-0000-000066020000}"/>
    <cellStyle name="Heading 3 10" xfId="440" xr:uid="{00000000-0005-0000-0000-000067020000}"/>
    <cellStyle name="Heading 3 11" xfId="441" xr:uid="{00000000-0005-0000-0000-000068020000}"/>
    <cellStyle name="Heading 3 12" xfId="442" xr:uid="{00000000-0005-0000-0000-000069020000}"/>
    <cellStyle name="Heading 3 13" xfId="443" xr:uid="{00000000-0005-0000-0000-00006A020000}"/>
    <cellStyle name="Heading 3 14" xfId="444" xr:uid="{00000000-0005-0000-0000-00006B020000}"/>
    <cellStyle name="Heading 3 15" xfId="445" xr:uid="{00000000-0005-0000-0000-00006C020000}"/>
    <cellStyle name="Heading 3 16" xfId="780" xr:uid="{00000000-0005-0000-0000-00006D020000}"/>
    <cellStyle name="Heading 3 2" xfId="446" xr:uid="{00000000-0005-0000-0000-00006E020000}"/>
    <cellStyle name="Heading 3 2 2" xfId="701" xr:uid="{00000000-0005-0000-0000-00006F020000}"/>
    <cellStyle name="Heading 3 3" xfId="447" xr:uid="{00000000-0005-0000-0000-000070020000}"/>
    <cellStyle name="Heading 3 4" xfId="448" xr:uid="{00000000-0005-0000-0000-000071020000}"/>
    <cellStyle name="Heading 3 5" xfId="449" xr:uid="{00000000-0005-0000-0000-000072020000}"/>
    <cellStyle name="Heading 3 6" xfId="450" xr:uid="{00000000-0005-0000-0000-000073020000}"/>
    <cellStyle name="Heading 3 7" xfId="451" xr:uid="{00000000-0005-0000-0000-000074020000}"/>
    <cellStyle name="Heading 3 8" xfId="452" xr:uid="{00000000-0005-0000-0000-000075020000}"/>
    <cellStyle name="Heading 3 9" xfId="453" xr:uid="{00000000-0005-0000-0000-000076020000}"/>
    <cellStyle name="Heading 4 10" xfId="454" xr:uid="{00000000-0005-0000-0000-000077020000}"/>
    <cellStyle name="Heading 4 11" xfId="455" xr:uid="{00000000-0005-0000-0000-000078020000}"/>
    <cellStyle name="Heading 4 12" xfId="456" xr:uid="{00000000-0005-0000-0000-000079020000}"/>
    <cellStyle name="Heading 4 13" xfId="457" xr:uid="{00000000-0005-0000-0000-00007A020000}"/>
    <cellStyle name="Heading 4 14" xfId="458" xr:uid="{00000000-0005-0000-0000-00007B020000}"/>
    <cellStyle name="Heading 4 15" xfId="459" xr:uid="{00000000-0005-0000-0000-00007C020000}"/>
    <cellStyle name="Heading 4 16" xfId="823" xr:uid="{00000000-0005-0000-0000-00007D020000}"/>
    <cellStyle name="Heading 4 2" xfId="460" xr:uid="{00000000-0005-0000-0000-00007E020000}"/>
    <cellStyle name="Heading 4 2 2" xfId="702" xr:uid="{00000000-0005-0000-0000-00007F020000}"/>
    <cellStyle name="Heading 4 3" xfId="461" xr:uid="{00000000-0005-0000-0000-000080020000}"/>
    <cellStyle name="Heading 4 4" xfId="462" xr:uid="{00000000-0005-0000-0000-000081020000}"/>
    <cellStyle name="Heading 4 5" xfId="463" xr:uid="{00000000-0005-0000-0000-000082020000}"/>
    <cellStyle name="Heading 4 6" xfId="464" xr:uid="{00000000-0005-0000-0000-000083020000}"/>
    <cellStyle name="Heading 4 7" xfId="465" xr:uid="{00000000-0005-0000-0000-000084020000}"/>
    <cellStyle name="Heading 4 8" xfId="466" xr:uid="{00000000-0005-0000-0000-000085020000}"/>
    <cellStyle name="Heading 4 9" xfId="467" xr:uid="{00000000-0005-0000-0000-000086020000}"/>
    <cellStyle name="Hyperlink" xfId="1447" builtinId="8"/>
    <cellStyle name="Hyperlink 2" xfId="784" xr:uid="{00000000-0005-0000-0000-000087020000}"/>
    <cellStyle name="Hyperlink 2 2" xfId="1003" xr:uid="{00000000-0005-0000-0000-000088020000}"/>
    <cellStyle name="Hyperlink 3" xfId="691" xr:uid="{00000000-0005-0000-0000-000089020000}"/>
    <cellStyle name="Input [yellow]" xfId="759" xr:uid="{00000000-0005-0000-0000-00008A020000}"/>
    <cellStyle name="Input 10" xfId="468" xr:uid="{00000000-0005-0000-0000-00008B020000}"/>
    <cellStyle name="Input 11" xfId="469" xr:uid="{00000000-0005-0000-0000-00008C020000}"/>
    <cellStyle name="Input 12" xfId="470" xr:uid="{00000000-0005-0000-0000-00008D020000}"/>
    <cellStyle name="Input 13" xfId="471" xr:uid="{00000000-0005-0000-0000-00008E020000}"/>
    <cellStyle name="Input 14" xfId="472" xr:uid="{00000000-0005-0000-0000-00008F020000}"/>
    <cellStyle name="Input 15" xfId="473" xr:uid="{00000000-0005-0000-0000-000090020000}"/>
    <cellStyle name="Input 16" xfId="776" xr:uid="{00000000-0005-0000-0000-000091020000}"/>
    <cellStyle name="Input 17" xfId="852" xr:uid="{00000000-0005-0000-0000-000092020000}"/>
    <cellStyle name="Input 18" xfId="851" xr:uid="{00000000-0005-0000-0000-000093020000}"/>
    <cellStyle name="Input 19" xfId="850" xr:uid="{00000000-0005-0000-0000-000094020000}"/>
    <cellStyle name="Input 2" xfId="474" xr:uid="{00000000-0005-0000-0000-000095020000}"/>
    <cellStyle name="Input 2 2" xfId="706" xr:uid="{00000000-0005-0000-0000-000096020000}"/>
    <cellStyle name="Input 20" xfId="858" xr:uid="{00000000-0005-0000-0000-000097020000}"/>
    <cellStyle name="Input 3" xfId="475" xr:uid="{00000000-0005-0000-0000-000098020000}"/>
    <cellStyle name="Input 4" xfId="476" xr:uid="{00000000-0005-0000-0000-000099020000}"/>
    <cellStyle name="Input 5" xfId="477" xr:uid="{00000000-0005-0000-0000-00009A020000}"/>
    <cellStyle name="Input 6" xfId="478" xr:uid="{00000000-0005-0000-0000-00009B020000}"/>
    <cellStyle name="Input 7" xfId="479" xr:uid="{00000000-0005-0000-0000-00009C020000}"/>
    <cellStyle name="Input 8" xfId="480" xr:uid="{00000000-0005-0000-0000-00009D020000}"/>
    <cellStyle name="Input 9" xfId="481" xr:uid="{00000000-0005-0000-0000-00009E020000}"/>
    <cellStyle name="Linked Cell 10" xfId="482" xr:uid="{00000000-0005-0000-0000-00009F020000}"/>
    <cellStyle name="Linked Cell 11" xfId="483" xr:uid="{00000000-0005-0000-0000-0000A0020000}"/>
    <cellStyle name="Linked Cell 12" xfId="484" xr:uid="{00000000-0005-0000-0000-0000A1020000}"/>
    <cellStyle name="Linked Cell 13" xfId="485" xr:uid="{00000000-0005-0000-0000-0000A2020000}"/>
    <cellStyle name="Linked Cell 14" xfId="486" xr:uid="{00000000-0005-0000-0000-0000A3020000}"/>
    <cellStyle name="Linked Cell 15" xfId="487" xr:uid="{00000000-0005-0000-0000-0000A4020000}"/>
    <cellStyle name="Linked Cell 16" xfId="817" xr:uid="{00000000-0005-0000-0000-0000A5020000}"/>
    <cellStyle name="Linked Cell 2" xfId="488" xr:uid="{00000000-0005-0000-0000-0000A6020000}"/>
    <cellStyle name="Linked Cell 2 2" xfId="709" xr:uid="{00000000-0005-0000-0000-0000A7020000}"/>
    <cellStyle name="Linked Cell 3" xfId="489" xr:uid="{00000000-0005-0000-0000-0000A8020000}"/>
    <cellStyle name="Linked Cell 4" xfId="490" xr:uid="{00000000-0005-0000-0000-0000A9020000}"/>
    <cellStyle name="Linked Cell 5" xfId="491" xr:uid="{00000000-0005-0000-0000-0000AA020000}"/>
    <cellStyle name="Linked Cell 6" xfId="492" xr:uid="{00000000-0005-0000-0000-0000AB020000}"/>
    <cellStyle name="Linked Cell 7" xfId="493" xr:uid="{00000000-0005-0000-0000-0000AC020000}"/>
    <cellStyle name="Linked Cell 8" xfId="494" xr:uid="{00000000-0005-0000-0000-0000AD020000}"/>
    <cellStyle name="Linked Cell 9" xfId="495" xr:uid="{00000000-0005-0000-0000-0000AE020000}"/>
    <cellStyle name="M" xfId="760" xr:uid="{00000000-0005-0000-0000-0000AF020000}"/>
    <cellStyle name="M.00" xfId="773" xr:uid="{00000000-0005-0000-0000-0000B0020000}"/>
    <cellStyle name="M_9. Rev2Cost_GDPIPI" xfId="761" xr:uid="{00000000-0005-0000-0000-0000B1020000}"/>
    <cellStyle name="M_lists" xfId="762" xr:uid="{00000000-0005-0000-0000-0000B2020000}"/>
    <cellStyle name="M_lists_4. Current Monthly Fixed Charge" xfId="763" xr:uid="{00000000-0005-0000-0000-0000B3020000}"/>
    <cellStyle name="M_Sheet4" xfId="764" xr:uid="{00000000-0005-0000-0000-0000B4020000}"/>
    <cellStyle name="Neutral 10" xfId="496" xr:uid="{00000000-0005-0000-0000-0000B5020000}"/>
    <cellStyle name="Neutral 11" xfId="497" xr:uid="{00000000-0005-0000-0000-0000B6020000}"/>
    <cellStyle name="Neutral 12" xfId="498" xr:uid="{00000000-0005-0000-0000-0000B7020000}"/>
    <cellStyle name="Neutral 13" xfId="499" xr:uid="{00000000-0005-0000-0000-0000B8020000}"/>
    <cellStyle name="Neutral 14" xfId="500" xr:uid="{00000000-0005-0000-0000-0000B9020000}"/>
    <cellStyle name="Neutral 15" xfId="501" xr:uid="{00000000-0005-0000-0000-0000BA020000}"/>
    <cellStyle name="Neutral 16" xfId="692" xr:uid="{00000000-0005-0000-0000-0000BB020000}"/>
    <cellStyle name="Neutral 2" xfId="502" xr:uid="{00000000-0005-0000-0000-0000BC020000}"/>
    <cellStyle name="Neutral 2 2" xfId="705" xr:uid="{00000000-0005-0000-0000-0000BD020000}"/>
    <cellStyle name="Neutral 3" xfId="503" xr:uid="{00000000-0005-0000-0000-0000BE020000}"/>
    <cellStyle name="Neutral 4" xfId="504" xr:uid="{00000000-0005-0000-0000-0000BF020000}"/>
    <cellStyle name="Neutral 5" xfId="505" xr:uid="{00000000-0005-0000-0000-0000C0020000}"/>
    <cellStyle name="Neutral 6" xfId="506" xr:uid="{00000000-0005-0000-0000-0000C1020000}"/>
    <cellStyle name="Neutral 7" xfId="507" xr:uid="{00000000-0005-0000-0000-0000C2020000}"/>
    <cellStyle name="Neutral 8" xfId="508" xr:uid="{00000000-0005-0000-0000-0000C3020000}"/>
    <cellStyle name="Neutral 9" xfId="509" xr:uid="{00000000-0005-0000-0000-0000C4020000}"/>
    <cellStyle name="Normal" xfId="0" builtinId="0"/>
    <cellStyle name="Normal - Style1" xfId="765" xr:uid="{00000000-0005-0000-0000-0000C6020000}"/>
    <cellStyle name="Normal 10" xfId="510" xr:uid="{00000000-0005-0000-0000-0000C7020000}"/>
    <cellStyle name="Normal 11" xfId="511" xr:uid="{00000000-0005-0000-0000-0000C8020000}"/>
    <cellStyle name="Normal 12" xfId="512" xr:uid="{00000000-0005-0000-0000-0000C9020000}"/>
    <cellStyle name="Normal 13" xfId="513" xr:uid="{00000000-0005-0000-0000-0000CA020000}"/>
    <cellStyle name="Normal 14" xfId="514" xr:uid="{00000000-0005-0000-0000-0000CB020000}"/>
    <cellStyle name="Normal 15" xfId="515" xr:uid="{00000000-0005-0000-0000-0000CC020000}"/>
    <cellStyle name="Normal 16" xfId="516" xr:uid="{00000000-0005-0000-0000-0000CD020000}"/>
    <cellStyle name="Normal 16 10" xfId="1183" xr:uid="{00000000-0005-0000-0000-0000CE020000}"/>
    <cellStyle name="Normal 16 11" xfId="939" xr:uid="{00000000-0005-0000-0000-0000CF020000}"/>
    <cellStyle name="Normal 16 2" xfId="602" xr:uid="{00000000-0005-0000-0000-0000D0020000}"/>
    <cellStyle name="Normal 16 2 2" xfId="619" xr:uid="{00000000-0005-0000-0000-0000D1020000}"/>
    <cellStyle name="Normal 16 2 2 2" xfId="656" xr:uid="{00000000-0005-0000-0000-0000D2020000}"/>
    <cellStyle name="Normal 16 2 2 2 2" xfId="835" xr:uid="{00000000-0005-0000-0000-0000D3020000}"/>
    <cellStyle name="Normal 16 2 2 2 2 2" xfId="1166" xr:uid="{00000000-0005-0000-0000-0000D4020000}"/>
    <cellStyle name="Normal 16 2 2 2 2 2 2" xfId="1399" xr:uid="{00000000-0005-0000-0000-0000D5020000}"/>
    <cellStyle name="Normal 16 2 2 2 2 3" xfId="1283" xr:uid="{00000000-0005-0000-0000-0000D6020000}"/>
    <cellStyle name="Normal 16 2 2 2 2 4" xfId="1047" xr:uid="{00000000-0005-0000-0000-0000D7020000}"/>
    <cellStyle name="Normal 16 2 2 2 3" xfId="905" xr:uid="{00000000-0005-0000-0000-0000D8020000}"/>
    <cellStyle name="Normal 16 2 2 2 3 2" xfId="1343" xr:uid="{00000000-0005-0000-0000-0000D9020000}"/>
    <cellStyle name="Normal 16 2 2 2 3 3" xfId="1110" xr:uid="{00000000-0005-0000-0000-0000DA020000}"/>
    <cellStyle name="Normal 16 2 2 2 4" xfId="1227" xr:uid="{00000000-0005-0000-0000-0000DB020000}"/>
    <cellStyle name="Normal 16 2 2 2 5" xfId="990" xr:uid="{00000000-0005-0000-0000-0000DC020000}"/>
    <cellStyle name="Normal 16 2 2 3" xfId="802" xr:uid="{00000000-0005-0000-0000-0000DD020000}"/>
    <cellStyle name="Normal 16 2 2 3 2" xfId="1136" xr:uid="{00000000-0005-0000-0000-0000DE020000}"/>
    <cellStyle name="Normal 16 2 2 3 2 2" xfId="1369" xr:uid="{00000000-0005-0000-0000-0000DF020000}"/>
    <cellStyle name="Normal 16 2 2 3 3" xfId="1253" xr:uid="{00000000-0005-0000-0000-0000E0020000}"/>
    <cellStyle name="Normal 16 2 2 3 4" xfId="1017" xr:uid="{00000000-0005-0000-0000-0000E1020000}"/>
    <cellStyle name="Normal 16 2 2 4" xfId="875" xr:uid="{00000000-0005-0000-0000-0000E2020000}"/>
    <cellStyle name="Normal 16 2 2 4 2" xfId="1317" xr:uid="{00000000-0005-0000-0000-0000E3020000}"/>
    <cellStyle name="Normal 16 2 2 4 3" xfId="1084" xr:uid="{00000000-0005-0000-0000-0000E4020000}"/>
    <cellStyle name="Normal 16 2 2 5" xfId="1201" xr:uid="{00000000-0005-0000-0000-0000E5020000}"/>
    <cellStyle name="Normal 16 2 2 6" xfId="964" xr:uid="{00000000-0005-0000-0000-0000E6020000}"/>
    <cellStyle name="Normal 16 2 3" xfId="627" xr:uid="{00000000-0005-0000-0000-0000E7020000}"/>
    <cellStyle name="Normal 16 2 3 2" xfId="664" xr:uid="{00000000-0005-0000-0000-0000E8020000}"/>
    <cellStyle name="Normal 16 2 3 2 2" xfId="843" xr:uid="{00000000-0005-0000-0000-0000E9020000}"/>
    <cellStyle name="Normal 16 2 3 2 2 2" xfId="1174" xr:uid="{00000000-0005-0000-0000-0000EA020000}"/>
    <cellStyle name="Normal 16 2 3 2 2 2 2" xfId="1407" xr:uid="{00000000-0005-0000-0000-0000EB020000}"/>
    <cellStyle name="Normal 16 2 3 2 2 3" xfId="1291" xr:uid="{00000000-0005-0000-0000-0000EC020000}"/>
    <cellStyle name="Normal 16 2 3 2 2 4" xfId="1055" xr:uid="{00000000-0005-0000-0000-0000ED020000}"/>
    <cellStyle name="Normal 16 2 3 2 3" xfId="913" xr:uid="{00000000-0005-0000-0000-0000EE020000}"/>
    <cellStyle name="Normal 16 2 3 2 3 2" xfId="1351" xr:uid="{00000000-0005-0000-0000-0000EF020000}"/>
    <cellStyle name="Normal 16 2 3 2 3 3" xfId="1118" xr:uid="{00000000-0005-0000-0000-0000F0020000}"/>
    <cellStyle name="Normal 16 2 3 2 4" xfId="1235" xr:uid="{00000000-0005-0000-0000-0000F1020000}"/>
    <cellStyle name="Normal 16 2 3 2 5" xfId="998" xr:uid="{00000000-0005-0000-0000-0000F2020000}"/>
    <cellStyle name="Normal 16 2 3 3" xfId="810" xr:uid="{00000000-0005-0000-0000-0000F3020000}"/>
    <cellStyle name="Normal 16 2 3 3 2" xfId="1144" xr:uid="{00000000-0005-0000-0000-0000F4020000}"/>
    <cellStyle name="Normal 16 2 3 3 2 2" xfId="1377" xr:uid="{00000000-0005-0000-0000-0000F5020000}"/>
    <cellStyle name="Normal 16 2 3 3 3" xfId="1261" xr:uid="{00000000-0005-0000-0000-0000F6020000}"/>
    <cellStyle name="Normal 16 2 3 3 4" xfId="1025" xr:uid="{00000000-0005-0000-0000-0000F7020000}"/>
    <cellStyle name="Normal 16 2 3 4" xfId="883" xr:uid="{00000000-0005-0000-0000-0000F8020000}"/>
    <cellStyle name="Normal 16 2 3 4 2" xfId="1325" xr:uid="{00000000-0005-0000-0000-0000F9020000}"/>
    <cellStyle name="Normal 16 2 3 4 3" xfId="1092" xr:uid="{00000000-0005-0000-0000-0000FA020000}"/>
    <cellStyle name="Normal 16 2 3 5" xfId="1209" xr:uid="{00000000-0005-0000-0000-0000FB020000}"/>
    <cellStyle name="Normal 16 2 3 6" xfId="972" xr:uid="{00000000-0005-0000-0000-0000FC020000}"/>
    <cellStyle name="Normal 16 2 4" xfId="648" xr:uid="{00000000-0005-0000-0000-0000FD020000}"/>
    <cellStyle name="Normal 16 2 4 2" xfId="827" xr:uid="{00000000-0005-0000-0000-0000FE020000}"/>
    <cellStyle name="Normal 16 2 4 2 2" xfId="1158" xr:uid="{00000000-0005-0000-0000-0000FF020000}"/>
    <cellStyle name="Normal 16 2 4 2 2 2" xfId="1391" xr:uid="{00000000-0005-0000-0000-000000030000}"/>
    <cellStyle name="Normal 16 2 4 2 3" xfId="1275" xr:uid="{00000000-0005-0000-0000-000001030000}"/>
    <cellStyle name="Normal 16 2 4 2 4" xfId="1039" xr:uid="{00000000-0005-0000-0000-000002030000}"/>
    <cellStyle name="Normal 16 2 4 3" xfId="897" xr:uid="{00000000-0005-0000-0000-000003030000}"/>
    <cellStyle name="Normal 16 2 4 3 2" xfId="1309" xr:uid="{00000000-0005-0000-0000-000004030000}"/>
    <cellStyle name="Normal 16 2 4 3 3" xfId="1076" xr:uid="{00000000-0005-0000-0000-000005030000}"/>
    <cellStyle name="Normal 16 2 4 4" xfId="1193" xr:uid="{00000000-0005-0000-0000-000006030000}"/>
    <cellStyle name="Normal 16 2 4 5" xfId="956" xr:uid="{00000000-0005-0000-0000-000007030000}"/>
    <cellStyle name="Normal 16 2 5" xfId="791" xr:uid="{00000000-0005-0000-0000-000008030000}"/>
    <cellStyle name="Normal 16 2 5 2" xfId="1102" xr:uid="{00000000-0005-0000-0000-000009030000}"/>
    <cellStyle name="Normal 16 2 5 2 2" xfId="1335" xr:uid="{00000000-0005-0000-0000-00000A030000}"/>
    <cellStyle name="Normal 16 2 5 3" xfId="1219" xr:uid="{00000000-0005-0000-0000-00000B030000}"/>
    <cellStyle name="Normal 16 2 5 4" xfId="982" xr:uid="{00000000-0005-0000-0000-00000C030000}"/>
    <cellStyle name="Normal 16 2 6" xfId="867" xr:uid="{00000000-0005-0000-0000-00000D030000}"/>
    <cellStyle name="Normal 16 2 6 2" xfId="1128" xr:uid="{00000000-0005-0000-0000-00000E030000}"/>
    <cellStyle name="Normal 16 2 6 2 2" xfId="1361" xr:uid="{00000000-0005-0000-0000-00000F030000}"/>
    <cellStyle name="Normal 16 2 6 3" xfId="1245" xr:uid="{00000000-0005-0000-0000-000010030000}"/>
    <cellStyle name="Normal 16 2 6 4" xfId="1009" xr:uid="{00000000-0005-0000-0000-000011030000}"/>
    <cellStyle name="Normal 16 2 7" xfId="1069" xr:uid="{00000000-0005-0000-0000-000012030000}"/>
    <cellStyle name="Normal 16 2 7 2" xfId="1302" xr:uid="{00000000-0005-0000-0000-000013030000}"/>
    <cellStyle name="Normal 16 2 8" xfId="1186" xr:uid="{00000000-0005-0000-0000-000014030000}"/>
    <cellStyle name="Normal 16 2 9" xfId="949" xr:uid="{00000000-0005-0000-0000-000015030000}"/>
    <cellStyle name="Normal 16 3" xfId="591" xr:uid="{00000000-0005-0000-0000-000016030000}"/>
    <cellStyle name="Normal 16 3 2" xfId="645" xr:uid="{00000000-0005-0000-0000-000017030000}"/>
    <cellStyle name="Normal 16 3 2 2" xfId="824" xr:uid="{00000000-0005-0000-0000-000018030000}"/>
    <cellStyle name="Normal 16 3 2 2 2" xfId="1155" xr:uid="{00000000-0005-0000-0000-000019030000}"/>
    <cellStyle name="Normal 16 3 2 2 2 2" xfId="1388" xr:uid="{00000000-0005-0000-0000-00001A030000}"/>
    <cellStyle name="Normal 16 3 2 2 3" xfId="1272" xr:uid="{00000000-0005-0000-0000-00001B030000}"/>
    <cellStyle name="Normal 16 3 2 2 4" xfId="1036" xr:uid="{00000000-0005-0000-0000-00001C030000}"/>
    <cellStyle name="Normal 16 3 2 3" xfId="894" xr:uid="{00000000-0005-0000-0000-00001D030000}"/>
    <cellStyle name="Normal 16 3 2 3 2" xfId="1332" xr:uid="{00000000-0005-0000-0000-00001E030000}"/>
    <cellStyle name="Normal 16 3 2 3 3" xfId="1099" xr:uid="{00000000-0005-0000-0000-00001F030000}"/>
    <cellStyle name="Normal 16 3 2 4" xfId="1216" xr:uid="{00000000-0005-0000-0000-000020030000}"/>
    <cellStyle name="Normal 16 3 2 5" xfId="979" xr:uid="{00000000-0005-0000-0000-000021030000}"/>
    <cellStyle name="Normal 16 3 3" xfId="785" xr:uid="{00000000-0005-0000-0000-000022030000}"/>
    <cellStyle name="Normal 16 3 3 2" xfId="1125" xr:uid="{00000000-0005-0000-0000-000023030000}"/>
    <cellStyle name="Normal 16 3 3 2 2" xfId="1358" xr:uid="{00000000-0005-0000-0000-000024030000}"/>
    <cellStyle name="Normal 16 3 3 3" xfId="1242" xr:uid="{00000000-0005-0000-0000-000025030000}"/>
    <cellStyle name="Normal 16 3 3 4" xfId="1006" xr:uid="{00000000-0005-0000-0000-000026030000}"/>
    <cellStyle name="Normal 16 3 4" xfId="864" xr:uid="{00000000-0005-0000-0000-000027030000}"/>
    <cellStyle name="Normal 16 3 4 2" xfId="1306" xr:uid="{00000000-0005-0000-0000-000028030000}"/>
    <cellStyle name="Normal 16 3 4 3" xfId="1073" xr:uid="{00000000-0005-0000-0000-000029030000}"/>
    <cellStyle name="Normal 16 3 5" xfId="1190" xr:uid="{00000000-0005-0000-0000-00002A030000}"/>
    <cellStyle name="Normal 16 3 6" xfId="953" xr:uid="{00000000-0005-0000-0000-00002B030000}"/>
    <cellStyle name="Normal 16 4" xfId="616" xr:uid="{00000000-0005-0000-0000-00002C030000}"/>
    <cellStyle name="Normal 16 4 2" xfId="653" xr:uid="{00000000-0005-0000-0000-00002D030000}"/>
    <cellStyle name="Normal 16 4 2 2" xfId="832" xr:uid="{00000000-0005-0000-0000-00002E030000}"/>
    <cellStyle name="Normal 16 4 2 2 2" xfId="1163" xr:uid="{00000000-0005-0000-0000-00002F030000}"/>
    <cellStyle name="Normal 16 4 2 2 2 2" xfId="1396" xr:uid="{00000000-0005-0000-0000-000030030000}"/>
    <cellStyle name="Normal 16 4 2 2 3" xfId="1280" xr:uid="{00000000-0005-0000-0000-000031030000}"/>
    <cellStyle name="Normal 16 4 2 2 4" xfId="1044" xr:uid="{00000000-0005-0000-0000-000032030000}"/>
    <cellStyle name="Normal 16 4 2 3" xfId="902" xr:uid="{00000000-0005-0000-0000-000033030000}"/>
    <cellStyle name="Normal 16 4 2 3 2" xfId="1340" xr:uid="{00000000-0005-0000-0000-000034030000}"/>
    <cellStyle name="Normal 16 4 2 3 3" xfId="1107" xr:uid="{00000000-0005-0000-0000-000035030000}"/>
    <cellStyle name="Normal 16 4 2 4" xfId="1224" xr:uid="{00000000-0005-0000-0000-000036030000}"/>
    <cellStyle name="Normal 16 4 2 5" xfId="987" xr:uid="{00000000-0005-0000-0000-000037030000}"/>
    <cellStyle name="Normal 16 4 3" xfId="799" xr:uid="{00000000-0005-0000-0000-000038030000}"/>
    <cellStyle name="Normal 16 4 3 2" xfId="1133" xr:uid="{00000000-0005-0000-0000-000039030000}"/>
    <cellStyle name="Normal 16 4 3 2 2" xfId="1366" xr:uid="{00000000-0005-0000-0000-00003A030000}"/>
    <cellStyle name="Normal 16 4 3 3" xfId="1250" xr:uid="{00000000-0005-0000-0000-00003B030000}"/>
    <cellStyle name="Normal 16 4 3 4" xfId="1014" xr:uid="{00000000-0005-0000-0000-00003C030000}"/>
    <cellStyle name="Normal 16 4 4" xfId="872" xr:uid="{00000000-0005-0000-0000-00003D030000}"/>
    <cellStyle name="Normal 16 4 4 2" xfId="1314" xr:uid="{00000000-0005-0000-0000-00003E030000}"/>
    <cellStyle name="Normal 16 4 4 3" xfId="1081" xr:uid="{00000000-0005-0000-0000-00003F030000}"/>
    <cellStyle name="Normal 16 4 5" xfId="1198" xr:uid="{00000000-0005-0000-0000-000040030000}"/>
    <cellStyle name="Normal 16 4 6" xfId="961" xr:uid="{00000000-0005-0000-0000-000041030000}"/>
    <cellStyle name="Normal 16 5" xfId="624" xr:uid="{00000000-0005-0000-0000-000042030000}"/>
    <cellStyle name="Normal 16 5 2" xfId="661" xr:uid="{00000000-0005-0000-0000-000043030000}"/>
    <cellStyle name="Normal 16 5 2 2" xfId="840" xr:uid="{00000000-0005-0000-0000-000044030000}"/>
    <cellStyle name="Normal 16 5 2 2 2" xfId="1171" xr:uid="{00000000-0005-0000-0000-000045030000}"/>
    <cellStyle name="Normal 16 5 2 2 2 2" xfId="1404" xr:uid="{00000000-0005-0000-0000-000046030000}"/>
    <cellStyle name="Normal 16 5 2 2 3" xfId="1288" xr:uid="{00000000-0005-0000-0000-000047030000}"/>
    <cellStyle name="Normal 16 5 2 2 4" xfId="1052" xr:uid="{00000000-0005-0000-0000-000048030000}"/>
    <cellStyle name="Normal 16 5 2 3" xfId="910" xr:uid="{00000000-0005-0000-0000-000049030000}"/>
    <cellStyle name="Normal 16 5 2 3 2" xfId="1348" xr:uid="{00000000-0005-0000-0000-00004A030000}"/>
    <cellStyle name="Normal 16 5 2 3 3" xfId="1115" xr:uid="{00000000-0005-0000-0000-00004B030000}"/>
    <cellStyle name="Normal 16 5 2 4" xfId="1232" xr:uid="{00000000-0005-0000-0000-00004C030000}"/>
    <cellStyle name="Normal 16 5 2 5" xfId="995" xr:uid="{00000000-0005-0000-0000-00004D030000}"/>
    <cellStyle name="Normal 16 5 3" xfId="807" xr:uid="{00000000-0005-0000-0000-00004E030000}"/>
    <cellStyle name="Normal 16 5 3 2" xfId="1141" xr:uid="{00000000-0005-0000-0000-00004F030000}"/>
    <cellStyle name="Normal 16 5 3 2 2" xfId="1374" xr:uid="{00000000-0005-0000-0000-000050030000}"/>
    <cellStyle name="Normal 16 5 3 3" xfId="1258" xr:uid="{00000000-0005-0000-0000-000051030000}"/>
    <cellStyle name="Normal 16 5 3 4" xfId="1022" xr:uid="{00000000-0005-0000-0000-000052030000}"/>
    <cellStyle name="Normal 16 5 4" xfId="880" xr:uid="{00000000-0005-0000-0000-000053030000}"/>
    <cellStyle name="Normal 16 5 4 2" xfId="1322" xr:uid="{00000000-0005-0000-0000-000054030000}"/>
    <cellStyle name="Normal 16 5 4 3" xfId="1089" xr:uid="{00000000-0005-0000-0000-000055030000}"/>
    <cellStyle name="Normal 16 5 5" xfId="1206" xr:uid="{00000000-0005-0000-0000-000056030000}"/>
    <cellStyle name="Normal 16 5 6" xfId="969" xr:uid="{00000000-0005-0000-0000-000057030000}"/>
    <cellStyle name="Normal 16 6" xfId="642" xr:uid="{00000000-0005-0000-0000-000058030000}"/>
    <cellStyle name="Normal 16 6 2" xfId="821" xr:uid="{00000000-0005-0000-0000-000059030000}"/>
    <cellStyle name="Normal 16 6 2 2" xfId="1153" xr:uid="{00000000-0005-0000-0000-00005A030000}"/>
    <cellStyle name="Normal 16 6 2 2 2" xfId="1386" xr:uid="{00000000-0005-0000-0000-00005B030000}"/>
    <cellStyle name="Normal 16 6 2 3" xfId="1270" xr:uid="{00000000-0005-0000-0000-00005C030000}"/>
    <cellStyle name="Normal 16 6 2 4" xfId="1034" xr:uid="{00000000-0005-0000-0000-00005D030000}"/>
    <cellStyle name="Normal 16 6 3" xfId="892" xr:uid="{00000000-0005-0000-0000-00005E030000}"/>
    <cellStyle name="Normal 16 6 3 2" xfId="1304" xr:uid="{00000000-0005-0000-0000-00005F030000}"/>
    <cellStyle name="Normal 16 6 3 3" xfId="1071" xr:uid="{00000000-0005-0000-0000-000060030000}"/>
    <cellStyle name="Normal 16 6 4" xfId="1188" xr:uid="{00000000-0005-0000-0000-000061030000}"/>
    <cellStyle name="Normal 16 6 5" xfId="951" xr:uid="{00000000-0005-0000-0000-000062030000}"/>
    <cellStyle name="Normal 16 7" xfId="771" xr:uid="{00000000-0005-0000-0000-000063030000}"/>
    <cellStyle name="Normal 16 7 2" xfId="1097" xr:uid="{00000000-0005-0000-0000-000064030000}"/>
    <cellStyle name="Normal 16 7 2 2" xfId="1330" xr:uid="{00000000-0005-0000-0000-000065030000}"/>
    <cellStyle name="Normal 16 7 3" xfId="1214" xr:uid="{00000000-0005-0000-0000-000066030000}"/>
    <cellStyle name="Normal 16 7 4" xfId="977" xr:uid="{00000000-0005-0000-0000-000067030000}"/>
    <cellStyle name="Normal 16 8" xfId="861" xr:uid="{00000000-0005-0000-0000-000068030000}"/>
    <cellStyle name="Normal 16 8 2" xfId="1123" xr:uid="{00000000-0005-0000-0000-000069030000}"/>
    <cellStyle name="Normal 16 8 2 2" xfId="1356" xr:uid="{00000000-0005-0000-0000-00006A030000}"/>
    <cellStyle name="Normal 16 8 3" xfId="1240" xr:uid="{00000000-0005-0000-0000-00006B030000}"/>
    <cellStyle name="Normal 16 8 4" xfId="1004" xr:uid="{00000000-0005-0000-0000-00006C030000}"/>
    <cellStyle name="Normal 16 9" xfId="1064" xr:uid="{00000000-0005-0000-0000-00006D030000}"/>
    <cellStyle name="Normal 16 9 2" xfId="1299" xr:uid="{00000000-0005-0000-0000-00006E030000}"/>
    <cellStyle name="Normal 17" xfId="517" xr:uid="{00000000-0005-0000-0000-00006F030000}"/>
    <cellStyle name="Normal 17 10" xfId="1184" xr:uid="{00000000-0005-0000-0000-000070030000}"/>
    <cellStyle name="Normal 17 11" xfId="940" xr:uid="{00000000-0005-0000-0000-000071030000}"/>
    <cellStyle name="Normal 17 2" xfId="603" xr:uid="{00000000-0005-0000-0000-000072030000}"/>
    <cellStyle name="Normal 17 2 2" xfId="620" xr:uid="{00000000-0005-0000-0000-000073030000}"/>
    <cellStyle name="Normal 17 2 2 2" xfId="657" xr:uid="{00000000-0005-0000-0000-000074030000}"/>
    <cellStyle name="Normal 17 2 2 2 2" xfId="836" xr:uid="{00000000-0005-0000-0000-000075030000}"/>
    <cellStyle name="Normal 17 2 2 2 2 2" xfId="1167" xr:uid="{00000000-0005-0000-0000-000076030000}"/>
    <cellStyle name="Normal 17 2 2 2 2 2 2" xfId="1400" xr:uid="{00000000-0005-0000-0000-000077030000}"/>
    <cellStyle name="Normal 17 2 2 2 2 3" xfId="1284" xr:uid="{00000000-0005-0000-0000-000078030000}"/>
    <cellStyle name="Normal 17 2 2 2 2 4" xfId="1048" xr:uid="{00000000-0005-0000-0000-000079030000}"/>
    <cellStyle name="Normal 17 2 2 2 3" xfId="906" xr:uid="{00000000-0005-0000-0000-00007A030000}"/>
    <cellStyle name="Normal 17 2 2 2 3 2" xfId="1344" xr:uid="{00000000-0005-0000-0000-00007B030000}"/>
    <cellStyle name="Normal 17 2 2 2 3 3" xfId="1111" xr:uid="{00000000-0005-0000-0000-00007C030000}"/>
    <cellStyle name="Normal 17 2 2 2 4" xfId="1228" xr:uid="{00000000-0005-0000-0000-00007D030000}"/>
    <cellStyle name="Normal 17 2 2 2 5" xfId="991" xr:uid="{00000000-0005-0000-0000-00007E030000}"/>
    <cellStyle name="Normal 17 2 2 3" xfId="803" xr:uid="{00000000-0005-0000-0000-00007F030000}"/>
    <cellStyle name="Normal 17 2 2 3 2" xfId="1137" xr:uid="{00000000-0005-0000-0000-000080030000}"/>
    <cellStyle name="Normal 17 2 2 3 2 2" xfId="1370" xr:uid="{00000000-0005-0000-0000-000081030000}"/>
    <cellStyle name="Normal 17 2 2 3 3" xfId="1254" xr:uid="{00000000-0005-0000-0000-000082030000}"/>
    <cellStyle name="Normal 17 2 2 3 4" xfId="1018" xr:uid="{00000000-0005-0000-0000-000083030000}"/>
    <cellStyle name="Normal 17 2 2 4" xfId="876" xr:uid="{00000000-0005-0000-0000-000084030000}"/>
    <cellStyle name="Normal 17 2 2 4 2" xfId="1318" xr:uid="{00000000-0005-0000-0000-000085030000}"/>
    <cellStyle name="Normal 17 2 2 4 3" xfId="1085" xr:uid="{00000000-0005-0000-0000-000086030000}"/>
    <cellStyle name="Normal 17 2 2 5" xfId="1202" xr:uid="{00000000-0005-0000-0000-000087030000}"/>
    <cellStyle name="Normal 17 2 2 6" xfId="965" xr:uid="{00000000-0005-0000-0000-000088030000}"/>
    <cellStyle name="Normal 17 2 3" xfId="628" xr:uid="{00000000-0005-0000-0000-000089030000}"/>
    <cellStyle name="Normal 17 2 3 2" xfId="665" xr:uid="{00000000-0005-0000-0000-00008A030000}"/>
    <cellStyle name="Normal 17 2 3 2 2" xfId="844" xr:uid="{00000000-0005-0000-0000-00008B030000}"/>
    <cellStyle name="Normal 17 2 3 2 2 2" xfId="1175" xr:uid="{00000000-0005-0000-0000-00008C030000}"/>
    <cellStyle name="Normal 17 2 3 2 2 2 2" xfId="1408" xr:uid="{00000000-0005-0000-0000-00008D030000}"/>
    <cellStyle name="Normal 17 2 3 2 2 3" xfId="1292" xr:uid="{00000000-0005-0000-0000-00008E030000}"/>
    <cellStyle name="Normal 17 2 3 2 2 4" xfId="1056" xr:uid="{00000000-0005-0000-0000-00008F030000}"/>
    <cellStyle name="Normal 17 2 3 2 3" xfId="914" xr:uid="{00000000-0005-0000-0000-000090030000}"/>
    <cellStyle name="Normal 17 2 3 2 3 2" xfId="1352" xr:uid="{00000000-0005-0000-0000-000091030000}"/>
    <cellStyle name="Normal 17 2 3 2 3 3" xfId="1119" xr:uid="{00000000-0005-0000-0000-000092030000}"/>
    <cellStyle name="Normal 17 2 3 2 4" xfId="1236" xr:uid="{00000000-0005-0000-0000-000093030000}"/>
    <cellStyle name="Normal 17 2 3 2 5" xfId="999" xr:uid="{00000000-0005-0000-0000-000094030000}"/>
    <cellStyle name="Normal 17 2 3 3" xfId="811" xr:uid="{00000000-0005-0000-0000-000095030000}"/>
    <cellStyle name="Normal 17 2 3 3 2" xfId="1145" xr:uid="{00000000-0005-0000-0000-000096030000}"/>
    <cellStyle name="Normal 17 2 3 3 2 2" xfId="1378" xr:uid="{00000000-0005-0000-0000-000097030000}"/>
    <cellStyle name="Normal 17 2 3 3 3" xfId="1262" xr:uid="{00000000-0005-0000-0000-000098030000}"/>
    <cellStyle name="Normal 17 2 3 3 4" xfId="1026" xr:uid="{00000000-0005-0000-0000-000099030000}"/>
    <cellStyle name="Normal 17 2 3 4" xfId="884" xr:uid="{00000000-0005-0000-0000-00009A030000}"/>
    <cellStyle name="Normal 17 2 3 4 2" xfId="1326" xr:uid="{00000000-0005-0000-0000-00009B030000}"/>
    <cellStyle name="Normal 17 2 3 4 3" xfId="1093" xr:uid="{00000000-0005-0000-0000-00009C030000}"/>
    <cellStyle name="Normal 17 2 3 5" xfId="1210" xr:uid="{00000000-0005-0000-0000-00009D030000}"/>
    <cellStyle name="Normal 17 2 3 6" xfId="973" xr:uid="{00000000-0005-0000-0000-00009E030000}"/>
    <cellStyle name="Normal 17 2 4" xfId="649" xr:uid="{00000000-0005-0000-0000-00009F030000}"/>
    <cellStyle name="Normal 17 2 4 2" xfId="828" xr:uid="{00000000-0005-0000-0000-0000A0030000}"/>
    <cellStyle name="Normal 17 2 4 2 2" xfId="1159" xr:uid="{00000000-0005-0000-0000-0000A1030000}"/>
    <cellStyle name="Normal 17 2 4 2 2 2" xfId="1392" xr:uid="{00000000-0005-0000-0000-0000A2030000}"/>
    <cellStyle name="Normal 17 2 4 2 3" xfId="1276" xr:uid="{00000000-0005-0000-0000-0000A3030000}"/>
    <cellStyle name="Normal 17 2 4 2 4" xfId="1040" xr:uid="{00000000-0005-0000-0000-0000A4030000}"/>
    <cellStyle name="Normal 17 2 4 3" xfId="898" xr:uid="{00000000-0005-0000-0000-0000A5030000}"/>
    <cellStyle name="Normal 17 2 4 3 2" xfId="1310" xr:uid="{00000000-0005-0000-0000-0000A6030000}"/>
    <cellStyle name="Normal 17 2 4 3 3" xfId="1077" xr:uid="{00000000-0005-0000-0000-0000A7030000}"/>
    <cellStyle name="Normal 17 2 4 4" xfId="1194" xr:uid="{00000000-0005-0000-0000-0000A8030000}"/>
    <cellStyle name="Normal 17 2 4 5" xfId="957" xr:uid="{00000000-0005-0000-0000-0000A9030000}"/>
    <cellStyle name="Normal 17 2 5" xfId="792" xr:uid="{00000000-0005-0000-0000-0000AA030000}"/>
    <cellStyle name="Normal 17 2 5 2" xfId="1103" xr:uid="{00000000-0005-0000-0000-0000AB030000}"/>
    <cellStyle name="Normal 17 2 5 2 2" xfId="1336" xr:uid="{00000000-0005-0000-0000-0000AC030000}"/>
    <cellStyle name="Normal 17 2 5 3" xfId="1220" xr:uid="{00000000-0005-0000-0000-0000AD030000}"/>
    <cellStyle name="Normal 17 2 5 4" xfId="983" xr:uid="{00000000-0005-0000-0000-0000AE030000}"/>
    <cellStyle name="Normal 17 2 6" xfId="868" xr:uid="{00000000-0005-0000-0000-0000AF030000}"/>
    <cellStyle name="Normal 17 2 6 2" xfId="1129" xr:uid="{00000000-0005-0000-0000-0000B0030000}"/>
    <cellStyle name="Normal 17 2 6 2 2" xfId="1362" xr:uid="{00000000-0005-0000-0000-0000B1030000}"/>
    <cellStyle name="Normal 17 2 6 3" xfId="1246" xr:uid="{00000000-0005-0000-0000-0000B2030000}"/>
    <cellStyle name="Normal 17 2 6 4" xfId="1010" xr:uid="{00000000-0005-0000-0000-0000B3030000}"/>
    <cellStyle name="Normal 17 2 7" xfId="1070" xr:uid="{00000000-0005-0000-0000-0000B4030000}"/>
    <cellStyle name="Normal 17 2 7 2" xfId="1303" xr:uid="{00000000-0005-0000-0000-0000B5030000}"/>
    <cellStyle name="Normal 17 2 8" xfId="1187" xr:uid="{00000000-0005-0000-0000-0000B6030000}"/>
    <cellStyle name="Normal 17 2 9" xfId="950" xr:uid="{00000000-0005-0000-0000-0000B7030000}"/>
    <cellStyle name="Normal 17 3" xfId="592" xr:uid="{00000000-0005-0000-0000-0000B8030000}"/>
    <cellStyle name="Normal 17 3 2" xfId="646" xr:uid="{00000000-0005-0000-0000-0000B9030000}"/>
    <cellStyle name="Normal 17 3 2 2" xfId="825" xr:uid="{00000000-0005-0000-0000-0000BA030000}"/>
    <cellStyle name="Normal 17 3 2 2 2" xfId="1156" xr:uid="{00000000-0005-0000-0000-0000BB030000}"/>
    <cellStyle name="Normal 17 3 2 2 2 2" xfId="1389" xr:uid="{00000000-0005-0000-0000-0000BC030000}"/>
    <cellStyle name="Normal 17 3 2 2 3" xfId="1273" xr:uid="{00000000-0005-0000-0000-0000BD030000}"/>
    <cellStyle name="Normal 17 3 2 2 4" xfId="1037" xr:uid="{00000000-0005-0000-0000-0000BE030000}"/>
    <cellStyle name="Normal 17 3 2 3" xfId="895" xr:uid="{00000000-0005-0000-0000-0000BF030000}"/>
    <cellStyle name="Normal 17 3 2 3 2" xfId="1333" xr:uid="{00000000-0005-0000-0000-0000C0030000}"/>
    <cellStyle name="Normal 17 3 2 3 3" xfId="1100" xr:uid="{00000000-0005-0000-0000-0000C1030000}"/>
    <cellStyle name="Normal 17 3 2 4" xfId="1217" xr:uid="{00000000-0005-0000-0000-0000C2030000}"/>
    <cellStyle name="Normal 17 3 2 5" xfId="980" xr:uid="{00000000-0005-0000-0000-0000C3030000}"/>
    <cellStyle name="Normal 17 3 3" xfId="786" xr:uid="{00000000-0005-0000-0000-0000C4030000}"/>
    <cellStyle name="Normal 17 3 3 2" xfId="1126" xr:uid="{00000000-0005-0000-0000-0000C5030000}"/>
    <cellStyle name="Normal 17 3 3 2 2" xfId="1359" xr:uid="{00000000-0005-0000-0000-0000C6030000}"/>
    <cellStyle name="Normal 17 3 3 3" xfId="1243" xr:uid="{00000000-0005-0000-0000-0000C7030000}"/>
    <cellStyle name="Normal 17 3 3 4" xfId="1007" xr:uid="{00000000-0005-0000-0000-0000C8030000}"/>
    <cellStyle name="Normal 17 3 4" xfId="865" xr:uid="{00000000-0005-0000-0000-0000C9030000}"/>
    <cellStyle name="Normal 17 3 4 2" xfId="1307" xr:uid="{00000000-0005-0000-0000-0000CA030000}"/>
    <cellStyle name="Normal 17 3 4 3" xfId="1074" xr:uid="{00000000-0005-0000-0000-0000CB030000}"/>
    <cellStyle name="Normal 17 3 5" xfId="1191" xr:uid="{00000000-0005-0000-0000-0000CC030000}"/>
    <cellStyle name="Normal 17 3 6" xfId="954" xr:uid="{00000000-0005-0000-0000-0000CD030000}"/>
    <cellStyle name="Normal 17 4" xfId="617" xr:uid="{00000000-0005-0000-0000-0000CE030000}"/>
    <cellStyle name="Normal 17 4 2" xfId="654" xr:uid="{00000000-0005-0000-0000-0000CF030000}"/>
    <cellStyle name="Normal 17 4 2 2" xfId="833" xr:uid="{00000000-0005-0000-0000-0000D0030000}"/>
    <cellStyle name="Normal 17 4 2 2 2" xfId="1164" xr:uid="{00000000-0005-0000-0000-0000D1030000}"/>
    <cellStyle name="Normal 17 4 2 2 2 2" xfId="1397" xr:uid="{00000000-0005-0000-0000-0000D2030000}"/>
    <cellStyle name="Normal 17 4 2 2 3" xfId="1281" xr:uid="{00000000-0005-0000-0000-0000D3030000}"/>
    <cellStyle name="Normal 17 4 2 2 4" xfId="1045" xr:uid="{00000000-0005-0000-0000-0000D4030000}"/>
    <cellStyle name="Normal 17 4 2 3" xfId="903" xr:uid="{00000000-0005-0000-0000-0000D5030000}"/>
    <cellStyle name="Normal 17 4 2 3 2" xfId="1341" xr:uid="{00000000-0005-0000-0000-0000D6030000}"/>
    <cellStyle name="Normal 17 4 2 3 3" xfId="1108" xr:uid="{00000000-0005-0000-0000-0000D7030000}"/>
    <cellStyle name="Normal 17 4 2 4" xfId="1225" xr:uid="{00000000-0005-0000-0000-0000D8030000}"/>
    <cellStyle name="Normal 17 4 2 5" xfId="988" xr:uid="{00000000-0005-0000-0000-0000D9030000}"/>
    <cellStyle name="Normal 17 4 3" xfId="800" xr:uid="{00000000-0005-0000-0000-0000DA030000}"/>
    <cellStyle name="Normal 17 4 3 2" xfId="1134" xr:uid="{00000000-0005-0000-0000-0000DB030000}"/>
    <cellStyle name="Normal 17 4 3 2 2" xfId="1367" xr:uid="{00000000-0005-0000-0000-0000DC030000}"/>
    <cellStyle name="Normal 17 4 3 3" xfId="1251" xr:uid="{00000000-0005-0000-0000-0000DD030000}"/>
    <cellStyle name="Normal 17 4 3 4" xfId="1015" xr:uid="{00000000-0005-0000-0000-0000DE030000}"/>
    <cellStyle name="Normal 17 4 4" xfId="873" xr:uid="{00000000-0005-0000-0000-0000DF030000}"/>
    <cellStyle name="Normal 17 4 4 2" xfId="1315" xr:uid="{00000000-0005-0000-0000-0000E0030000}"/>
    <cellStyle name="Normal 17 4 4 3" xfId="1082" xr:uid="{00000000-0005-0000-0000-0000E1030000}"/>
    <cellStyle name="Normal 17 4 5" xfId="1199" xr:uid="{00000000-0005-0000-0000-0000E2030000}"/>
    <cellStyle name="Normal 17 4 6" xfId="962" xr:uid="{00000000-0005-0000-0000-0000E3030000}"/>
    <cellStyle name="Normal 17 5" xfId="625" xr:uid="{00000000-0005-0000-0000-0000E4030000}"/>
    <cellStyle name="Normal 17 5 2" xfId="662" xr:uid="{00000000-0005-0000-0000-0000E5030000}"/>
    <cellStyle name="Normal 17 5 2 2" xfId="841" xr:uid="{00000000-0005-0000-0000-0000E6030000}"/>
    <cellStyle name="Normal 17 5 2 2 2" xfId="1172" xr:uid="{00000000-0005-0000-0000-0000E7030000}"/>
    <cellStyle name="Normal 17 5 2 2 2 2" xfId="1405" xr:uid="{00000000-0005-0000-0000-0000E8030000}"/>
    <cellStyle name="Normal 17 5 2 2 3" xfId="1289" xr:uid="{00000000-0005-0000-0000-0000E9030000}"/>
    <cellStyle name="Normal 17 5 2 2 4" xfId="1053" xr:uid="{00000000-0005-0000-0000-0000EA030000}"/>
    <cellStyle name="Normal 17 5 2 3" xfId="911" xr:uid="{00000000-0005-0000-0000-0000EB030000}"/>
    <cellStyle name="Normal 17 5 2 3 2" xfId="1349" xr:uid="{00000000-0005-0000-0000-0000EC030000}"/>
    <cellStyle name="Normal 17 5 2 3 3" xfId="1116" xr:uid="{00000000-0005-0000-0000-0000ED030000}"/>
    <cellStyle name="Normal 17 5 2 4" xfId="1233" xr:uid="{00000000-0005-0000-0000-0000EE030000}"/>
    <cellStyle name="Normal 17 5 2 5" xfId="996" xr:uid="{00000000-0005-0000-0000-0000EF030000}"/>
    <cellStyle name="Normal 17 5 3" xfId="808" xr:uid="{00000000-0005-0000-0000-0000F0030000}"/>
    <cellStyle name="Normal 17 5 3 2" xfId="1142" xr:uid="{00000000-0005-0000-0000-0000F1030000}"/>
    <cellStyle name="Normal 17 5 3 2 2" xfId="1375" xr:uid="{00000000-0005-0000-0000-0000F2030000}"/>
    <cellStyle name="Normal 17 5 3 3" xfId="1259" xr:uid="{00000000-0005-0000-0000-0000F3030000}"/>
    <cellStyle name="Normal 17 5 3 4" xfId="1023" xr:uid="{00000000-0005-0000-0000-0000F4030000}"/>
    <cellStyle name="Normal 17 5 4" xfId="881" xr:uid="{00000000-0005-0000-0000-0000F5030000}"/>
    <cellStyle name="Normal 17 5 4 2" xfId="1323" xr:uid="{00000000-0005-0000-0000-0000F6030000}"/>
    <cellStyle name="Normal 17 5 4 3" xfId="1090" xr:uid="{00000000-0005-0000-0000-0000F7030000}"/>
    <cellStyle name="Normal 17 5 5" xfId="1207" xr:uid="{00000000-0005-0000-0000-0000F8030000}"/>
    <cellStyle name="Normal 17 5 6" xfId="970" xr:uid="{00000000-0005-0000-0000-0000F9030000}"/>
    <cellStyle name="Normal 17 6" xfId="643" xr:uid="{00000000-0005-0000-0000-0000FA030000}"/>
    <cellStyle name="Normal 17 6 2" xfId="822" xr:uid="{00000000-0005-0000-0000-0000FB030000}"/>
    <cellStyle name="Normal 17 6 2 2" xfId="1154" xr:uid="{00000000-0005-0000-0000-0000FC030000}"/>
    <cellStyle name="Normal 17 6 2 2 2" xfId="1387" xr:uid="{00000000-0005-0000-0000-0000FD030000}"/>
    <cellStyle name="Normal 17 6 2 3" xfId="1271" xr:uid="{00000000-0005-0000-0000-0000FE030000}"/>
    <cellStyle name="Normal 17 6 2 4" xfId="1035" xr:uid="{00000000-0005-0000-0000-0000FF030000}"/>
    <cellStyle name="Normal 17 6 3" xfId="893" xr:uid="{00000000-0005-0000-0000-000000040000}"/>
    <cellStyle name="Normal 17 6 3 2" xfId="1305" xr:uid="{00000000-0005-0000-0000-000001040000}"/>
    <cellStyle name="Normal 17 6 3 3" xfId="1072" xr:uid="{00000000-0005-0000-0000-000002040000}"/>
    <cellStyle name="Normal 17 6 4" xfId="1189" xr:uid="{00000000-0005-0000-0000-000003040000}"/>
    <cellStyle name="Normal 17 6 5" xfId="952" xr:uid="{00000000-0005-0000-0000-000004040000}"/>
    <cellStyle name="Normal 17 7" xfId="772" xr:uid="{00000000-0005-0000-0000-000005040000}"/>
    <cellStyle name="Normal 17 7 2" xfId="1098" xr:uid="{00000000-0005-0000-0000-000006040000}"/>
    <cellStyle name="Normal 17 7 2 2" xfId="1331" xr:uid="{00000000-0005-0000-0000-000007040000}"/>
    <cellStyle name="Normal 17 7 3" xfId="1215" xr:uid="{00000000-0005-0000-0000-000008040000}"/>
    <cellStyle name="Normal 17 7 4" xfId="978" xr:uid="{00000000-0005-0000-0000-000009040000}"/>
    <cellStyle name="Normal 17 8" xfId="862" xr:uid="{00000000-0005-0000-0000-00000A040000}"/>
    <cellStyle name="Normal 17 8 2" xfId="1124" xr:uid="{00000000-0005-0000-0000-00000B040000}"/>
    <cellStyle name="Normal 17 8 2 2" xfId="1357" xr:uid="{00000000-0005-0000-0000-00000C040000}"/>
    <cellStyle name="Normal 17 8 3" xfId="1241" xr:uid="{00000000-0005-0000-0000-00000D040000}"/>
    <cellStyle name="Normal 17 8 4" xfId="1005" xr:uid="{00000000-0005-0000-0000-00000E040000}"/>
    <cellStyle name="Normal 17 9" xfId="1065" xr:uid="{00000000-0005-0000-0000-00000F040000}"/>
    <cellStyle name="Normal 17 9 2" xfId="1300" xr:uid="{00000000-0005-0000-0000-000010040000}"/>
    <cellStyle name="Normal 18" xfId="518" xr:uid="{00000000-0005-0000-0000-000011040000}"/>
    <cellStyle name="Normal 19" xfId="519" xr:uid="{00000000-0005-0000-0000-000012040000}"/>
    <cellStyle name="Normal 19 2" xfId="604" xr:uid="{00000000-0005-0000-0000-000013040000}"/>
    <cellStyle name="Normal 19 3" xfId="593" xr:uid="{00000000-0005-0000-0000-000014040000}"/>
    <cellStyle name="Normal 2" xfId="520" xr:uid="{00000000-0005-0000-0000-000015040000}"/>
    <cellStyle name="Normal 2 2" xfId="605" xr:uid="{00000000-0005-0000-0000-000016040000}"/>
    <cellStyle name="Normal 2 2 2" xfId="621" xr:uid="{00000000-0005-0000-0000-000017040000}"/>
    <cellStyle name="Normal 2 2 2 2" xfId="658" xr:uid="{00000000-0005-0000-0000-000018040000}"/>
    <cellStyle name="Normal 2 2 2 2 2" xfId="837" xr:uid="{00000000-0005-0000-0000-000019040000}"/>
    <cellStyle name="Normal 2 2 2 2 2 2" xfId="1168" xr:uid="{00000000-0005-0000-0000-00001A040000}"/>
    <cellStyle name="Normal 2 2 2 2 2 2 2" xfId="1401" xr:uid="{00000000-0005-0000-0000-00001B040000}"/>
    <cellStyle name="Normal 2 2 2 2 2 3" xfId="1285" xr:uid="{00000000-0005-0000-0000-00001C040000}"/>
    <cellStyle name="Normal 2 2 2 2 2 4" xfId="1049" xr:uid="{00000000-0005-0000-0000-00001D040000}"/>
    <cellStyle name="Normal 2 2 2 2 3" xfId="907" xr:uid="{00000000-0005-0000-0000-00001E040000}"/>
    <cellStyle name="Normal 2 2 2 2 3 2" xfId="1345" xr:uid="{00000000-0005-0000-0000-00001F040000}"/>
    <cellStyle name="Normal 2 2 2 2 3 3" xfId="1112" xr:uid="{00000000-0005-0000-0000-000020040000}"/>
    <cellStyle name="Normal 2 2 2 2 4" xfId="1229" xr:uid="{00000000-0005-0000-0000-000021040000}"/>
    <cellStyle name="Normal 2 2 2 2 5" xfId="992" xr:uid="{00000000-0005-0000-0000-000022040000}"/>
    <cellStyle name="Normal 2 2 2 3" xfId="804" xr:uid="{00000000-0005-0000-0000-000023040000}"/>
    <cellStyle name="Normal 2 2 2 3 2" xfId="1138" xr:uid="{00000000-0005-0000-0000-000024040000}"/>
    <cellStyle name="Normal 2 2 2 3 2 2" xfId="1371" xr:uid="{00000000-0005-0000-0000-000025040000}"/>
    <cellStyle name="Normal 2 2 2 3 3" xfId="1255" xr:uid="{00000000-0005-0000-0000-000026040000}"/>
    <cellStyle name="Normal 2 2 2 3 4" xfId="1019" xr:uid="{00000000-0005-0000-0000-000027040000}"/>
    <cellStyle name="Normal 2 2 2 4" xfId="877" xr:uid="{00000000-0005-0000-0000-000028040000}"/>
    <cellStyle name="Normal 2 2 2 4 2" xfId="1319" xr:uid="{00000000-0005-0000-0000-000029040000}"/>
    <cellStyle name="Normal 2 2 2 4 3" xfId="1086" xr:uid="{00000000-0005-0000-0000-00002A040000}"/>
    <cellStyle name="Normal 2 2 2 5" xfId="1203" xr:uid="{00000000-0005-0000-0000-00002B040000}"/>
    <cellStyle name="Normal 2 2 2 6" xfId="966" xr:uid="{00000000-0005-0000-0000-00002C040000}"/>
    <cellStyle name="Normal 2 2 3" xfId="629" xr:uid="{00000000-0005-0000-0000-00002D040000}"/>
    <cellStyle name="Normal 2 2 3 2" xfId="666" xr:uid="{00000000-0005-0000-0000-00002E040000}"/>
    <cellStyle name="Normal 2 2 3 2 2" xfId="845" xr:uid="{00000000-0005-0000-0000-00002F040000}"/>
    <cellStyle name="Normal 2 2 3 2 2 2" xfId="1176" xr:uid="{00000000-0005-0000-0000-000030040000}"/>
    <cellStyle name="Normal 2 2 3 2 2 2 2" xfId="1409" xr:uid="{00000000-0005-0000-0000-000031040000}"/>
    <cellStyle name="Normal 2 2 3 2 2 3" xfId="1293" xr:uid="{00000000-0005-0000-0000-000032040000}"/>
    <cellStyle name="Normal 2 2 3 2 2 4" xfId="1057" xr:uid="{00000000-0005-0000-0000-000033040000}"/>
    <cellStyle name="Normal 2 2 3 2 3" xfId="915" xr:uid="{00000000-0005-0000-0000-000034040000}"/>
    <cellStyle name="Normal 2 2 3 2 3 2" xfId="1353" xr:uid="{00000000-0005-0000-0000-000035040000}"/>
    <cellStyle name="Normal 2 2 3 2 3 3" xfId="1120" xr:uid="{00000000-0005-0000-0000-000036040000}"/>
    <cellStyle name="Normal 2 2 3 2 4" xfId="1237" xr:uid="{00000000-0005-0000-0000-000037040000}"/>
    <cellStyle name="Normal 2 2 3 2 5" xfId="1000" xr:uid="{00000000-0005-0000-0000-000038040000}"/>
    <cellStyle name="Normal 2 2 3 3" xfId="812" xr:uid="{00000000-0005-0000-0000-000039040000}"/>
    <cellStyle name="Normal 2 2 3 3 2" xfId="1146" xr:uid="{00000000-0005-0000-0000-00003A040000}"/>
    <cellStyle name="Normal 2 2 3 3 2 2" xfId="1379" xr:uid="{00000000-0005-0000-0000-00003B040000}"/>
    <cellStyle name="Normal 2 2 3 3 3" xfId="1263" xr:uid="{00000000-0005-0000-0000-00003C040000}"/>
    <cellStyle name="Normal 2 2 3 3 4" xfId="1027" xr:uid="{00000000-0005-0000-0000-00003D040000}"/>
    <cellStyle name="Normal 2 2 3 4" xfId="885" xr:uid="{00000000-0005-0000-0000-00003E040000}"/>
    <cellStyle name="Normal 2 2 3 4 2" xfId="1327" xr:uid="{00000000-0005-0000-0000-00003F040000}"/>
    <cellStyle name="Normal 2 2 3 4 3" xfId="1094" xr:uid="{00000000-0005-0000-0000-000040040000}"/>
    <cellStyle name="Normal 2 2 3 5" xfId="1211" xr:uid="{00000000-0005-0000-0000-000041040000}"/>
    <cellStyle name="Normal 2 2 3 6" xfId="974" xr:uid="{00000000-0005-0000-0000-000042040000}"/>
    <cellStyle name="Normal 2 2 4" xfId="650" xr:uid="{00000000-0005-0000-0000-000043040000}"/>
    <cellStyle name="Normal 2 2 4 2" xfId="829" xr:uid="{00000000-0005-0000-0000-000044040000}"/>
    <cellStyle name="Normal 2 2 4 2 2" xfId="1160" xr:uid="{00000000-0005-0000-0000-000045040000}"/>
    <cellStyle name="Normal 2 2 4 2 2 2" xfId="1393" xr:uid="{00000000-0005-0000-0000-000046040000}"/>
    <cellStyle name="Normal 2 2 4 2 3" xfId="1277" xr:uid="{00000000-0005-0000-0000-000047040000}"/>
    <cellStyle name="Normal 2 2 4 2 4" xfId="1041" xr:uid="{00000000-0005-0000-0000-000048040000}"/>
    <cellStyle name="Normal 2 2 4 3" xfId="899" xr:uid="{00000000-0005-0000-0000-000049040000}"/>
    <cellStyle name="Normal 2 2 4 3 2" xfId="1311" xr:uid="{00000000-0005-0000-0000-00004A040000}"/>
    <cellStyle name="Normal 2 2 4 3 3" xfId="1078" xr:uid="{00000000-0005-0000-0000-00004B040000}"/>
    <cellStyle name="Normal 2 2 4 4" xfId="1195" xr:uid="{00000000-0005-0000-0000-00004C040000}"/>
    <cellStyle name="Normal 2 2 4 5" xfId="958" xr:uid="{00000000-0005-0000-0000-00004D040000}"/>
    <cellStyle name="Normal 2 2 5" xfId="793" xr:uid="{00000000-0005-0000-0000-00004E040000}"/>
    <cellStyle name="Normal 2 2 5 2" xfId="1104" xr:uid="{00000000-0005-0000-0000-00004F040000}"/>
    <cellStyle name="Normal 2 2 5 2 2" xfId="1337" xr:uid="{00000000-0005-0000-0000-000050040000}"/>
    <cellStyle name="Normal 2 2 5 3" xfId="1221" xr:uid="{00000000-0005-0000-0000-000051040000}"/>
    <cellStyle name="Normal 2 2 5 4" xfId="984" xr:uid="{00000000-0005-0000-0000-000052040000}"/>
    <cellStyle name="Normal 2 2 6" xfId="869" xr:uid="{00000000-0005-0000-0000-000053040000}"/>
    <cellStyle name="Normal 2 2 6 2" xfId="1130" xr:uid="{00000000-0005-0000-0000-000054040000}"/>
    <cellStyle name="Normal 2 2 6 2 2" xfId="1363" xr:uid="{00000000-0005-0000-0000-000055040000}"/>
    <cellStyle name="Normal 2 2 6 3" xfId="1247" xr:uid="{00000000-0005-0000-0000-000056040000}"/>
    <cellStyle name="Normal 2 2 6 4" xfId="1011" xr:uid="{00000000-0005-0000-0000-000057040000}"/>
    <cellStyle name="Normal 2 2 7" xfId="1068" xr:uid="{00000000-0005-0000-0000-000058040000}"/>
    <cellStyle name="Normal 2 2 7 2" xfId="1301" xr:uid="{00000000-0005-0000-0000-000059040000}"/>
    <cellStyle name="Normal 2 2 8" xfId="1185" xr:uid="{00000000-0005-0000-0000-00005A040000}"/>
    <cellStyle name="Normal 2 2 9" xfId="947" xr:uid="{00000000-0005-0000-0000-00005B040000}"/>
    <cellStyle name="Normal 2 3" xfId="636" xr:uid="{00000000-0005-0000-0000-00005C040000}"/>
    <cellStyle name="Normal 2 4" xfId="696" xr:uid="{00000000-0005-0000-0000-00005D040000}"/>
    <cellStyle name="Normal 20" xfId="521" xr:uid="{00000000-0005-0000-0000-00005E040000}"/>
    <cellStyle name="Normal 21" xfId="606" xr:uid="{00000000-0005-0000-0000-00005F040000}"/>
    <cellStyle name="Normal 22" xfId="632" xr:uid="{00000000-0005-0000-0000-000060040000}"/>
    <cellStyle name="Normal 22 2" xfId="640" xr:uid="{00000000-0005-0000-0000-000061040000}"/>
    <cellStyle name="Normal 22 3" xfId="815" xr:uid="{00000000-0005-0000-0000-000062040000}"/>
    <cellStyle name="Normal 22 3 2" xfId="1382" xr:uid="{00000000-0005-0000-0000-000063040000}"/>
    <cellStyle name="Normal 22 3 3" xfId="1149" xr:uid="{00000000-0005-0000-0000-000064040000}"/>
    <cellStyle name="Normal 22 4" xfId="888" xr:uid="{00000000-0005-0000-0000-000065040000}"/>
    <cellStyle name="Normal 22 4 2" xfId="1266" xr:uid="{00000000-0005-0000-0000-000066040000}"/>
    <cellStyle name="Normal 22 5" xfId="1030" xr:uid="{00000000-0005-0000-0000-000067040000}"/>
    <cellStyle name="Normal 23" xfId="637" xr:uid="{00000000-0005-0000-0000-000068040000}"/>
    <cellStyle name="Normal 23 2" xfId="818" xr:uid="{00000000-0005-0000-0000-000069040000}"/>
    <cellStyle name="Normal 23 2 2" xfId="1383" xr:uid="{00000000-0005-0000-0000-00006A040000}"/>
    <cellStyle name="Normal 23 2 3" xfId="1150" xr:uid="{00000000-0005-0000-0000-00006B040000}"/>
    <cellStyle name="Normal 23 3" xfId="889" xr:uid="{00000000-0005-0000-0000-00006C040000}"/>
    <cellStyle name="Normal 23 3 2" xfId="1267" xr:uid="{00000000-0005-0000-0000-00006D040000}"/>
    <cellStyle name="Normal 23 4" xfId="1031" xr:uid="{00000000-0005-0000-0000-00006E040000}"/>
    <cellStyle name="Normal 24" xfId="848" xr:uid="{00000000-0005-0000-0000-00006F040000}"/>
    <cellStyle name="Normal 24 2" xfId="1062" xr:uid="{00000000-0005-0000-0000-000070040000}"/>
    <cellStyle name="Normal 25" xfId="859" xr:uid="{00000000-0005-0000-0000-000071040000}"/>
    <cellStyle name="Normal 25 2" xfId="1298" xr:uid="{00000000-0005-0000-0000-000072040000}"/>
    <cellStyle name="Normal 25 3" xfId="1061" xr:uid="{00000000-0005-0000-0000-000073040000}"/>
    <cellStyle name="Normal 26" xfId="849" xr:uid="{00000000-0005-0000-0000-000074040000}"/>
    <cellStyle name="Normal 26 2" xfId="1180" xr:uid="{00000000-0005-0000-0000-000075040000}"/>
    <cellStyle name="Normal 27" xfId="855" xr:uid="{00000000-0005-0000-0000-000076040000}"/>
    <cellStyle name="Normal 28" xfId="860" xr:uid="{00000000-0005-0000-0000-000077040000}"/>
    <cellStyle name="Normal 29" xfId="930" xr:uid="{00000000-0005-0000-0000-000078040000}"/>
    <cellStyle name="Normal 3" xfId="522" xr:uid="{00000000-0005-0000-0000-000079040000}"/>
    <cellStyle name="Normal 3 2" xfId="607" xr:uid="{00000000-0005-0000-0000-00007A040000}"/>
    <cellStyle name="Normal 3 3" xfId="608" xr:uid="{00000000-0005-0000-0000-00007B040000}"/>
    <cellStyle name="Normal 3 3 2" xfId="601" xr:uid="{00000000-0005-0000-0000-00007C040000}"/>
    <cellStyle name="Normal 3 4" xfId="633" xr:uid="{00000000-0005-0000-0000-00007D040000}"/>
    <cellStyle name="Normal 3 4 2" xfId="816" xr:uid="{00000000-0005-0000-0000-00007E040000}"/>
    <cellStyle name="Normal 3 5" xfId="700" xr:uid="{00000000-0005-0000-0000-00007F040000}"/>
    <cellStyle name="Normal 3 6" xfId="923" xr:uid="{00000000-0005-0000-0000-000080040000}"/>
    <cellStyle name="Normal 30" xfId="926" xr:uid="{00000000-0005-0000-0000-000081040000}"/>
    <cellStyle name="Normal 31" xfId="1413" xr:uid="{00000000-0005-0000-0000-000082040000}"/>
    <cellStyle name="Normal 32" xfId="924" xr:uid="{00000000-0005-0000-0000-000083040000}"/>
    <cellStyle name="Normal 33" xfId="928" xr:uid="{00000000-0005-0000-0000-000084040000}"/>
    <cellStyle name="Normal 34" xfId="938" xr:uid="{00000000-0005-0000-0000-000085040000}"/>
    <cellStyle name="Normal 35" xfId="1422" xr:uid="{00000000-0005-0000-0000-000086040000}"/>
    <cellStyle name="Normal 36" xfId="1424" xr:uid="{00000000-0005-0000-0000-000087040000}"/>
    <cellStyle name="Normal 37" xfId="1426" xr:uid="{00000000-0005-0000-0000-000088040000}"/>
    <cellStyle name="Normal 38" xfId="1428" xr:uid="{00000000-0005-0000-0000-000089040000}"/>
    <cellStyle name="Normal 39" xfId="1430" xr:uid="{00000000-0005-0000-0000-00008A040000}"/>
    <cellStyle name="Normal 4" xfId="523" xr:uid="{00000000-0005-0000-0000-00008B040000}"/>
    <cellStyle name="Normal 4 2" xfId="609" xr:uid="{00000000-0005-0000-0000-00008C040000}"/>
    <cellStyle name="Normal 4 3" xfId="739" xr:uid="{00000000-0005-0000-0000-00008D040000}"/>
    <cellStyle name="Normal 40" xfId="1432" xr:uid="{00000000-0005-0000-0000-00008E040000}"/>
    <cellStyle name="Normal 41" xfId="1434" xr:uid="{00000000-0005-0000-0000-00008F040000}"/>
    <cellStyle name="Normal 42" xfId="1436" xr:uid="{00000000-0005-0000-0000-000090040000}"/>
    <cellStyle name="Normal 43" xfId="1438" xr:uid="{00000000-0005-0000-0000-000091040000}"/>
    <cellStyle name="Normal 44" xfId="1440" xr:uid="{00000000-0005-0000-0000-000092040000}"/>
    <cellStyle name="Normal 45" xfId="1442" xr:uid="{00000000-0005-0000-0000-000093040000}"/>
    <cellStyle name="Normal 46" xfId="1444" xr:uid="{00000000-0005-0000-0000-000094040000}"/>
    <cellStyle name="Normal 5" xfId="524" xr:uid="{00000000-0005-0000-0000-000095040000}"/>
    <cellStyle name="Normal 5 2" xfId="767" xr:uid="{00000000-0005-0000-0000-000096040000}"/>
    <cellStyle name="Normal 5 2 2" xfId="1446" xr:uid="{00000000-0005-0000-0000-000097040000}"/>
    <cellStyle name="Normal 5 3" xfId="741" xr:uid="{00000000-0005-0000-0000-000098040000}"/>
    <cellStyle name="Normal 6" xfId="525" xr:uid="{00000000-0005-0000-0000-000099040000}"/>
    <cellStyle name="Normal 6 2" xfId="744" xr:uid="{00000000-0005-0000-0000-00009A040000}"/>
    <cellStyle name="Normal 7" xfId="526" xr:uid="{00000000-0005-0000-0000-00009B040000}"/>
    <cellStyle name="Normal 8" xfId="527" xr:uid="{00000000-0005-0000-0000-00009C040000}"/>
    <cellStyle name="Normal 9" xfId="528" xr:uid="{00000000-0005-0000-0000-00009D040000}"/>
    <cellStyle name="Note 10" xfId="529" xr:uid="{00000000-0005-0000-0000-00009E040000}"/>
    <cellStyle name="Note 11" xfId="530" xr:uid="{00000000-0005-0000-0000-00009F040000}"/>
    <cellStyle name="Note 12" xfId="531" xr:uid="{00000000-0005-0000-0000-0000A0040000}"/>
    <cellStyle name="Note 13" xfId="532" xr:uid="{00000000-0005-0000-0000-0000A1040000}"/>
    <cellStyle name="Note 14" xfId="533" xr:uid="{00000000-0005-0000-0000-0000A2040000}"/>
    <cellStyle name="Note 15" xfId="534" xr:uid="{00000000-0005-0000-0000-0000A3040000}"/>
    <cellStyle name="Note 16" xfId="777" xr:uid="{00000000-0005-0000-0000-0000A4040000}"/>
    <cellStyle name="Note 2" xfId="535" xr:uid="{00000000-0005-0000-0000-0000A5040000}"/>
    <cellStyle name="Note 2 2" xfId="712" xr:uid="{00000000-0005-0000-0000-0000A6040000}"/>
    <cellStyle name="Note 3" xfId="536" xr:uid="{00000000-0005-0000-0000-0000A7040000}"/>
    <cellStyle name="Note 4" xfId="537" xr:uid="{00000000-0005-0000-0000-0000A8040000}"/>
    <cellStyle name="Note 5" xfId="538" xr:uid="{00000000-0005-0000-0000-0000A9040000}"/>
    <cellStyle name="Note 6" xfId="539" xr:uid="{00000000-0005-0000-0000-0000AA040000}"/>
    <cellStyle name="Note 7" xfId="540" xr:uid="{00000000-0005-0000-0000-0000AB040000}"/>
    <cellStyle name="Note 8" xfId="541" xr:uid="{00000000-0005-0000-0000-0000AC040000}"/>
    <cellStyle name="Note 9" xfId="542" xr:uid="{00000000-0005-0000-0000-0000AD040000}"/>
    <cellStyle name="Output 10" xfId="543" xr:uid="{00000000-0005-0000-0000-0000AE040000}"/>
    <cellStyle name="Output 11" xfId="544" xr:uid="{00000000-0005-0000-0000-0000AF040000}"/>
    <cellStyle name="Output 12" xfId="545" xr:uid="{00000000-0005-0000-0000-0000B0040000}"/>
    <cellStyle name="Output 13" xfId="546" xr:uid="{00000000-0005-0000-0000-0000B1040000}"/>
    <cellStyle name="Output 14" xfId="547" xr:uid="{00000000-0005-0000-0000-0000B2040000}"/>
    <cellStyle name="Output 15" xfId="548" xr:uid="{00000000-0005-0000-0000-0000B3040000}"/>
    <cellStyle name="Output 16" xfId="774" xr:uid="{00000000-0005-0000-0000-0000B4040000}"/>
    <cellStyle name="Output 2" xfId="549" xr:uid="{00000000-0005-0000-0000-0000B5040000}"/>
    <cellStyle name="Output 2 2" xfId="707" xr:uid="{00000000-0005-0000-0000-0000B6040000}"/>
    <cellStyle name="Output 3" xfId="550" xr:uid="{00000000-0005-0000-0000-0000B7040000}"/>
    <cellStyle name="Output 4" xfId="551" xr:uid="{00000000-0005-0000-0000-0000B8040000}"/>
    <cellStyle name="Output 5" xfId="552" xr:uid="{00000000-0005-0000-0000-0000B9040000}"/>
    <cellStyle name="Output 6" xfId="553" xr:uid="{00000000-0005-0000-0000-0000BA040000}"/>
    <cellStyle name="Output 7" xfId="554" xr:uid="{00000000-0005-0000-0000-0000BB040000}"/>
    <cellStyle name="Output 8" xfId="555" xr:uid="{00000000-0005-0000-0000-0000BC040000}"/>
    <cellStyle name="Output 9" xfId="556" xr:uid="{00000000-0005-0000-0000-0000BD040000}"/>
    <cellStyle name="Percent" xfId="557" builtinId="5"/>
    <cellStyle name="Percent [2]" xfId="766" xr:uid="{00000000-0005-0000-0000-0000BF040000}"/>
    <cellStyle name="Percent 10" xfId="856" xr:uid="{00000000-0005-0000-0000-0000C0040000}"/>
    <cellStyle name="Percent 11" xfId="863" xr:uid="{00000000-0005-0000-0000-0000C1040000}"/>
    <cellStyle name="Percent 12" xfId="941" xr:uid="{00000000-0005-0000-0000-0000C2040000}"/>
    <cellStyle name="Percent 13" xfId="925" xr:uid="{00000000-0005-0000-0000-0000C3040000}"/>
    <cellStyle name="Percent 14" xfId="929" xr:uid="{00000000-0005-0000-0000-0000C4040000}"/>
    <cellStyle name="Percent 15" xfId="918" xr:uid="{00000000-0005-0000-0000-0000C5040000}"/>
    <cellStyle name="Percent 16" xfId="1414" xr:uid="{00000000-0005-0000-0000-0000C6040000}"/>
    <cellStyle name="Percent 17" xfId="934" xr:uid="{00000000-0005-0000-0000-0000C7040000}"/>
    <cellStyle name="Percent 18" xfId="943" xr:uid="{00000000-0005-0000-0000-0000C8040000}"/>
    <cellStyle name="Percent 19" xfId="920" xr:uid="{00000000-0005-0000-0000-0000C9040000}"/>
    <cellStyle name="Percent 2" xfId="558" xr:uid="{00000000-0005-0000-0000-0000CA040000}"/>
    <cellStyle name="Percent 2 2" xfId="610" xr:uid="{00000000-0005-0000-0000-0000CB040000}"/>
    <cellStyle name="Percent 2 2 2" xfId="622" xr:uid="{00000000-0005-0000-0000-0000CC040000}"/>
    <cellStyle name="Percent 2 2 2 2" xfId="659" xr:uid="{00000000-0005-0000-0000-0000CD040000}"/>
    <cellStyle name="Percent 2 2 2 2 2" xfId="838" xr:uid="{00000000-0005-0000-0000-0000CE040000}"/>
    <cellStyle name="Percent 2 2 2 2 2 2" xfId="1169" xr:uid="{00000000-0005-0000-0000-0000CF040000}"/>
    <cellStyle name="Percent 2 2 2 2 2 2 2" xfId="1402" xr:uid="{00000000-0005-0000-0000-0000D0040000}"/>
    <cellStyle name="Percent 2 2 2 2 2 3" xfId="1286" xr:uid="{00000000-0005-0000-0000-0000D1040000}"/>
    <cellStyle name="Percent 2 2 2 2 2 4" xfId="1050" xr:uid="{00000000-0005-0000-0000-0000D2040000}"/>
    <cellStyle name="Percent 2 2 2 2 3" xfId="908" xr:uid="{00000000-0005-0000-0000-0000D3040000}"/>
    <cellStyle name="Percent 2 2 2 2 3 2" xfId="1346" xr:uid="{00000000-0005-0000-0000-0000D4040000}"/>
    <cellStyle name="Percent 2 2 2 2 3 3" xfId="1113" xr:uid="{00000000-0005-0000-0000-0000D5040000}"/>
    <cellStyle name="Percent 2 2 2 2 4" xfId="1230" xr:uid="{00000000-0005-0000-0000-0000D6040000}"/>
    <cellStyle name="Percent 2 2 2 2 5" xfId="993" xr:uid="{00000000-0005-0000-0000-0000D7040000}"/>
    <cellStyle name="Percent 2 2 2 3" xfId="805" xr:uid="{00000000-0005-0000-0000-0000D8040000}"/>
    <cellStyle name="Percent 2 2 2 3 2" xfId="1139" xr:uid="{00000000-0005-0000-0000-0000D9040000}"/>
    <cellStyle name="Percent 2 2 2 3 2 2" xfId="1372" xr:uid="{00000000-0005-0000-0000-0000DA040000}"/>
    <cellStyle name="Percent 2 2 2 3 3" xfId="1256" xr:uid="{00000000-0005-0000-0000-0000DB040000}"/>
    <cellStyle name="Percent 2 2 2 3 4" xfId="1020" xr:uid="{00000000-0005-0000-0000-0000DC040000}"/>
    <cellStyle name="Percent 2 2 2 4" xfId="878" xr:uid="{00000000-0005-0000-0000-0000DD040000}"/>
    <cellStyle name="Percent 2 2 2 4 2" xfId="1320" xr:uid="{00000000-0005-0000-0000-0000DE040000}"/>
    <cellStyle name="Percent 2 2 2 4 3" xfId="1087" xr:uid="{00000000-0005-0000-0000-0000DF040000}"/>
    <cellStyle name="Percent 2 2 2 5" xfId="1204" xr:uid="{00000000-0005-0000-0000-0000E0040000}"/>
    <cellStyle name="Percent 2 2 2 6" xfId="967" xr:uid="{00000000-0005-0000-0000-0000E1040000}"/>
    <cellStyle name="Percent 2 2 3" xfId="630" xr:uid="{00000000-0005-0000-0000-0000E2040000}"/>
    <cellStyle name="Percent 2 2 3 2" xfId="667" xr:uid="{00000000-0005-0000-0000-0000E3040000}"/>
    <cellStyle name="Percent 2 2 3 2 2" xfId="846" xr:uid="{00000000-0005-0000-0000-0000E4040000}"/>
    <cellStyle name="Percent 2 2 3 2 2 2" xfId="1177" xr:uid="{00000000-0005-0000-0000-0000E5040000}"/>
    <cellStyle name="Percent 2 2 3 2 2 2 2" xfId="1410" xr:uid="{00000000-0005-0000-0000-0000E6040000}"/>
    <cellStyle name="Percent 2 2 3 2 2 3" xfId="1294" xr:uid="{00000000-0005-0000-0000-0000E7040000}"/>
    <cellStyle name="Percent 2 2 3 2 2 4" xfId="1058" xr:uid="{00000000-0005-0000-0000-0000E8040000}"/>
    <cellStyle name="Percent 2 2 3 2 3" xfId="916" xr:uid="{00000000-0005-0000-0000-0000E9040000}"/>
    <cellStyle name="Percent 2 2 3 2 3 2" xfId="1354" xr:uid="{00000000-0005-0000-0000-0000EA040000}"/>
    <cellStyle name="Percent 2 2 3 2 3 3" xfId="1121" xr:uid="{00000000-0005-0000-0000-0000EB040000}"/>
    <cellStyle name="Percent 2 2 3 2 4" xfId="1238" xr:uid="{00000000-0005-0000-0000-0000EC040000}"/>
    <cellStyle name="Percent 2 2 3 2 5" xfId="1001" xr:uid="{00000000-0005-0000-0000-0000ED040000}"/>
    <cellStyle name="Percent 2 2 3 3" xfId="813" xr:uid="{00000000-0005-0000-0000-0000EE040000}"/>
    <cellStyle name="Percent 2 2 3 3 2" xfId="1147" xr:uid="{00000000-0005-0000-0000-0000EF040000}"/>
    <cellStyle name="Percent 2 2 3 3 2 2" xfId="1380" xr:uid="{00000000-0005-0000-0000-0000F0040000}"/>
    <cellStyle name="Percent 2 2 3 3 3" xfId="1264" xr:uid="{00000000-0005-0000-0000-0000F1040000}"/>
    <cellStyle name="Percent 2 2 3 3 4" xfId="1028" xr:uid="{00000000-0005-0000-0000-0000F2040000}"/>
    <cellStyle name="Percent 2 2 3 4" xfId="886" xr:uid="{00000000-0005-0000-0000-0000F3040000}"/>
    <cellStyle name="Percent 2 2 3 4 2" xfId="1328" xr:uid="{00000000-0005-0000-0000-0000F4040000}"/>
    <cellStyle name="Percent 2 2 3 4 3" xfId="1095" xr:uid="{00000000-0005-0000-0000-0000F5040000}"/>
    <cellStyle name="Percent 2 2 3 5" xfId="1212" xr:uid="{00000000-0005-0000-0000-0000F6040000}"/>
    <cellStyle name="Percent 2 2 3 6" xfId="975" xr:uid="{00000000-0005-0000-0000-0000F7040000}"/>
    <cellStyle name="Percent 2 2 4" xfId="651" xr:uid="{00000000-0005-0000-0000-0000F8040000}"/>
    <cellStyle name="Percent 2 2 4 2" xfId="830" xr:uid="{00000000-0005-0000-0000-0000F9040000}"/>
    <cellStyle name="Percent 2 2 4 2 2" xfId="1161" xr:uid="{00000000-0005-0000-0000-0000FA040000}"/>
    <cellStyle name="Percent 2 2 4 2 2 2" xfId="1394" xr:uid="{00000000-0005-0000-0000-0000FB040000}"/>
    <cellStyle name="Percent 2 2 4 2 3" xfId="1278" xr:uid="{00000000-0005-0000-0000-0000FC040000}"/>
    <cellStyle name="Percent 2 2 4 2 4" xfId="1042" xr:uid="{00000000-0005-0000-0000-0000FD040000}"/>
    <cellStyle name="Percent 2 2 4 3" xfId="900" xr:uid="{00000000-0005-0000-0000-0000FE040000}"/>
    <cellStyle name="Percent 2 2 4 3 2" xfId="1338" xr:uid="{00000000-0005-0000-0000-0000FF040000}"/>
    <cellStyle name="Percent 2 2 4 3 3" xfId="1105" xr:uid="{00000000-0005-0000-0000-000000050000}"/>
    <cellStyle name="Percent 2 2 4 4" xfId="1222" xr:uid="{00000000-0005-0000-0000-000001050000}"/>
    <cellStyle name="Percent 2 2 4 5" xfId="985" xr:uid="{00000000-0005-0000-0000-000002050000}"/>
    <cellStyle name="Percent 2 2 5" xfId="797" xr:uid="{00000000-0005-0000-0000-000003050000}"/>
    <cellStyle name="Percent 2 2 5 2" xfId="1131" xr:uid="{00000000-0005-0000-0000-000004050000}"/>
    <cellStyle name="Percent 2 2 5 2 2" xfId="1364" xr:uid="{00000000-0005-0000-0000-000005050000}"/>
    <cellStyle name="Percent 2 2 5 3" xfId="1248" xr:uid="{00000000-0005-0000-0000-000006050000}"/>
    <cellStyle name="Percent 2 2 5 4" xfId="1012" xr:uid="{00000000-0005-0000-0000-000007050000}"/>
    <cellStyle name="Percent 2 2 6" xfId="870" xr:uid="{00000000-0005-0000-0000-000008050000}"/>
    <cellStyle name="Percent 2 2 6 2" xfId="1312" xr:uid="{00000000-0005-0000-0000-000009050000}"/>
    <cellStyle name="Percent 2 2 6 3" xfId="1079" xr:uid="{00000000-0005-0000-0000-00000A050000}"/>
    <cellStyle name="Percent 2 2 7" xfId="1196" xr:uid="{00000000-0005-0000-0000-00000B050000}"/>
    <cellStyle name="Percent 2 2 8" xfId="959" xr:uid="{00000000-0005-0000-0000-00000C050000}"/>
    <cellStyle name="Percent 2 3" xfId="615" xr:uid="{00000000-0005-0000-0000-00000D050000}"/>
    <cellStyle name="Percent 2 3 2" xfId="623" xr:uid="{00000000-0005-0000-0000-00000E050000}"/>
    <cellStyle name="Percent 2 3 2 2" xfId="660" xr:uid="{00000000-0005-0000-0000-00000F050000}"/>
    <cellStyle name="Percent 2 3 2 2 2" xfId="839" xr:uid="{00000000-0005-0000-0000-000010050000}"/>
    <cellStyle name="Percent 2 3 2 2 2 2" xfId="1170" xr:uid="{00000000-0005-0000-0000-000011050000}"/>
    <cellStyle name="Percent 2 3 2 2 2 2 2" xfId="1403" xr:uid="{00000000-0005-0000-0000-000012050000}"/>
    <cellStyle name="Percent 2 3 2 2 2 3" xfId="1287" xr:uid="{00000000-0005-0000-0000-000013050000}"/>
    <cellStyle name="Percent 2 3 2 2 2 4" xfId="1051" xr:uid="{00000000-0005-0000-0000-000014050000}"/>
    <cellStyle name="Percent 2 3 2 2 3" xfId="909" xr:uid="{00000000-0005-0000-0000-000015050000}"/>
    <cellStyle name="Percent 2 3 2 2 3 2" xfId="1347" xr:uid="{00000000-0005-0000-0000-000016050000}"/>
    <cellStyle name="Percent 2 3 2 2 3 3" xfId="1114" xr:uid="{00000000-0005-0000-0000-000017050000}"/>
    <cellStyle name="Percent 2 3 2 2 4" xfId="1231" xr:uid="{00000000-0005-0000-0000-000018050000}"/>
    <cellStyle name="Percent 2 3 2 2 5" xfId="994" xr:uid="{00000000-0005-0000-0000-000019050000}"/>
    <cellStyle name="Percent 2 3 2 3" xfId="806" xr:uid="{00000000-0005-0000-0000-00001A050000}"/>
    <cellStyle name="Percent 2 3 2 3 2" xfId="1140" xr:uid="{00000000-0005-0000-0000-00001B050000}"/>
    <cellStyle name="Percent 2 3 2 3 2 2" xfId="1373" xr:uid="{00000000-0005-0000-0000-00001C050000}"/>
    <cellStyle name="Percent 2 3 2 3 3" xfId="1257" xr:uid="{00000000-0005-0000-0000-00001D050000}"/>
    <cellStyle name="Percent 2 3 2 3 4" xfId="1021" xr:uid="{00000000-0005-0000-0000-00001E050000}"/>
    <cellStyle name="Percent 2 3 2 4" xfId="879" xr:uid="{00000000-0005-0000-0000-00001F050000}"/>
    <cellStyle name="Percent 2 3 2 4 2" xfId="1321" xr:uid="{00000000-0005-0000-0000-000020050000}"/>
    <cellStyle name="Percent 2 3 2 4 3" xfId="1088" xr:uid="{00000000-0005-0000-0000-000021050000}"/>
    <cellStyle name="Percent 2 3 2 5" xfId="1205" xr:uid="{00000000-0005-0000-0000-000022050000}"/>
    <cellStyle name="Percent 2 3 2 6" xfId="968" xr:uid="{00000000-0005-0000-0000-000023050000}"/>
    <cellStyle name="Percent 2 3 3" xfId="631" xr:uid="{00000000-0005-0000-0000-000024050000}"/>
    <cellStyle name="Percent 2 3 3 2" xfId="668" xr:uid="{00000000-0005-0000-0000-000025050000}"/>
    <cellStyle name="Percent 2 3 3 2 2" xfId="847" xr:uid="{00000000-0005-0000-0000-000026050000}"/>
    <cellStyle name="Percent 2 3 3 2 2 2" xfId="1178" xr:uid="{00000000-0005-0000-0000-000027050000}"/>
    <cellStyle name="Percent 2 3 3 2 2 2 2" xfId="1411" xr:uid="{00000000-0005-0000-0000-000028050000}"/>
    <cellStyle name="Percent 2 3 3 2 2 3" xfId="1295" xr:uid="{00000000-0005-0000-0000-000029050000}"/>
    <cellStyle name="Percent 2 3 3 2 2 4" xfId="1059" xr:uid="{00000000-0005-0000-0000-00002A050000}"/>
    <cellStyle name="Percent 2 3 3 2 3" xfId="917" xr:uid="{00000000-0005-0000-0000-00002B050000}"/>
    <cellStyle name="Percent 2 3 3 2 3 2" xfId="1355" xr:uid="{00000000-0005-0000-0000-00002C050000}"/>
    <cellStyle name="Percent 2 3 3 2 3 3" xfId="1122" xr:uid="{00000000-0005-0000-0000-00002D050000}"/>
    <cellStyle name="Percent 2 3 3 2 4" xfId="1239" xr:uid="{00000000-0005-0000-0000-00002E050000}"/>
    <cellStyle name="Percent 2 3 3 2 5" xfId="1002" xr:uid="{00000000-0005-0000-0000-00002F050000}"/>
    <cellStyle name="Percent 2 3 3 3" xfId="814" xr:uid="{00000000-0005-0000-0000-000030050000}"/>
    <cellStyle name="Percent 2 3 3 3 2" xfId="1148" xr:uid="{00000000-0005-0000-0000-000031050000}"/>
    <cellStyle name="Percent 2 3 3 3 2 2" xfId="1381" xr:uid="{00000000-0005-0000-0000-000032050000}"/>
    <cellStyle name="Percent 2 3 3 3 3" xfId="1265" xr:uid="{00000000-0005-0000-0000-000033050000}"/>
    <cellStyle name="Percent 2 3 3 3 4" xfId="1029" xr:uid="{00000000-0005-0000-0000-000034050000}"/>
    <cellStyle name="Percent 2 3 3 4" xfId="887" xr:uid="{00000000-0005-0000-0000-000035050000}"/>
    <cellStyle name="Percent 2 3 3 4 2" xfId="1329" xr:uid="{00000000-0005-0000-0000-000036050000}"/>
    <cellStyle name="Percent 2 3 3 4 3" xfId="1096" xr:uid="{00000000-0005-0000-0000-000037050000}"/>
    <cellStyle name="Percent 2 3 3 5" xfId="1213" xr:uid="{00000000-0005-0000-0000-000038050000}"/>
    <cellStyle name="Percent 2 3 3 6" xfId="976" xr:uid="{00000000-0005-0000-0000-000039050000}"/>
    <cellStyle name="Percent 2 3 4" xfId="652" xr:uid="{00000000-0005-0000-0000-00003A050000}"/>
    <cellStyle name="Percent 2 3 4 2" xfId="831" xr:uid="{00000000-0005-0000-0000-00003B050000}"/>
    <cellStyle name="Percent 2 3 4 2 2" xfId="1162" xr:uid="{00000000-0005-0000-0000-00003C050000}"/>
    <cellStyle name="Percent 2 3 4 2 2 2" xfId="1395" xr:uid="{00000000-0005-0000-0000-00003D050000}"/>
    <cellStyle name="Percent 2 3 4 2 3" xfId="1279" xr:uid="{00000000-0005-0000-0000-00003E050000}"/>
    <cellStyle name="Percent 2 3 4 2 4" xfId="1043" xr:uid="{00000000-0005-0000-0000-00003F050000}"/>
    <cellStyle name="Percent 2 3 4 3" xfId="901" xr:uid="{00000000-0005-0000-0000-000040050000}"/>
    <cellStyle name="Percent 2 3 4 3 2" xfId="1339" xr:uid="{00000000-0005-0000-0000-000041050000}"/>
    <cellStyle name="Percent 2 3 4 3 3" xfId="1106" xr:uid="{00000000-0005-0000-0000-000042050000}"/>
    <cellStyle name="Percent 2 3 4 4" xfId="1223" xr:uid="{00000000-0005-0000-0000-000043050000}"/>
    <cellStyle name="Percent 2 3 4 5" xfId="986" xr:uid="{00000000-0005-0000-0000-000044050000}"/>
    <cellStyle name="Percent 2 3 5" xfId="798" xr:uid="{00000000-0005-0000-0000-000045050000}"/>
    <cellStyle name="Percent 2 3 5 2" xfId="1132" xr:uid="{00000000-0005-0000-0000-000046050000}"/>
    <cellStyle name="Percent 2 3 5 2 2" xfId="1365" xr:uid="{00000000-0005-0000-0000-000047050000}"/>
    <cellStyle name="Percent 2 3 5 3" xfId="1249" xr:uid="{00000000-0005-0000-0000-000048050000}"/>
    <cellStyle name="Percent 2 3 5 4" xfId="1013" xr:uid="{00000000-0005-0000-0000-000049050000}"/>
    <cellStyle name="Percent 2 3 6" xfId="871" xr:uid="{00000000-0005-0000-0000-00004A050000}"/>
    <cellStyle name="Percent 2 3 6 2" xfId="1313" xr:uid="{00000000-0005-0000-0000-00004B050000}"/>
    <cellStyle name="Percent 2 3 6 3" xfId="1080" xr:uid="{00000000-0005-0000-0000-00004C050000}"/>
    <cellStyle name="Percent 2 3 7" xfId="1197" xr:uid="{00000000-0005-0000-0000-00004D050000}"/>
    <cellStyle name="Percent 2 3 8" xfId="960" xr:uid="{00000000-0005-0000-0000-00004E050000}"/>
    <cellStyle name="Percent 2 4" xfId="1415" xr:uid="{00000000-0005-0000-0000-00004F050000}"/>
    <cellStyle name="Percent 20" xfId="919" xr:uid="{00000000-0005-0000-0000-000050050000}"/>
    <cellStyle name="Percent 21" xfId="921" xr:uid="{00000000-0005-0000-0000-000051050000}"/>
    <cellStyle name="Percent 22" xfId="932" xr:uid="{00000000-0005-0000-0000-000052050000}"/>
    <cellStyle name="Percent 23" xfId="1416" xr:uid="{00000000-0005-0000-0000-000053050000}"/>
    <cellStyle name="Percent 24" xfId="935" xr:uid="{00000000-0005-0000-0000-000054050000}"/>
    <cellStyle name="Percent 25" xfId="1418" xr:uid="{00000000-0005-0000-0000-000055050000}"/>
    <cellStyle name="Percent 26" xfId="945" xr:uid="{00000000-0005-0000-0000-000056050000}"/>
    <cellStyle name="Percent 27" xfId="922" xr:uid="{00000000-0005-0000-0000-000057050000}"/>
    <cellStyle name="Percent 28" xfId="931" xr:uid="{00000000-0005-0000-0000-000058050000}"/>
    <cellStyle name="Percent 29" xfId="1420" xr:uid="{00000000-0005-0000-0000-000059050000}"/>
    <cellStyle name="Percent 3" xfId="559" xr:uid="{00000000-0005-0000-0000-00005A050000}"/>
    <cellStyle name="Percent 3 2" xfId="611" xr:uid="{00000000-0005-0000-0000-00005B050000}"/>
    <cellStyle name="Percent 3 2 2" xfId="769" xr:uid="{00000000-0005-0000-0000-00005C050000}"/>
    <cellStyle name="Percent 3 3" xfId="635" xr:uid="{00000000-0005-0000-0000-00005D050000}"/>
    <cellStyle name="Percent 3 4" xfId="743" xr:uid="{00000000-0005-0000-0000-00005E050000}"/>
    <cellStyle name="Percent 30" xfId="942" xr:uid="{00000000-0005-0000-0000-00005F050000}"/>
    <cellStyle name="Percent 31" xfId="944" xr:uid="{00000000-0005-0000-0000-000060050000}"/>
    <cellStyle name="Percent 32" xfId="933" xr:uid="{00000000-0005-0000-0000-000061050000}"/>
    <cellStyle name="Percent 33" xfId="1419" xr:uid="{00000000-0005-0000-0000-000062050000}"/>
    <cellStyle name="Percent 34" xfId="927" xr:uid="{00000000-0005-0000-0000-000063050000}"/>
    <cellStyle name="Percent 35" xfId="1417" xr:uid="{00000000-0005-0000-0000-000064050000}"/>
    <cellStyle name="Percent 36" xfId="1421" xr:uid="{00000000-0005-0000-0000-000065050000}"/>
    <cellStyle name="Percent 37" xfId="1423" xr:uid="{00000000-0005-0000-0000-000066050000}"/>
    <cellStyle name="Percent 38" xfId="1425" xr:uid="{00000000-0005-0000-0000-000067050000}"/>
    <cellStyle name="Percent 39" xfId="1427" xr:uid="{00000000-0005-0000-0000-000068050000}"/>
    <cellStyle name="Percent 4" xfId="612" xr:uid="{00000000-0005-0000-0000-000069050000}"/>
    <cellStyle name="Percent 4 2" xfId="788" xr:uid="{00000000-0005-0000-0000-00006A050000}"/>
    <cellStyle name="Percent 40" xfId="1429" xr:uid="{00000000-0005-0000-0000-00006B050000}"/>
    <cellStyle name="Percent 41" xfId="1431" xr:uid="{00000000-0005-0000-0000-00006C050000}"/>
    <cellStyle name="Percent 42" xfId="1433" xr:uid="{00000000-0005-0000-0000-00006D050000}"/>
    <cellStyle name="Percent 43" xfId="1435" xr:uid="{00000000-0005-0000-0000-00006E050000}"/>
    <cellStyle name="Percent 44" xfId="1437" xr:uid="{00000000-0005-0000-0000-00006F050000}"/>
    <cellStyle name="Percent 45" xfId="1439" xr:uid="{00000000-0005-0000-0000-000070050000}"/>
    <cellStyle name="Percent 46" xfId="1441" xr:uid="{00000000-0005-0000-0000-000071050000}"/>
    <cellStyle name="Percent 47" xfId="1443" xr:uid="{00000000-0005-0000-0000-000072050000}"/>
    <cellStyle name="Percent 48" xfId="1445" xr:uid="{00000000-0005-0000-0000-000073050000}"/>
    <cellStyle name="Percent 5" xfId="644" xr:uid="{00000000-0005-0000-0000-000074050000}"/>
    <cellStyle name="Percent 6" xfId="639" xr:uid="{00000000-0005-0000-0000-000075050000}"/>
    <cellStyle name="Percent 6 2" xfId="820" xr:uid="{00000000-0005-0000-0000-000076050000}"/>
    <cellStyle name="Percent 6 2 2" xfId="1385" xr:uid="{00000000-0005-0000-0000-000077050000}"/>
    <cellStyle name="Percent 6 2 3" xfId="1152" xr:uid="{00000000-0005-0000-0000-000078050000}"/>
    <cellStyle name="Percent 6 3" xfId="891" xr:uid="{00000000-0005-0000-0000-000079050000}"/>
    <cellStyle name="Percent 6 3 2" xfId="1269" xr:uid="{00000000-0005-0000-0000-00007A050000}"/>
    <cellStyle name="Percent 6 4" xfId="1033" xr:uid="{00000000-0005-0000-0000-00007B050000}"/>
    <cellStyle name="Percent 7" xfId="853" xr:uid="{00000000-0005-0000-0000-00007C050000}"/>
    <cellStyle name="Percent 7 2" xfId="1066" xr:uid="{00000000-0005-0000-0000-00007D050000}"/>
    <cellStyle name="Percent 8" xfId="854" xr:uid="{00000000-0005-0000-0000-00007E050000}"/>
    <cellStyle name="Percent 8 2" xfId="1182" xr:uid="{00000000-0005-0000-0000-00007F050000}"/>
    <cellStyle name="Percent 9" xfId="857" xr:uid="{00000000-0005-0000-0000-000080050000}"/>
    <cellStyle name="Style 23" xfId="613" xr:uid="{00000000-0005-0000-0000-000081050000}"/>
    <cellStyle name="Style 23 2" xfId="614" xr:uid="{00000000-0005-0000-0000-000082050000}"/>
    <cellStyle name="Title" xfId="560" builtinId="15" customBuiltin="1"/>
    <cellStyle name="Title 2" xfId="697" xr:uid="{00000000-0005-0000-0000-000084050000}"/>
    <cellStyle name="Title 2 2" xfId="946" xr:uid="{00000000-0005-0000-0000-000085050000}"/>
    <cellStyle name="Title 3" xfId="693" xr:uid="{00000000-0005-0000-0000-000086050000}"/>
    <cellStyle name="Total 10" xfId="561" xr:uid="{00000000-0005-0000-0000-000087050000}"/>
    <cellStyle name="Total 11" xfId="562" xr:uid="{00000000-0005-0000-0000-000088050000}"/>
    <cellStyle name="Total 12" xfId="563" xr:uid="{00000000-0005-0000-0000-000089050000}"/>
    <cellStyle name="Total 13" xfId="564" xr:uid="{00000000-0005-0000-0000-00008A050000}"/>
    <cellStyle name="Total 14" xfId="565" xr:uid="{00000000-0005-0000-0000-00008B050000}"/>
    <cellStyle name="Total 15" xfId="566" xr:uid="{00000000-0005-0000-0000-00008C050000}"/>
    <cellStyle name="Total 16" xfId="694" xr:uid="{00000000-0005-0000-0000-00008D050000}"/>
    <cellStyle name="Total 2" xfId="567" xr:uid="{00000000-0005-0000-0000-00008E050000}"/>
    <cellStyle name="Total 2 2" xfId="714" xr:uid="{00000000-0005-0000-0000-00008F050000}"/>
    <cellStyle name="Total 3" xfId="568" xr:uid="{00000000-0005-0000-0000-000090050000}"/>
    <cellStyle name="Total 4" xfId="569" xr:uid="{00000000-0005-0000-0000-000091050000}"/>
    <cellStyle name="Total 5" xfId="570" xr:uid="{00000000-0005-0000-0000-000092050000}"/>
    <cellStyle name="Total 6" xfId="571" xr:uid="{00000000-0005-0000-0000-000093050000}"/>
    <cellStyle name="Total 7" xfId="572" xr:uid="{00000000-0005-0000-0000-000094050000}"/>
    <cellStyle name="Total 8" xfId="573" xr:uid="{00000000-0005-0000-0000-000095050000}"/>
    <cellStyle name="Total 9" xfId="574" xr:uid="{00000000-0005-0000-0000-000096050000}"/>
    <cellStyle name="Warning Text 10" xfId="575" xr:uid="{00000000-0005-0000-0000-000097050000}"/>
    <cellStyle name="Warning Text 11" xfId="576" xr:uid="{00000000-0005-0000-0000-000098050000}"/>
    <cellStyle name="Warning Text 12" xfId="577" xr:uid="{00000000-0005-0000-0000-000099050000}"/>
    <cellStyle name="Warning Text 13" xfId="578" xr:uid="{00000000-0005-0000-0000-00009A050000}"/>
    <cellStyle name="Warning Text 14" xfId="579" xr:uid="{00000000-0005-0000-0000-00009B050000}"/>
    <cellStyle name="Warning Text 15" xfId="580" xr:uid="{00000000-0005-0000-0000-00009C050000}"/>
    <cellStyle name="Warning Text 16" xfId="695" xr:uid="{00000000-0005-0000-0000-00009D050000}"/>
    <cellStyle name="Warning Text 2" xfId="581" xr:uid="{00000000-0005-0000-0000-00009E050000}"/>
    <cellStyle name="Warning Text 2 2" xfId="711" xr:uid="{00000000-0005-0000-0000-00009F050000}"/>
    <cellStyle name="Warning Text 3" xfId="582" xr:uid="{00000000-0005-0000-0000-0000A0050000}"/>
    <cellStyle name="Warning Text 4" xfId="583" xr:uid="{00000000-0005-0000-0000-0000A1050000}"/>
    <cellStyle name="Warning Text 5" xfId="584" xr:uid="{00000000-0005-0000-0000-0000A2050000}"/>
    <cellStyle name="Warning Text 6" xfId="585" xr:uid="{00000000-0005-0000-0000-0000A3050000}"/>
    <cellStyle name="Warning Text 7" xfId="586" xr:uid="{00000000-0005-0000-0000-0000A4050000}"/>
    <cellStyle name="Warning Text 8" xfId="587" xr:uid="{00000000-0005-0000-0000-0000A5050000}"/>
    <cellStyle name="Warning Text 9" xfId="588" xr:uid="{00000000-0005-0000-0000-0000A6050000}"/>
  </cellStyles>
  <dxfs count="1">
    <dxf>
      <font>
        <color rgb="FFFF0000"/>
      </font>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653356015307445E-2"/>
          <c:y val="3.5542275424528813E-2"/>
          <c:w val="0.72609264993784484"/>
          <c:h val="0.76901503668994686"/>
        </c:manualLayout>
      </c:layout>
      <c:barChart>
        <c:barDir val="col"/>
        <c:grouping val="clustered"/>
        <c:varyColors val="0"/>
        <c:ser>
          <c:idx val="2"/>
          <c:order val="0"/>
          <c:tx>
            <c:strRef>
              <c:f>'6. WS Regression Analysis'!$U$58</c:f>
              <c:strCache>
                <c:ptCount val="1"/>
                <c:pt idx="0">
                  <c:v>kWh Purchased</c:v>
                </c:pt>
              </c:strCache>
            </c:strRef>
          </c:tx>
          <c:invertIfNegative val="0"/>
          <c:cat>
            <c:numRef>
              <c:f>'6. WS Regression Analysis'!$T$59:$T$68</c:f>
              <c:numCache>
                <c:formatCode>@</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'6. WS Regression Analysis'!$U$59:$U$68</c:f>
              <c:numCache>
                <c:formatCode>_(* #,##0.00_);_(* \(#,##0.00\);_(* "-"??_);_(@_)</c:formatCode>
                <c:ptCount val="10"/>
                <c:pt idx="0">
                  <c:v>90874156.25999999</c:v>
                </c:pt>
                <c:pt idx="1">
                  <c:v>89376615.260000005</c:v>
                </c:pt>
                <c:pt idx="2">
                  <c:v>89768282.25999999</c:v>
                </c:pt>
                <c:pt idx="3">
                  <c:v>89085775.25999999</c:v>
                </c:pt>
                <c:pt idx="4">
                  <c:v>88171491.929999992</c:v>
                </c:pt>
                <c:pt idx="5">
                  <c:v>89884663.680000007</c:v>
                </c:pt>
                <c:pt idx="6">
                  <c:v>89565183.469999999</c:v>
                </c:pt>
                <c:pt idx="7">
                  <c:v>87584142.184</c:v>
                </c:pt>
                <c:pt idx="8">
                  <c:v>87828569.654158607</c:v>
                </c:pt>
                <c:pt idx="9">
                  <c:v>90017844.810154736</c:v>
                </c:pt>
              </c:numCache>
            </c:numRef>
          </c:val>
          <c:extLst>
            <c:ext xmlns:c16="http://schemas.microsoft.com/office/drawing/2014/chart" uri="{C3380CC4-5D6E-409C-BE32-E72D297353CC}">
              <c16:uniqueId val="{00000000-786A-4217-83C1-815CCDD0F759}"/>
            </c:ext>
          </c:extLst>
        </c:ser>
        <c:ser>
          <c:idx val="0"/>
          <c:order val="1"/>
          <c:tx>
            <c:strRef>
              <c:f>'6. WS Regression Analysis'!$V$58</c:f>
              <c:strCache>
                <c:ptCount val="1"/>
                <c:pt idx="0">
                  <c:v>Adjusted</c:v>
                </c:pt>
              </c:strCache>
            </c:strRef>
          </c:tx>
          <c:invertIfNegative val="0"/>
          <c:cat>
            <c:numRef>
              <c:f>'6. WS Regression Analysis'!$T$59:$T$68</c:f>
              <c:numCache>
                <c:formatCode>@</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'6. WS Regression Analysis'!$V$59:$V$68</c:f>
              <c:numCache>
                <c:formatCode>_(* #,##0.00_);_(* \(#,##0.00\);_(* "-"??_);_(@_)</c:formatCode>
                <c:ptCount val="10"/>
                <c:pt idx="0">
                  <c:v>88366010.048238277</c:v>
                </c:pt>
                <c:pt idx="1">
                  <c:v>88661685.778080925</c:v>
                </c:pt>
                <c:pt idx="2">
                  <c:v>89010777.471517652</c:v>
                </c:pt>
                <c:pt idx="3">
                  <c:v>89934682.74622038</c:v>
                </c:pt>
                <c:pt idx="4">
                  <c:v>88121279.395198524</c:v>
                </c:pt>
                <c:pt idx="5">
                  <c:v>90935675.292789266</c:v>
                </c:pt>
                <c:pt idx="6">
                  <c:v>89315411.477069527</c:v>
                </c:pt>
                <c:pt idx="7">
                  <c:v>89937807.730157182</c:v>
                </c:pt>
                <c:pt idx="8">
                  <c:v>88405826.871381938</c:v>
                </c:pt>
                <c:pt idx="9">
                  <c:v>88301617.957659543</c:v>
                </c:pt>
              </c:numCache>
            </c:numRef>
          </c:val>
          <c:extLst>
            <c:ext xmlns:c16="http://schemas.microsoft.com/office/drawing/2014/chart" uri="{C3380CC4-5D6E-409C-BE32-E72D297353CC}">
              <c16:uniqueId val="{00000001-786A-4217-83C1-815CCDD0F759}"/>
            </c:ext>
          </c:extLst>
        </c:ser>
        <c:dLbls>
          <c:showLegendKey val="0"/>
          <c:showVal val="0"/>
          <c:showCatName val="0"/>
          <c:showSerName val="0"/>
          <c:showPercent val="0"/>
          <c:showBubbleSize val="0"/>
        </c:dLbls>
        <c:gapWidth val="150"/>
        <c:axId val="343182608"/>
        <c:axId val="407625496"/>
      </c:barChart>
      <c:dateAx>
        <c:axId val="343182608"/>
        <c:scaling>
          <c:orientation val="minMax"/>
        </c:scaling>
        <c:delete val="0"/>
        <c:axPos val="b"/>
        <c:title>
          <c:tx>
            <c:rich>
              <a:bodyPr/>
              <a:lstStyle/>
              <a:p>
                <a:pPr>
                  <a:defRPr/>
                </a:pPr>
                <a:r>
                  <a:rPr lang="en-US"/>
                  <a:t>Year</a:t>
                </a:r>
              </a:p>
            </c:rich>
          </c:tx>
          <c:overlay val="0"/>
        </c:title>
        <c:numFmt formatCode="@" sourceLinked="1"/>
        <c:majorTickMark val="out"/>
        <c:minorTickMark val="none"/>
        <c:tickLblPos val="nextTo"/>
        <c:crossAx val="407625496"/>
        <c:crosses val="autoZero"/>
        <c:auto val="0"/>
        <c:lblOffset val="100"/>
        <c:baseTimeUnit val="days"/>
      </c:dateAx>
      <c:valAx>
        <c:axId val="407625496"/>
        <c:scaling>
          <c:orientation val="minMax"/>
          <c:min val="0"/>
        </c:scaling>
        <c:delete val="0"/>
        <c:axPos val="l"/>
        <c:majorGridlines/>
        <c:numFmt formatCode="#,##0" sourceLinked="0"/>
        <c:majorTickMark val="out"/>
        <c:minorTickMark val="none"/>
        <c:tickLblPos val="nextTo"/>
        <c:crossAx val="343182608"/>
        <c:crossesAt val="1"/>
        <c:crossBetween val="between"/>
        <c:dispUnits>
          <c:builtInUnit val="millions"/>
        </c:dispUnits>
      </c:valAx>
      <c:spPr>
        <a:noFill/>
        <a:ln w="25400">
          <a:noFill/>
        </a:ln>
      </c:spPr>
    </c:plotArea>
    <c:legend>
      <c:legendPos val="r"/>
      <c:overlay val="0"/>
    </c:legend>
    <c:plotVisOnly val="1"/>
    <c:dispBlanksAs val="gap"/>
    <c:showDLblsOverMax val="0"/>
  </c:chart>
  <c:txPr>
    <a:bodyPr/>
    <a:lstStyle/>
    <a:p>
      <a:pPr>
        <a:defRPr>
          <a:latin typeface="Effra-Regula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653356015307445E-2"/>
          <c:y val="3.5542275424528813E-2"/>
          <c:w val="0.72609264993784484"/>
          <c:h val="0.76901503668994686"/>
        </c:manualLayout>
      </c:layout>
      <c:barChart>
        <c:barDir val="col"/>
        <c:grouping val="clustered"/>
        <c:varyColors val="0"/>
        <c:ser>
          <c:idx val="2"/>
          <c:order val="0"/>
          <c:tx>
            <c:strRef>
              <c:f>'6. WS Regression Analysis no DH'!$U$58</c:f>
              <c:strCache>
                <c:ptCount val="1"/>
                <c:pt idx="0">
                  <c:v>kWh Purchased</c:v>
                </c:pt>
              </c:strCache>
            </c:strRef>
          </c:tx>
          <c:invertIfNegative val="0"/>
          <c:cat>
            <c:numRef>
              <c:f>'6. WS Regression Analysis no DH'!$T$59:$T$68</c:f>
              <c:numCache>
                <c:formatCode>@</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'6. WS Regression Analysis no DH'!$U$59:$U$68</c:f>
              <c:numCache>
                <c:formatCode>_(* #,##0.00_);_(* \(#,##0.00\);_(* "-"??_);_(@_)</c:formatCode>
                <c:ptCount val="10"/>
                <c:pt idx="0">
                  <c:v>90874156.25999999</c:v>
                </c:pt>
                <c:pt idx="1">
                  <c:v>89376615.260000005</c:v>
                </c:pt>
                <c:pt idx="2">
                  <c:v>89768282.25999999</c:v>
                </c:pt>
                <c:pt idx="3">
                  <c:v>89085775.25999999</c:v>
                </c:pt>
                <c:pt idx="4">
                  <c:v>88171491.929999992</c:v>
                </c:pt>
                <c:pt idx="5">
                  <c:v>89884663.680000007</c:v>
                </c:pt>
                <c:pt idx="6">
                  <c:v>89565183.469999999</c:v>
                </c:pt>
                <c:pt idx="7">
                  <c:v>87584142.184</c:v>
                </c:pt>
                <c:pt idx="8">
                  <c:v>87828569.654158607</c:v>
                </c:pt>
                <c:pt idx="9">
                  <c:v>90017844.810154736</c:v>
                </c:pt>
              </c:numCache>
            </c:numRef>
          </c:val>
          <c:extLst>
            <c:ext xmlns:c16="http://schemas.microsoft.com/office/drawing/2014/chart" uri="{C3380CC4-5D6E-409C-BE32-E72D297353CC}">
              <c16:uniqueId val="{00000000-5425-43B2-A089-DF406385EBD4}"/>
            </c:ext>
          </c:extLst>
        </c:ser>
        <c:ser>
          <c:idx val="0"/>
          <c:order val="1"/>
          <c:tx>
            <c:strRef>
              <c:f>'6. WS Regression Analysis no DH'!$V$58</c:f>
              <c:strCache>
                <c:ptCount val="1"/>
                <c:pt idx="0">
                  <c:v>Adjusted</c:v>
                </c:pt>
              </c:strCache>
            </c:strRef>
          </c:tx>
          <c:invertIfNegative val="0"/>
          <c:cat>
            <c:numRef>
              <c:f>'6. WS Regression Analysis no DH'!$T$59:$T$68</c:f>
              <c:numCache>
                <c:formatCode>@</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'6. WS Regression Analysis no DH'!$V$59:$V$68</c:f>
              <c:numCache>
                <c:formatCode>_(* #,##0.00_);_(* \(#,##0.00\);_(* "-"??_);_(@_)</c:formatCode>
                <c:ptCount val="10"/>
                <c:pt idx="0">
                  <c:v>88474218.029769301</c:v>
                </c:pt>
                <c:pt idx="1">
                  <c:v>88741305.06941998</c:v>
                </c:pt>
                <c:pt idx="2">
                  <c:v>89116051.604816481</c:v>
                </c:pt>
                <c:pt idx="3">
                  <c:v>90068963.594215557</c:v>
                </c:pt>
                <c:pt idx="4">
                  <c:v>88229509.970870882</c:v>
                </c:pt>
                <c:pt idx="5">
                  <c:v>91059144.075471699</c:v>
                </c:pt>
                <c:pt idx="6">
                  <c:v>89389191.658139586</c:v>
                </c:pt>
                <c:pt idx="7">
                  <c:v>90085048.360016435</c:v>
                </c:pt>
                <c:pt idx="8">
                  <c:v>88573665.33966735</c:v>
                </c:pt>
                <c:pt idx="9">
                  <c:v>88419627.065925986</c:v>
                </c:pt>
              </c:numCache>
            </c:numRef>
          </c:val>
          <c:extLst>
            <c:ext xmlns:c16="http://schemas.microsoft.com/office/drawing/2014/chart" uri="{C3380CC4-5D6E-409C-BE32-E72D297353CC}">
              <c16:uniqueId val="{00000001-5425-43B2-A089-DF406385EBD4}"/>
            </c:ext>
          </c:extLst>
        </c:ser>
        <c:dLbls>
          <c:showLegendKey val="0"/>
          <c:showVal val="0"/>
          <c:showCatName val="0"/>
          <c:showSerName val="0"/>
          <c:showPercent val="0"/>
          <c:showBubbleSize val="0"/>
        </c:dLbls>
        <c:gapWidth val="150"/>
        <c:axId val="343182608"/>
        <c:axId val="407625496"/>
      </c:barChart>
      <c:dateAx>
        <c:axId val="343182608"/>
        <c:scaling>
          <c:orientation val="minMax"/>
        </c:scaling>
        <c:delete val="0"/>
        <c:axPos val="b"/>
        <c:title>
          <c:tx>
            <c:rich>
              <a:bodyPr/>
              <a:lstStyle/>
              <a:p>
                <a:pPr>
                  <a:defRPr/>
                </a:pPr>
                <a:r>
                  <a:rPr lang="en-US"/>
                  <a:t>Year</a:t>
                </a:r>
              </a:p>
            </c:rich>
          </c:tx>
          <c:overlay val="0"/>
        </c:title>
        <c:numFmt formatCode="@" sourceLinked="1"/>
        <c:majorTickMark val="out"/>
        <c:minorTickMark val="none"/>
        <c:tickLblPos val="nextTo"/>
        <c:crossAx val="407625496"/>
        <c:crosses val="autoZero"/>
        <c:auto val="0"/>
        <c:lblOffset val="100"/>
        <c:baseTimeUnit val="days"/>
      </c:dateAx>
      <c:valAx>
        <c:axId val="407625496"/>
        <c:scaling>
          <c:orientation val="minMax"/>
          <c:min val="0"/>
        </c:scaling>
        <c:delete val="0"/>
        <c:axPos val="l"/>
        <c:majorGridlines/>
        <c:numFmt formatCode="#,##0" sourceLinked="0"/>
        <c:majorTickMark val="out"/>
        <c:minorTickMark val="none"/>
        <c:tickLblPos val="nextTo"/>
        <c:crossAx val="343182608"/>
        <c:crossesAt val="1"/>
        <c:crossBetween val="between"/>
        <c:dispUnits>
          <c:builtInUnit val="millions"/>
        </c:dispUnits>
      </c:valAx>
      <c:spPr>
        <a:noFill/>
        <a:ln w="25400">
          <a:noFill/>
        </a:ln>
      </c:spPr>
    </c:plotArea>
    <c:legend>
      <c:legendPos val="r"/>
      <c:overlay val="0"/>
    </c:legend>
    <c:plotVisOnly val="1"/>
    <c:dispBlanksAs val="gap"/>
    <c:showDLblsOverMax val="0"/>
  </c:chart>
  <c:txPr>
    <a:bodyPr/>
    <a:lstStyle/>
    <a:p>
      <a:pPr>
        <a:defRPr>
          <a:latin typeface="Effra-Regula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twoCellAnchor>
    <xdr:from>
      <xdr:col>0</xdr:col>
      <xdr:colOff>561975</xdr:colOff>
      <xdr:row>15</xdr:row>
      <xdr:rowOff>0</xdr:rowOff>
    </xdr:from>
    <xdr:to>
      <xdr:col>0</xdr:col>
      <xdr:colOff>762000</xdr:colOff>
      <xdr:row>22</xdr:row>
      <xdr:rowOff>152400</xdr:rowOff>
    </xdr:to>
    <xdr:sp macro="" textlink="">
      <xdr:nvSpPr>
        <xdr:cNvPr id="4" name="Left Brace 3">
          <a:extLst>
            <a:ext uri="{FF2B5EF4-FFF2-40B4-BE49-F238E27FC236}">
              <a16:creationId xmlns:a16="http://schemas.microsoft.com/office/drawing/2014/main" id="{00000000-0008-0000-0900-000004000000}"/>
            </a:ext>
          </a:extLst>
        </xdr:cNvPr>
        <xdr:cNvSpPr/>
      </xdr:nvSpPr>
      <xdr:spPr>
        <a:xfrm>
          <a:off x="561975" y="2600325"/>
          <a:ext cx="200025" cy="12858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647700</xdr:colOff>
      <xdr:row>23</xdr:row>
      <xdr:rowOff>19050</xdr:rowOff>
    </xdr:from>
    <xdr:to>
      <xdr:col>0</xdr:col>
      <xdr:colOff>733425</xdr:colOff>
      <xdr:row>54</xdr:row>
      <xdr:rowOff>19050</xdr:rowOff>
    </xdr:to>
    <xdr:sp macro="" textlink="">
      <xdr:nvSpPr>
        <xdr:cNvPr id="5" name="Left Brace 4">
          <a:extLst>
            <a:ext uri="{FF2B5EF4-FFF2-40B4-BE49-F238E27FC236}">
              <a16:creationId xmlns:a16="http://schemas.microsoft.com/office/drawing/2014/main" id="{00000000-0008-0000-0900-000005000000}"/>
            </a:ext>
          </a:extLst>
        </xdr:cNvPr>
        <xdr:cNvSpPr/>
      </xdr:nvSpPr>
      <xdr:spPr>
        <a:xfrm>
          <a:off x="647700" y="3914775"/>
          <a:ext cx="85725" cy="34099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13</xdr:row>
      <xdr:rowOff>9525</xdr:rowOff>
    </xdr:from>
    <xdr:to>
      <xdr:col>4</xdr:col>
      <xdr:colOff>209550</xdr:colOff>
      <xdr:row>16</xdr:row>
      <xdr:rowOff>123825</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76201</xdr:colOff>
      <xdr:row>16</xdr:row>
      <xdr:rowOff>161926</xdr:rowOff>
    </xdr:from>
    <xdr:to>
      <xdr:col>4</xdr:col>
      <xdr:colOff>190501</xdr:colOff>
      <xdr:row>19</xdr:row>
      <xdr:rowOff>152401</xdr:rowOff>
    </xdr:to>
    <xdr:sp macro="" textlink="">
      <xdr:nvSpPr>
        <xdr:cNvPr id="3" name="Right Brace 2">
          <a:extLst>
            <a:ext uri="{FF2B5EF4-FFF2-40B4-BE49-F238E27FC236}">
              <a16:creationId xmlns:a16="http://schemas.microsoft.com/office/drawing/2014/main" id="{00000000-0008-0000-0100-000003000000}"/>
            </a:ext>
          </a:extLst>
        </xdr:cNvPr>
        <xdr:cNvSpPr/>
      </xdr:nvSpPr>
      <xdr:spPr>
        <a:xfrm>
          <a:off x="7658101" y="233362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409575</xdr:colOff>
      <xdr:row>12</xdr:row>
      <xdr:rowOff>47625</xdr:rowOff>
    </xdr:from>
    <xdr:to>
      <xdr:col>0</xdr:col>
      <xdr:colOff>552450</xdr:colOff>
      <xdr:row>12</xdr:row>
      <xdr:rowOff>180975</xdr:rowOff>
    </xdr:to>
    <xdr:sp macro="" textlink="">
      <xdr:nvSpPr>
        <xdr:cNvPr id="2" name="Isosceles Triangle 1">
          <a:extLst>
            <a:ext uri="{FF2B5EF4-FFF2-40B4-BE49-F238E27FC236}">
              <a16:creationId xmlns:a16="http://schemas.microsoft.com/office/drawing/2014/main" id="{00000000-0008-0000-0200-000002000000}"/>
            </a:ext>
          </a:extLst>
        </xdr:cNvPr>
        <xdr:cNvSpPr/>
      </xdr:nvSpPr>
      <xdr:spPr>
        <a:xfrm>
          <a:off x="409575" y="21621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390525</xdr:colOff>
      <xdr:row>14</xdr:row>
      <xdr:rowOff>132848</xdr:rowOff>
    </xdr:from>
    <xdr:to>
      <xdr:col>0</xdr:col>
      <xdr:colOff>542925</xdr:colOff>
      <xdr:row>15</xdr:row>
      <xdr:rowOff>85223</xdr:rowOff>
    </xdr:to>
    <xdr:sp macro="" textlink="">
      <xdr:nvSpPr>
        <xdr:cNvPr id="3" name="Oval 2">
          <a:extLst>
            <a:ext uri="{FF2B5EF4-FFF2-40B4-BE49-F238E27FC236}">
              <a16:creationId xmlns:a16="http://schemas.microsoft.com/office/drawing/2014/main" id="{00000000-0008-0000-0200-000003000000}"/>
            </a:ext>
          </a:extLst>
        </xdr:cNvPr>
        <xdr:cNvSpPr/>
      </xdr:nvSpPr>
      <xdr:spPr>
        <a:xfrm>
          <a:off x="390525" y="2618873"/>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413586</xdr:colOff>
      <xdr:row>13</xdr:row>
      <xdr:rowOff>101767</xdr:rowOff>
    </xdr:from>
    <xdr:to>
      <xdr:col>0</xdr:col>
      <xdr:colOff>543928</xdr:colOff>
      <xdr:row>14</xdr:row>
      <xdr:rowOff>46121</xdr:rowOff>
    </xdr:to>
    <xdr:sp macro="" textlink="">
      <xdr:nvSpPr>
        <xdr:cNvPr id="4" name="Rectangle 3">
          <a:extLst>
            <a:ext uri="{FF2B5EF4-FFF2-40B4-BE49-F238E27FC236}">
              <a16:creationId xmlns:a16="http://schemas.microsoft.com/office/drawing/2014/main" id="{00000000-0008-0000-0200-000004000000}"/>
            </a:ext>
          </a:extLst>
        </xdr:cNvPr>
        <xdr:cNvSpPr/>
      </xdr:nvSpPr>
      <xdr:spPr>
        <a:xfrm>
          <a:off x="413586" y="2406817"/>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23</xdr:row>
      <xdr:rowOff>7056</xdr:rowOff>
    </xdr:from>
    <xdr:to>
      <xdr:col>3</xdr:col>
      <xdr:colOff>458610</xdr:colOff>
      <xdr:row>23</xdr:row>
      <xdr:rowOff>151308</xdr:rowOff>
    </xdr:to>
    <xdr:sp macro="" textlink="">
      <xdr:nvSpPr>
        <xdr:cNvPr id="5" name="Rectangle 4">
          <a:extLst>
            <a:ext uri="{FF2B5EF4-FFF2-40B4-BE49-F238E27FC236}">
              <a16:creationId xmlns:a16="http://schemas.microsoft.com/office/drawing/2014/main" id="{00000000-0008-0000-0200-000005000000}"/>
            </a:ext>
          </a:extLst>
        </xdr:cNvPr>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23</xdr:row>
      <xdr:rowOff>6735</xdr:rowOff>
    </xdr:from>
    <xdr:to>
      <xdr:col>5</xdr:col>
      <xdr:colOff>486832</xdr:colOff>
      <xdr:row>23</xdr:row>
      <xdr:rowOff>151694</xdr:rowOff>
    </xdr:to>
    <xdr:sp macro="" textlink="">
      <xdr:nvSpPr>
        <xdr:cNvPr id="6" name="Rectangle 5">
          <a:extLst>
            <a:ext uri="{FF2B5EF4-FFF2-40B4-BE49-F238E27FC236}">
              <a16:creationId xmlns:a16="http://schemas.microsoft.com/office/drawing/2014/main" id="{00000000-0008-0000-0200-000006000000}"/>
            </a:ext>
          </a:extLst>
        </xdr:cNvPr>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329045</xdr:colOff>
      <xdr:row>23</xdr:row>
      <xdr:rowOff>8659</xdr:rowOff>
    </xdr:from>
    <xdr:to>
      <xdr:col>11</xdr:col>
      <xdr:colOff>472723</xdr:colOff>
      <xdr:row>23</xdr:row>
      <xdr:rowOff>151694</xdr:rowOff>
    </xdr:to>
    <xdr:sp macro="" textlink="">
      <xdr:nvSpPr>
        <xdr:cNvPr id="7" name="Rectangle 6">
          <a:extLst>
            <a:ext uri="{FF2B5EF4-FFF2-40B4-BE49-F238E27FC236}">
              <a16:creationId xmlns:a16="http://schemas.microsoft.com/office/drawing/2014/main" id="{00000000-0008-0000-0200-000007000000}"/>
            </a:ext>
          </a:extLst>
        </xdr:cNvPr>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329045</xdr:colOff>
      <xdr:row>23</xdr:row>
      <xdr:rowOff>8659</xdr:rowOff>
    </xdr:from>
    <xdr:to>
      <xdr:col>12</xdr:col>
      <xdr:colOff>481262</xdr:colOff>
      <xdr:row>23</xdr:row>
      <xdr:rowOff>155408</xdr:rowOff>
    </xdr:to>
    <xdr:sp macro="" textlink="">
      <xdr:nvSpPr>
        <xdr:cNvPr id="8" name="Rectangle 7">
          <a:extLst>
            <a:ext uri="{FF2B5EF4-FFF2-40B4-BE49-F238E27FC236}">
              <a16:creationId xmlns:a16="http://schemas.microsoft.com/office/drawing/2014/main" id="{00000000-0008-0000-0200-000008000000}"/>
            </a:ext>
          </a:extLst>
        </xdr:cNvPr>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341231</xdr:colOff>
      <xdr:row>23</xdr:row>
      <xdr:rowOff>7056</xdr:rowOff>
    </xdr:from>
    <xdr:to>
      <xdr:col>17</xdr:col>
      <xdr:colOff>493888</xdr:colOff>
      <xdr:row>23</xdr:row>
      <xdr:rowOff>151694</xdr:rowOff>
    </xdr:to>
    <xdr:sp macro="" textlink="">
      <xdr:nvSpPr>
        <xdr:cNvPr id="9" name="Rectangle 8">
          <a:extLst>
            <a:ext uri="{FF2B5EF4-FFF2-40B4-BE49-F238E27FC236}">
              <a16:creationId xmlns:a16="http://schemas.microsoft.com/office/drawing/2014/main" id="{00000000-0008-0000-0200-000009000000}"/>
            </a:ext>
          </a:extLst>
        </xdr:cNvPr>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351495</xdr:colOff>
      <xdr:row>23</xdr:row>
      <xdr:rowOff>11866</xdr:rowOff>
    </xdr:from>
    <xdr:to>
      <xdr:col>18</xdr:col>
      <xdr:colOff>490361</xdr:colOff>
      <xdr:row>23</xdr:row>
      <xdr:rowOff>151694</xdr:rowOff>
    </xdr:to>
    <xdr:sp macro="" textlink="">
      <xdr:nvSpPr>
        <xdr:cNvPr id="10" name="Rectangle 9">
          <a:extLst>
            <a:ext uri="{FF2B5EF4-FFF2-40B4-BE49-F238E27FC236}">
              <a16:creationId xmlns:a16="http://schemas.microsoft.com/office/drawing/2014/main" id="{00000000-0008-0000-0200-00000A000000}"/>
            </a:ext>
          </a:extLst>
        </xdr:cNvPr>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14</xdr:col>
      <xdr:colOff>341231</xdr:colOff>
      <xdr:row>23</xdr:row>
      <xdr:rowOff>7056</xdr:rowOff>
    </xdr:from>
    <xdr:to>
      <xdr:col>14</xdr:col>
      <xdr:colOff>493888</xdr:colOff>
      <xdr:row>23</xdr:row>
      <xdr:rowOff>151694</xdr:rowOff>
    </xdr:to>
    <xdr:sp macro="" textlink="">
      <xdr:nvSpPr>
        <xdr:cNvPr id="12" name="Rectangle 11">
          <a:extLst>
            <a:ext uri="{FF2B5EF4-FFF2-40B4-BE49-F238E27FC236}">
              <a16:creationId xmlns:a16="http://schemas.microsoft.com/office/drawing/2014/main" id="{00000000-0008-0000-0200-00000C000000}"/>
            </a:ext>
          </a:extLst>
        </xdr:cNvPr>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351495</xdr:colOff>
      <xdr:row>23</xdr:row>
      <xdr:rowOff>11866</xdr:rowOff>
    </xdr:from>
    <xdr:to>
      <xdr:col>15</xdr:col>
      <xdr:colOff>490361</xdr:colOff>
      <xdr:row>23</xdr:row>
      <xdr:rowOff>151694</xdr:rowOff>
    </xdr:to>
    <xdr:sp macro="" textlink="">
      <xdr:nvSpPr>
        <xdr:cNvPr id="13" name="Rectangle 12">
          <a:extLst>
            <a:ext uri="{FF2B5EF4-FFF2-40B4-BE49-F238E27FC236}">
              <a16:creationId xmlns:a16="http://schemas.microsoft.com/office/drawing/2014/main" id="{00000000-0008-0000-0200-00000D000000}"/>
            </a:ext>
          </a:extLst>
        </xdr:cNvPr>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346363</xdr:colOff>
      <xdr:row>23</xdr:row>
      <xdr:rowOff>6735</xdr:rowOff>
    </xdr:from>
    <xdr:to>
      <xdr:col>20</xdr:col>
      <xdr:colOff>483304</xdr:colOff>
      <xdr:row>23</xdr:row>
      <xdr:rowOff>148167</xdr:rowOff>
    </xdr:to>
    <xdr:sp macro="" textlink="">
      <xdr:nvSpPr>
        <xdr:cNvPr id="16" name="Rectangle 15">
          <a:extLst>
            <a:ext uri="{FF2B5EF4-FFF2-40B4-BE49-F238E27FC236}">
              <a16:creationId xmlns:a16="http://schemas.microsoft.com/office/drawing/2014/main" id="{00000000-0008-0000-0200-000010000000}"/>
            </a:ext>
          </a:extLst>
        </xdr:cNvPr>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23</xdr:col>
      <xdr:colOff>346363</xdr:colOff>
      <xdr:row>23</xdr:row>
      <xdr:rowOff>6735</xdr:rowOff>
    </xdr:from>
    <xdr:to>
      <xdr:col>23</xdr:col>
      <xdr:colOff>483304</xdr:colOff>
      <xdr:row>23</xdr:row>
      <xdr:rowOff>148167</xdr:rowOff>
    </xdr:to>
    <xdr:sp macro="" textlink="">
      <xdr:nvSpPr>
        <xdr:cNvPr id="17" name="Rectangle 16">
          <a:extLst>
            <a:ext uri="{FF2B5EF4-FFF2-40B4-BE49-F238E27FC236}">
              <a16:creationId xmlns:a16="http://schemas.microsoft.com/office/drawing/2014/main" id="{00000000-0008-0000-0200-000011000000}"/>
            </a:ext>
          </a:extLst>
        </xdr:cNvPr>
        <xdr:cNvSpPr/>
      </xdr:nvSpPr>
      <xdr:spPr>
        <a:xfrm>
          <a:off x="15100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25</xdr:col>
      <xdr:colOff>346363</xdr:colOff>
      <xdr:row>23</xdr:row>
      <xdr:rowOff>6735</xdr:rowOff>
    </xdr:from>
    <xdr:to>
      <xdr:col>25</xdr:col>
      <xdr:colOff>483304</xdr:colOff>
      <xdr:row>23</xdr:row>
      <xdr:rowOff>148167</xdr:rowOff>
    </xdr:to>
    <xdr:sp macro="" textlink="">
      <xdr:nvSpPr>
        <xdr:cNvPr id="18" name="Rectangle 17">
          <a:extLst>
            <a:ext uri="{FF2B5EF4-FFF2-40B4-BE49-F238E27FC236}">
              <a16:creationId xmlns:a16="http://schemas.microsoft.com/office/drawing/2014/main" id="{00000000-0008-0000-0200-000012000000}"/>
            </a:ext>
          </a:extLst>
        </xdr:cNvPr>
        <xdr:cNvSpPr/>
      </xdr:nvSpPr>
      <xdr:spPr>
        <a:xfrm>
          <a:off x="167484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23</xdr:row>
      <xdr:rowOff>6735</xdr:rowOff>
    </xdr:from>
    <xdr:to>
      <xdr:col>7</xdr:col>
      <xdr:colOff>483304</xdr:colOff>
      <xdr:row>23</xdr:row>
      <xdr:rowOff>148167</xdr:rowOff>
    </xdr:to>
    <xdr:sp macro="" textlink="">
      <xdr:nvSpPr>
        <xdr:cNvPr id="22" name="Rectangle 21">
          <a:extLst>
            <a:ext uri="{FF2B5EF4-FFF2-40B4-BE49-F238E27FC236}">
              <a16:creationId xmlns:a16="http://schemas.microsoft.com/office/drawing/2014/main" id="{00000000-0008-0000-0200-000016000000}"/>
            </a:ext>
          </a:extLst>
        </xdr:cNvPr>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346363</xdr:colOff>
      <xdr:row>23</xdr:row>
      <xdr:rowOff>6735</xdr:rowOff>
    </xdr:from>
    <xdr:to>
      <xdr:col>9</xdr:col>
      <xdr:colOff>483304</xdr:colOff>
      <xdr:row>23</xdr:row>
      <xdr:rowOff>148167</xdr:rowOff>
    </xdr:to>
    <xdr:sp macro="" textlink="">
      <xdr:nvSpPr>
        <xdr:cNvPr id="23" name="Rectangle 22">
          <a:extLst>
            <a:ext uri="{FF2B5EF4-FFF2-40B4-BE49-F238E27FC236}">
              <a16:creationId xmlns:a16="http://schemas.microsoft.com/office/drawing/2014/main" id="{00000000-0008-0000-0200-000017000000}"/>
            </a:ext>
          </a:extLst>
        </xdr:cNvPr>
        <xdr:cNvSpPr/>
      </xdr:nvSpPr>
      <xdr:spPr>
        <a:xfrm>
          <a:off x="5956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21</xdr:col>
      <xdr:colOff>346363</xdr:colOff>
      <xdr:row>23</xdr:row>
      <xdr:rowOff>6735</xdr:rowOff>
    </xdr:from>
    <xdr:to>
      <xdr:col>21</xdr:col>
      <xdr:colOff>483304</xdr:colOff>
      <xdr:row>23</xdr:row>
      <xdr:rowOff>148167</xdr:rowOff>
    </xdr:to>
    <xdr:sp macro="" textlink="">
      <xdr:nvSpPr>
        <xdr:cNvPr id="21" name="Rectangle 20">
          <a:extLst>
            <a:ext uri="{FF2B5EF4-FFF2-40B4-BE49-F238E27FC236}">
              <a16:creationId xmlns:a16="http://schemas.microsoft.com/office/drawing/2014/main" id="{00000000-0008-0000-0200-000015000000}"/>
            </a:ext>
          </a:extLst>
        </xdr:cNvPr>
        <xdr:cNvSpPr/>
      </xdr:nvSpPr>
      <xdr:spPr>
        <a:xfrm>
          <a:off x="16691263" y="259753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104775</xdr:colOff>
      <xdr:row>31</xdr:row>
      <xdr:rowOff>133349</xdr:rowOff>
    </xdr:from>
    <xdr:to>
      <xdr:col>16</xdr:col>
      <xdr:colOff>190500</xdr:colOff>
      <xdr:row>32</xdr:row>
      <xdr:rowOff>133349</xdr:rowOff>
    </xdr:to>
    <xdr:sp macro="" textlink="">
      <xdr:nvSpPr>
        <xdr:cNvPr id="10" name="Down Arrow 9">
          <a:extLst>
            <a:ext uri="{FF2B5EF4-FFF2-40B4-BE49-F238E27FC236}">
              <a16:creationId xmlns:a16="http://schemas.microsoft.com/office/drawing/2014/main" id="{00000000-0008-0000-0300-00000A000000}"/>
            </a:ext>
          </a:extLst>
        </xdr:cNvPr>
        <xdr:cNvSpPr/>
      </xdr:nvSpPr>
      <xdr:spPr>
        <a:xfrm>
          <a:off x="12830175" y="5838824"/>
          <a:ext cx="85725" cy="161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406213</xdr:colOff>
      <xdr:row>17</xdr:row>
      <xdr:rowOff>87406</xdr:rowOff>
    </xdr:from>
    <xdr:to>
      <xdr:col>2</xdr:col>
      <xdr:colOff>587188</xdr:colOff>
      <xdr:row>17</xdr:row>
      <xdr:rowOff>258856</xdr:rowOff>
    </xdr:to>
    <xdr:sp macro="" textlink="">
      <xdr:nvSpPr>
        <xdr:cNvPr id="3" name="Isosceles Triangle 2">
          <a:extLst>
            <a:ext uri="{FF2B5EF4-FFF2-40B4-BE49-F238E27FC236}">
              <a16:creationId xmlns:a16="http://schemas.microsoft.com/office/drawing/2014/main" id="{00000000-0008-0000-0500-000003000000}"/>
            </a:ext>
          </a:extLst>
        </xdr:cNvPr>
        <xdr:cNvSpPr/>
      </xdr:nvSpPr>
      <xdr:spPr>
        <a:xfrm>
          <a:off x="1907801" y="849406"/>
          <a:ext cx="180975"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428625</xdr:colOff>
      <xdr:row>17</xdr:row>
      <xdr:rowOff>104775</xdr:rowOff>
    </xdr:from>
    <xdr:to>
      <xdr:col>16</xdr:col>
      <xdr:colOff>676275</xdr:colOff>
      <xdr:row>17</xdr:row>
      <xdr:rowOff>333375</xdr:rowOff>
    </xdr:to>
    <xdr:sp macro="" textlink="">
      <xdr:nvSpPr>
        <xdr:cNvPr id="2" name="5-Point Star 1">
          <a:extLst>
            <a:ext uri="{FF2B5EF4-FFF2-40B4-BE49-F238E27FC236}">
              <a16:creationId xmlns:a16="http://schemas.microsoft.com/office/drawing/2014/main" id="{00000000-0008-0000-0500-000002000000}"/>
            </a:ext>
          </a:extLst>
        </xdr:cNvPr>
        <xdr:cNvSpPr/>
      </xdr:nvSpPr>
      <xdr:spPr>
        <a:xfrm>
          <a:off x="13420725" y="72390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8</xdr:col>
      <xdr:colOff>95250</xdr:colOff>
      <xdr:row>18</xdr:row>
      <xdr:rowOff>178734</xdr:rowOff>
    </xdr:from>
    <xdr:to>
      <xdr:col>8</xdr:col>
      <xdr:colOff>910477</xdr:colOff>
      <xdr:row>18</xdr:row>
      <xdr:rowOff>205403</xdr:rowOff>
    </xdr:to>
    <xdr:sp macro="" textlink="">
      <xdr:nvSpPr>
        <xdr:cNvPr id="6" name="Right Arrow 5">
          <a:extLst>
            <a:ext uri="{FF2B5EF4-FFF2-40B4-BE49-F238E27FC236}">
              <a16:creationId xmlns:a16="http://schemas.microsoft.com/office/drawing/2014/main" id="{00000000-0008-0000-0500-000006000000}"/>
            </a:ext>
          </a:extLst>
        </xdr:cNvPr>
        <xdr:cNvSpPr/>
      </xdr:nvSpPr>
      <xdr:spPr>
        <a:xfrm>
          <a:off x="9058275" y="4122084"/>
          <a:ext cx="815227" cy="2666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23</xdr:col>
      <xdr:colOff>885825</xdr:colOff>
      <xdr:row>57</xdr:row>
      <xdr:rowOff>85725</xdr:rowOff>
    </xdr:from>
    <xdr:to>
      <xdr:col>35</xdr:col>
      <xdr:colOff>169069</xdr:colOff>
      <xdr:row>81</xdr:row>
      <xdr:rowOff>49213</xdr:rowOff>
    </xdr:to>
    <xdr:graphicFrame macro="">
      <xdr:nvGraphicFramePr>
        <xdr:cNvPr id="10" name="Chart 9">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1</xdr:col>
      <xdr:colOff>534031</xdr:colOff>
      <xdr:row>7</xdr:row>
      <xdr:rowOff>28575</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406213</xdr:colOff>
      <xdr:row>17</xdr:row>
      <xdr:rowOff>87406</xdr:rowOff>
    </xdr:from>
    <xdr:to>
      <xdr:col>2</xdr:col>
      <xdr:colOff>587188</xdr:colOff>
      <xdr:row>17</xdr:row>
      <xdr:rowOff>258856</xdr:rowOff>
    </xdr:to>
    <xdr:sp macro="" textlink="">
      <xdr:nvSpPr>
        <xdr:cNvPr id="2" name="Isosceles Triangle 1">
          <a:extLst>
            <a:ext uri="{FF2B5EF4-FFF2-40B4-BE49-F238E27FC236}">
              <a16:creationId xmlns:a16="http://schemas.microsoft.com/office/drawing/2014/main" id="{692924ED-C437-40E4-8F3B-202E50576B03}"/>
            </a:ext>
          </a:extLst>
        </xdr:cNvPr>
        <xdr:cNvSpPr/>
      </xdr:nvSpPr>
      <xdr:spPr>
        <a:xfrm>
          <a:off x="2635063" y="3078256"/>
          <a:ext cx="180975"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428625</xdr:colOff>
      <xdr:row>17</xdr:row>
      <xdr:rowOff>104775</xdr:rowOff>
    </xdr:from>
    <xdr:to>
      <xdr:col>16</xdr:col>
      <xdr:colOff>676275</xdr:colOff>
      <xdr:row>17</xdr:row>
      <xdr:rowOff>333375</xdr:rowOff>
    </xdr:to>
    <xdr:sp macro="" textlink="">
      <xdr:nvSpPr>
        <xdr:cNvPr id="3" name="5-Point Star 1">
          <a:extLst>
            <a:ext uri="{FF2B5EF4-FFF2-40B4-BE49-F238E27FC236}">
              <a16:creationId xmlns:a16="http://schemas.microsoft.com/office/drawing/2014/main" id="{3D67B31C-4497-4B83-A1A7-FCA49CA277A2}"/>
            </a:ext>
          </a:extLst>
        </xdr:cNvPr>
        <xdr:cNvSpPr/>
      </xdr:nvSpPr>
      <xdr:spPr>
        <a:xfrm>
          <a:off x="13849350" y="3095625"/>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8</xdr:col>
      <xdr:colOff>95250</xdr:colOff>
      <xdr:row>18</xdr:row>
      <xdr:rowOff>178734</xdr:rowOff>
    </xdr:from>
    <xdr:to>
      <xdr:col>8</xdr:col>
      <xdr:colOff>910477</xdr:colOff>
      <xdr:row>18</xdr:row>
      <xdr:rowOff>205403</xdr:rowOff>
    </xdr:to>
    <xdr:sp macro="" textlink="">
      <xdr:nvSpPr>
        <xdr:cNvPr id="4" name="Right Arrow 5">
          <a:extLst>
            <a:ext uri="{FF2B5EF4-FFF2-40B4-BE49-F238E27FC236}">
              <a16:creationId xmlns:a16="http://schemas.microsoft.com/office/drawing/2014/main" id="{0BAFB599-BE78-4345-9B8B-917457A54F4A}"/>
            </a:ext>
          </a:extLst>
        </xdr:cNvPr>
        <xdr:cNvSpPr/>
      </xdr:nvSpPr>
      <xdr:spPr>
        <a:xfrm>
          <a:off x="8467725" y="4122084"/>
          <a:ext cx="815227" cy="2666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23</xdr:col>
      <xdr:colOff>885825</xdr:colOff>
      <xdr:row>57</xdr:row>
      <xdr:rowOff>85725</xdr:rowOff>
    </xdr:from>
    <xdr:to>
      <xdr:col>35</xdr:col>
      <xdr:colOff>169069</xdr:colOff>
      <xdr:row>81</xdr:row>
      <xdr:rowOff>49213</xdr:rowOff>
    </xdr:to>
    <xdr:graphicFrame macro="">
      <xdr:nvGraphicFramePr>
        <xdr:cNvPr id="5" name="Chart 4">
          <a:extLst>
            <a:ext uri="{FF2B5EF4-FFF2-40B4-BE49-F238E27FC236}">
              <a16:creationId xmlns:a16="http://schemas.microsoft.com/office/drawing/2014/main" id="{4DDBF3D6-D079-4A63-B7D8-147215BB82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1</xdr:col>
      <xdr:colOff>534031</xdr:colOff>
      <xdr:row>7</xdr:row>
      <xdr:rowOff>28575</xdr:rowOff>
    </xdr:to>
    <xdr:pic>
      <xdr:nvPicPr>
        <xdr:cNvPr id="6" name="Picture 5">
          <a:extLst>
            <a:ext uri="{FF2B5EF4-FFF2-40B4-BE49-F238E27FC236}">
              <a16:creationId xmlns:a16="http://schemas.microsoft.com/office/drawing/2014/main" id="{3C0B9B03-DEEA-49BD-BB82-B10E72650F22}"/>
            </a:ext>
          </a:extLst>
        </xdr:cNvPr>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173394</xdr:colOff>
      <xdr:row>30</xdr:row>
      <xdr:rowOff>34636</xdr:rowOff>
    </xdr:from>
    <xdr:to>
      <xdr:col>0</xdr:col>
      <xdr:colOff>536863</xdr:colOff>
      <xdr:row>33</xdr:row>
      <xdr:rowOff>164521</xdr:rowOff>
    </xdr:to>
    <xdr:sp macro="" textlink="">
      <xdr:nvSpPr>
        <xdr:cNvPr id="2" name="Right Brace 1">
          <a:extLst>
            <a:ext uri="{FF2B5EF4-FFF2-40B4-BE49-F238E27FC236}">
              <a16:creationId xmlns:a16="http://schemas.microsoft.com/office/drawing/2014/main" id="{00000000-0008-0000-0700-000002000000}"/>
            </a:ext>
          </a:extLst>
        </xdr:cNvPr>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180108</xdr:colOff>
      <xdr:row>33</xdr:row>
      <xdr:rowOff>0</xdr:rowOff>
    </xdr:from>
    <xdr:to>
      <xdr:col>4</xdr:col>
      <xdr:colOff>435552</xdr:colOff>
      <xdr:row>36</xdr:row>
      <xdr:rowOff>141143</xdr:rowOff>
    </xdr:to>
    <xdr:sp macro="" textlink="">
      <xdr:nvSpPr>
        <xdr:cNvPr id="3" name="Down Arrow 2">
          <a:extLst>
            <a:ext uri="{FF2B5EF4-FFF2-40B4-BE49-F238E27FC236}">
              <a16:creationId xmlns:a16="http://schemas.microsoft.com/office/drawing/2014/main" id="{00000000-0008-0000-0700-000003000000}"/>
            </a:ext>
          </a:extLst>
        </xdr:cNvPr>
        <xdr:cNvSpPr/>
      </xdr:nvSpPr>
      <xdr:spPr>
        <a:xfrm>
          <a:off x="3590058" y="69723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79663</xdr:colOff>
      <xdr:row>33</xdr:row>
      <xdr:rowOff>38100</xdr:rowOff>
    </xdr:from>
    <xdr:to>
      <xdr:col>12</xdr:col>
      <xdr:colOff>344632</xdr:colOff>
      <xdr:row>36</xdr:row>
      <xdr:rowOff>161059</xdr:rowOff>
    </xdr:to>
    <xdr:sp macro="" textlink="">
      <xdr:nvSpPr>
        <xdr:cNvPr id="4" name="Down Arrow 3">
          <a:extLst>
            <a:ext uri="{FF2B5EF4-FFF2-40B4-BE49-F238E27FC236}">
              <a16:creationId xmlns:a16="http://schemas.microsoft.com/office/drawing/2014/main" id="{00000000-0008-0000-0700-000004000000}"/>
            </a:ext>
          </a:extLst>
        </xdr:cNvPr>
        <xdr:cNvSpPr/>
      </xdr:nvSpPr>
      <xdr:spPr>
        <a:xfrm>
          <a:off x="9680863" y="7010400"/>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166253</xdr:colOff>
      <xdr:row>33</xdr:row>
      <xdr:rowOff>47624</xdr:rowOff>
    </xdr:from>
    <xdr:to>
      <xdr:col>20</xdr:col>
      <xdr:colOff>431222</xdr:colOff>
      <xdr:row>37</xdr:row>
      <xdr:rowOff>19915</xdr:rowOff>
    </xdr:to>
    <xdr:sp macro="" textlink="">
      <xdr:nvSpPr>
        <xdr:cNvPr id="5" name="Down Arrow 4">
          <a:extLst>
            <a:ext uri="{FF2B5EF4-FFF2-40B4-BE49-F238E27FC236}">
              <a16:creationId xmlns:a16="http://schemas.microsoft.com/office/drawing/2014/main" id="{00000000-0008-0000-0700-000005000000}"/>
            </a:ext>
          </a:extLst>
        </xdr:cNvPr>
        <xdr:cNvSpPr/>
      </xdr:nvSpPr>
      <xdr:spPr>
        <a:xfrm>
          <a:off x="15949178" y="70199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xdr:col>
      <xdr:colOff>247650</xdr:colOff>
      <xdr:row>19</xdr:row>
      <xdr:rowOff>76200</xdr:rowOff>
    </xdr:from>
    <xdr:to>
      <xdr:col>4</xdr:col>
      <xdr:colOff>495300</xdr:colOff>
      <xdr:row>19</xdr:row>
      <xdr:rowOff>238125</xdr:rowOff>
    </xdr:to>
    <xdr:sp macro="" textlink="">
      <xdr:nvSpPr>
        <xdr:cNvPr id="6" name="5-Point Star 5">
          <a:extLst>
            <a:ext uri="{FF2B5EF4-FFF2-40B4-BE49-F238E27FC236}">
              <a16:creationId xmlns:a16="http://schemas.microsoft.com/office/drawing/2014/main" id="{00000000-0008-0000-0700-000006000000}"/>
            </a:ext>
          </a:extLst>
        </xdr:cNvPr>
        <xdr:cNvSpPr/>
      </xdr:nvSpPr>
      <xdr:spPr>
        <a:xfrm>
          <a:off x="365760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209550</xdr:colOff>
      <xdr:row>19</xdr:row>
      <xdr:rowOff>104775</xdr:rowOff>
    </xdr:from>
    <xdr:to>
      <xdr:col>12</xdr:col>
      <xdr:colOff>457200</xdr:colOff>
      <xdr:row>19</xdr:row>
      <xdr:rowOff>257175</xdr:rowOff>
    </xdr:to>
    <xdr:sp macro="" textlink="">
      <xdr:nvSpPr>
        <xdr:cNvPr id="7" name="5-Point Star 6">
          <a:extLst>
            <a:ext uri="{FF2B5EF4-FFF2-40B4-BE49-F238E27FC236}">
              <a16:creationId xmlns:a16="http://schemas.microsoft.com/office/drawing/2014/main" id="{00000000-0008-0000-0700-000007000000}"/>
            </a:ext>
          </a:extLst>
        </xdr:cNvPr>
        <xdr:cNvSpPr/>
      </xdr:nvSpPr>
      <xdr:spPr>
        <a:xfrm>
          <a:off x="9810750" y="4171950"/>
          <a:ext cx="247650" cy="1524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20</xdr:col>
      <xdr:colOff>228600</xdr:colOff>
      <xdr:row>19</xdr:row>
      <xdr:rowOff>114300</xdr:rowOff>
    </xdr:from>
    <xdr:to>
      <xdr:col>20</xdr:col>
      <xdr:colOff>476250</xdr:colOff>
      <xdr:row>19</xdr:row>
      <xdr:rowOff>276225</xdr:rowOff>
    </xdr:to>
    <xdr:sp macro="" textlink="">
      <xdr:nvSpPr>
        <xdr:cNvPr id="8" name="5-Point Star 7">
          <a:extLst>
            <a:ext uri="{FF2B5EF4-FFF2-40B4-BE49-F238E27FC236}">
              <a16:creationId xmlns:a16="http://schemas.microsoft.com/office/drawing/2014/main" id="{00000000-0008-0000-0700-000008000000}"/>
            </a:ext>
          </a:extLst>
        </xdr:cNvPr>
        <xdr:cNvSpPr/>
      </xdr:nvSpPr>
      <xdr:spPr>
        <a:xfrm>
          <a:off x="16011525" y="41814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323850</xdr:colOff>
      <xdr:row>19</xdr:row>
      <xdr:rowOff>104774</xdr:rowOff>
    </xdr:from>
    <xdr:to>
      <xdr:col>2</xdr:col>
      <xdr:colOff>523875</xdr:colOff>
      <xdr:row>19</xdr:row>
      <xdr:rowOff>247649</xdr:rowOff>
    </xdr:to>
    <xdr:sp macro="" textlink="">
      <xdr:nvSpPr>
        <xdr:cNvPr id="10" name="Rectangle 9">
          <a:extLst>
            <a:ext uri="{FF2B5EF4-FFF2-40B4-BE49-F238E27FC236}">
              <a16:creationId xmlns:a16="http://schemas.microsoft.com/office/drawing/2014/main" id="{00000000-0008-0000-0700-00000A000000}"/>
            </a:ext>
          </a:extLst>
        </xdr:cNvPr>
        <xdr:cNvSpPr/>
      </xdr:nvSpPr>
      <xdr:spPr>
        <a:xfrm>
          <a:off x="1962150" y="4171949"/>
          <a:ext cx="200025" cy="142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10</xdr:col>
      <xdr:colOff>323850</xdr:colOff>
      <xdr:row>19</xdr:row>
      <xdr:rowOff>133350</xdr:rowOff>
    </xdr:from>
    <xdr:to>
      <xdr:col>10</xdr:col>
      <xdr:colOff>523875</xdr:colOff>
      <xdr:row>19</xdr:row>
      <xdr:rowOff>266700</xdr:rowOff>
    </xdr:to>
    <xdr:sp macro="" textlink="">
      <xdr:nvSpPr>
        <xdr:cNvPr id="11" name="Rectangle 10">
          <a:extLst>
            <a:ext uri="{FF2B5EF4-FFF2-40B4-BE49-F238E27FC236}">
              <a16:creationId xmlns:a16="http://schemas.microsoft.com/office/drawing/2014/main" id="{00000000-0008-0000-0700-00000B000000}"/>
            </a:ext>
          </a:extLst>
        </xdr:cNvPr>
        <xdr:cNvSpPr/>
      </xdr:nvSpPr>
      <xdr:spPr>
        <a:xfrm>
          <a:off x="8210550" y="4200525"/>
          <a:ext cx="200025"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314325</xdr:colOff>
      <xdr:row>19</xdr:row>
      <xdr:rowOff>133350</xdr:rowOff>
    </xdr:from>
    <xdr:to>
      <xdr:col>18</xdr:col>
      <xdr:colOff>514350</xdr:colOff>
      <xdr:row>19</xdr:row>
      <xdr:rowOff>257175</xdr:rowOff>
    </xdr:to>
    <xdr:sp macro="" textlink="">
      <xdr:nvSpPr>
        <xdr:cNvPr id="12" name="Rectangle 11">
          <a:extLst>
            <a:ext uri="{FF2B5EF4-FFF2-40B4-BE49-F238E27FC236}">
              <a16:creationId xmlns:a16="http://schemas.microsoft.com/office/drawing/2014/main" id="{00000000-0008-0000-0700-00000C000000}"/>
            </a:ext>
          </a:extLst>
        </xdr:cNvPr>
        <xdr:cNvSpPr/>
      </xdr:nvSpPr>
      <xdr:spPr>
        <a:xfrm>
          <a:off x="14382750" y="42005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19</xdr:col>
      <xdr:colOff>295275</xdr:colOff>
      <xdr:row>19</xdr:row>
      <xdr:rowOff>133349</xdr:rowOff>
    </xdr:from>
    <xdr:to>
      <xdr:col>19</xdr:col>
      <xdr:colOff>495300</xdr:colOff>
      <xdr:row>19</xdr:row>
      <xdr:rowOff>257174</xdr:rowOff>
    </xdr:to>
    <xdr:sp macro="" textlink="">
      <xdr:nvSpPr>
        <xdr:cNvPr id="13" name="Isosceles Triangle 12">
          <a:extLst>
            <a:ext uri="{FF2B5EF4-FFF2-40B4-BE49-F238E27FC236}">
              <a16:creationId xmlns:a16="http://schemas.microsoft.com/office/drawing/2014/main" id="{00000000-0008-0000-0700-00000D000000}"/>
            </a:ext>
          </a:extLst>
        </xdr:cNvPr>
        <xdr:cNvSpPr/>
      </xdr:nvSpPr>
      <xdr:spPr>
        <a:xfrm>
          <a:off x="15220950" y="420052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276225</xdr:colOff>
      <xdr:row>19</xdr:row>
      <xdr:rowOff>114300</xdr:rowOff>
    </xdr:from>
    <xdr:to>
      <xdr:col>11</xdr:col>
      <xdr:colOff>514350</xdr:colOff>
      <xdr:row>19</xdr:row>
      <xdr:rowOff>276225</xdr:rowOff>
    </xdr:to>
    <xdr:sp macro="" textlink="">
      <xdr:nvSpPr>
        <xdr:cNvPr id="14" name="Isosceles Triangle 13">
          <a:extLst>
            <a:ext uri="{FF2B5EF4-FFF2-40B4-BE49-F238E27FC236}">
              <a16:creationId xmlns:a16="http://schemas.microsoft.com/office/drawing/2014/main" id="{00000000-0008-0000-0700-00000E000000}"/>
            </a:ext>
          </a:extLst>
        </xdr:cNvPr>
        <xdr:cNvSpPr/>
      </xdr:nvSpPr>
      <xdr:spPr>
        <a:xfrm>
          <a:off x="9020175" y="4181475"/>
          <a:ext cx="238125" cy="1619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295275</xdr:colOff>
      <xdr:row>19</xdr:row>
      <xdr:rowOff>85725</xdr:rowOff>
    </xdr:from>
    <xdr:to>
      <xdr:col>3</xdr:col>
      <xdr:colOff>523875</xdr:colOff>
      <xdr:row>19</xdr:row>
      <xdr:rowOff>257175</xdr:rowOff>
    </xdr:to>
    <xdr:sp macro="" textlink="">
      <xdr:nvSpPr>
        <xdr:cNvPr id="15" name="Isosceles Triangle 14">
          <a:extLst>
            <a:ext uri="{FF2B5EF4-FFF2-40B4-BE49-F238E27FC236}">
              <a16:creationId xmlns:a16="http://schemas.microsoft.com/office/drawing/2014/main" id="{00000000-0008-0000-0700-00000F000000}"/>
            </a:ext>
          </a:extLst>
        </xdr:cNvPr>
        <xdr:cNvSpPr/>
      </xdr:nvSpPr>
      <xdr:spPr>
        <a:xfrm>
          <a:off x="2847975" y="4152900"/>
          <a:ext cx="228600"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147203</xdr:colOff>
      <xdr:row>33</xdr:row>
      <xdr:rowOff>38099</xdr:rowOff>
    </xdr:from>
    <xdr:to>
      <xdr:col>28</xdr:col>
      <xdr:colOff>412172</xdr:colOff>
      <xdr:row>37</xdr:row>
      <xdr:rowOff>10390</xdr:rowOff>
    </xdr:to>
    <xdr:sp macro="" textlink="">
      <xdr:nvSpPr>
        <xdr:cNvPr id="16" name="Down Arrow 15">
          <a:extLst>
            <a:ext uri="{FF2B5EF4-FFF2-40B4-BE49-F238E27FC236}">
              <a16:creationId xmlns:a16="http://schemas.microsoft.com/office/drawing/2014/main" id="{00000000-0008-0000-0700-000010000000}"/>
            </a:ext>
          </a:extLst>
        </xdr:cNvPr>
        <xdr:cNvSpPr/>
      </xdr:nvSpPr>
      <xdr:spPr>
        <a:xfrm>
          <a:off x="22102328" y="7010399"/>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247650</xdr:colOff>
      <xdr:row>19</xdr:row>
      <xdr:rowOff>85725</xdr:rowOff>
    </xdr:from>
    <xdr:to>
      <xdr:col>28</xdr:col>
      <xdr:colOff>495300</xdr:colOff>
      <xdr:row>19</xdr:row>
      <xdr:rowOff>247650</xdr:rowOff>
    </xdr:to>
    <xdr:sp macro="" textlink="">
      <xdr:nvSpPr>
        <xdr:cNvPr id="17" name="5-Point Star 16">
          <a:extLst>
            <a:ext uri="{FF2B5EF4-FFF2-40B4-BE49-F238E27FC236}">
              <a16:creationId xmlns:a16="http://schemas.microsoft.com/office/drawing/2014/main" id="{00000000-0008-0000-0700-000011000000}"/>
            </a:ext>
          </a:extLst>
        </xdr:cNvPr>
        <xdr:cNvSpPr/>
      </xdr:nvSpPr>
      <xdr:spPr>
        <a:xfrm>
          <a:off x="22202775" y="4152900"/>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26</xdr:col>
      <xdr:colOff>304800</xdr:colOff>
      <xdr:row>19</xdr:row>
      <xdr:rowOff>114300</xdr:rowOff>
    </xdr:from>
    <xdr:to>
      <xdr:col>26</xdr:col>
      <xdr:colOff>504825</xdr:colOff>
      <xdr:row>19</xdr:row>
      <xdr:rowOff>238125</xdr:rowOff>
    </xdr:to>
    <xdr:sp macro="" textlink="">
      <xdr:nvSpPr>
        <xdr:cNvPr id="18" name="Rectangle 17">
          <a:extLst>
            <a:ext uri="{FF2B5EF4-FFF2-40B4-BE49-F238E27FC236}">
              <a16:creationId xmlns:a16="http://schemas.microsoft.com/office/drawing/2014/main" id="{00000000-0008-0000-0700-000012000000}"/>
            </a:ext>
          </a:extLst>
        </xdr:cNvPr>
        <xdr:cNvSpPr/>
      </xdr:nvSpPr>
      <xdr:spPr>
        <a:xfrm>
          <a:off x="20545425" y="418147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27</xdr:col>
      <xdr:colOff>295275</xdr:colOff>
      <xdr:row>19</xdr:row>
      <xdr:rowOff>114299</xdr:rowOff>
    </xdr:from>
    <xdr:to>
      <xdr:col>27</xdr:col>
      <xdr:colOff>495300</xdr:colOff>
      <xdr:row>19</xdr:row>
      <xdr:rowOff>238124</xdr:rowOff>
    </xdr:to>
    <xdr:sp macro="" textlink="">
      <xdr:nvSpPr>
        <xdr:cNvPr id="19" name="Isosceles Triangle 18">
          <a:extLst>
            <a:ext uri="{FF2B5EF4-FFF2-40B4-BE49-F238E27FC236}">
              <a16:creationId xmlns:a16="http://schemas.microsoft.com/office/drawing/2014/main" id="{00000000-0008-0000-0700-000013000000}"/>
            </a:ext>
          </a:extLst>
        </xdr:cNvPr>
        <xdr:cNvSpPr/>
      </xdr:nvSpPr>
      <xdr:spPr>
        <a:xfrm>
          <a:off x="21393150" y="418147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147203</xdr:colOff>
      <xdr:row>33</xdr:row>
      <xdr:rowOff>28574</xdr:rowOff>
    </xdr:from>
    <xdr:to>
      <xdr:col>36</xdr:col>
      <xdr:colOff>412172</xdr:colOff>
      <xdr:row>37</xdr:row>
      <xdr:rowOff>865</xdr:rowOff>
    </xdr:to>
    <xdr:sp macro="" textlink="">
      <xdr:nvSpPr>
        <xdr:cNvPr id="23" name="Down Arrow 22">
          <a:extLst>
            <a:ext uri="{FF2B5EF4-FFF2-40B4-BE49-F238E27FC236}">
              <a16:creationId xmlns:a16="http://schemas.microsoft.com/office/drawing/2014/main" id="{00000000-0008-0000-0700-000017000000}"/>
            </a:ext>
          </a:extLst>
        </xdr:cNvPr>
        <xdr:cNvSpPr/>
      </xdr:nvSpPr>
      <xdr:spPr>
        <a:xfrm>
          <a:off x="28265003" y="700087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247650</xdr:colOff>
      <xdr:row>19</xdr:row>
      <xdr:rowOff>76200</xdr:rowOff>
    </xdr:from>
    <xdr:to>
      <xdr:col>36</xdr:col>
      <xdr:colOff>495300</xdr:colOff>
      <xdr:row>19</xdr:row>
      <xdr:rowOff>238125</xdr:rowOff>
    </xdr:to>
    <xdr:sp macro="" textlink="">
      <xdr:nvSpPr>
        <xdr:cNvPr id="24" name="5-Point Star 23">
          <a:extLst>
            <a:ext uri="{FF2B5EF4-FFF2-40B4-BE49-F238E27FC236}">
              <a16:creationId xmlns:a16="http://schemas.microsoft.com/office/drawing/2014/main" id="{00000000-0008-0000-0700-000018000000}"/>
            </a:ext>
          </a:extLst>
        </xdr:cNvPr>
        <xdr:cNvSpPr/>
      </xdr:nvSpPr>
      <xdr:spPr>
        <a:xfrm>
          <a:off x="2836545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34</xdr:col>
      <xdr:colOff>276225</xdr:colOff>
      <xdr:row>19</xdr:row>
      <xdr:rowOff>95250</xdr:rowOff>
    </xdr:from>
    <xdr:to>
      <xdr:col>34</xdr:col>
      <xdr:colOff>476250</xdr:colOff>
      <xdr:row>19</xdr:row>
      <xdr:rowOff>219075</xdr:rowOff>
    </xdr:to>
    <xdr:sp macro="" textlink="">
      <xdr:nvSpPr>
        <xdr:cNvPr id="25" name="Rectangle 24">
          <a:extLst>
            <a:ext uri="{FF2B5EF4-FFF2-40B4-BE49-F238E27FC236}">
              <a16:creationId xmlns:a16="http://schemas.microsoft.com/office/drawing/2014/main" id="{00000000-0008-0000-0700-000019000000}"/>
            </a:ext>
          </a:extLst>
        </xdr:cNvPr>
        <xdr:cNvSpPr/>
      </xdr:nvSpPr>
      <xdr:spPr>
        <a:xfrm>
          <a:off x="26679525" y="41624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35</xdr:col>
      <xdr:colOff>257175</xdr:colOff>
      <xdr:row>19</xdr:row>
      <xdr:rowOff>85724</xdr:rowOff>
    </xdr:from>
    <xdr:to>
      <xdr:col>35</xdr:col>
      <xdr:colOff>457200</xdr:colOff>
      <xdr:row>19</xdr:row>
      <xdr:rowOff>209549</xdr:rowOff>
    </xdr:to>
    <xdr:sp macro="" textlink="">
      <xdr:nvSpPr>
        <xdr:cNvPr id="26" name="Isosceles Triangle 25">
          <a:extLst>
            <a:ext uri="{FF2B5EF4-FFF2-40B4-BE49-F238E27FC236}">
              <a16:creationId xmlns:a16="http://schemas.microsoft.com/office/drawing/2014/main" id="{00000000-0008-0000-0700-00001A000000}"/>
            </a:ext>
          </a:extLst>
        </xdr:cNvPr>
        <xdr:cNvSpPr/>
      </xdr:nvSpPr>
      <xdr:spPr>
        <a:xfrm>
          <a:off x="27517725" y="4152899"/>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8" name="Picture 27">
          <a:extLst>
            <a:ext uri="{FF2B5EF4-FFF2-40B4-BE49-F238E27FC236}">
              <a16:creationId xmlns:a16="http://schemas.microsoft.com/office/drawing/2014/main" id="{00000000-0008-0000-0700-00001C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484908</xdr:colOff>
      <xdr:row>41</xdr:row>
      <xdr:rowOff>66675</xdr:rowOff>
    </xdr:from>
    <xdr:to>
      <xdr:col>5</xdr:col>
      <xdr:colOff>740352</xdr:colOff>
      <xdr:row>45</xdr:row>
      <xdr:rowOff>45893</xdr:rowOff>
    </xdr:to>
    <xdr:sp macro="" textlink="">
      <xdr:nvSpPr>
        <xdr:cNvPr id="8" name="Down Arrow 7">
          <a:extLst>
            <a:ext uri="{FF2B5EF4-FFF2-40B4-BE49-F238E27FC236}">
              <a16:creationId xmlns:a16="http://schemas.microsoft.com/office/drawing/2014/main" id="{00000000-0008-0000-0800-000008000000}"/>
            </a:ext>
          </a:extLst>
        </xdr:cNvPr>
        <xdr:cNvSpPr/>
      </xdr:nvSpPr>
      <xdr:spPr>
        <a:xfrm>
          <a:off x="4733058" y="7515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837333</xdr:colOff>
      <xdr:row>41</xdr:row>
      <xdr:rowOff>57150</xdr:rowOff>
    </xdr:from>
    <xdr:to>
      <xdr:col>17</xdr:col>
      <xdr:colOff>226002</xdr:colOff>
      <xdr:row>45</xdr:row>
      <xdr:rowOff>36368</xdr:rowOff>
    </xdr:to>
    <xdr:sp macro="" textlink="">
      <xdr:nvSpPr>
        <xdr:cNvPr id="9" name="Down Arrow 8">
          <a:extLst>
            <a:ext uri="{FF2B5EF4-FFF2-40B4-BE49-F238E27FC236}">
              <a16:creationId xmlns:a16="http://schemas.microsoft.com/office/drawing/2014/main" id="{00000000-0008-0000-0800-000009000000}"/>
            </a:ext>
          </a:extLst>
        </xdr:cNvPr>
        <xdr:cNvSpPr/>
      </xdr:nvSpPr>
      <xdr:spPr>
        <a:xfrm>
          <a:off x="137818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770658</xdr:colOff>
      <xdr:row>41</xdr:row>
      <xdr:rowOff>76200</xdr:rowOff>
    </xdr:from>
    <xdr:to>
      <xdr:col>27</xdr:col>
      <xdr:colOff>159327</xdr:colOff>
      <xdr:row>45</xdr:row>
      <xdr:rowOff>55418</xdr:rowOff>
    </xdr:to>
    <xdr:sp macro="" textlink="">
      <xdr:nvSpPr>
        <xdr:cNvPr id="10" name="Down Arrow 9">
          <a:extLst>
            <a:ext uri="{FF2B5EF4-FFF2-40B4-BE49-F238E27FC236}">
              <a16:creationId xmlns:a16="http://schemas.microsoft.com/office/drawing/2014/main" id="{00000000-0008-0000-0800-00000A000000}"/>
            </a:ext>
          </a:extLst>
        </xdr:cNvPr>
        <xdr:cNvSpPr/>
      </xdr:nvSpPr>
      <xdr:spPr>
        <a:xfrm>
          <a:off x="2176375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65808</xdr:colOff>
      <xdr:row>41</xdr:row>
      <xdr:rowOff>57150</xdr:rowOff>
    </xdr:from>
    <xdr:to>
      <xdr:col>37</xdr:col>
      <xdr:colOff>321252</xdr:colOff>
      <xdr:row>45</xdr:row>
      <xdr:rowOff>36368</xdr:rowOff>
    </xdr:to>
    <xdr:sp macro="" textlink="">
      <xdr:nvSpPr>
        <xdr:cNvPr id="11" name="Down Arrow 10">
          <a:extLst>
            <a:ext uri="{FF2B5EF4-FFF2-40B4-BE49-F238E27FC236}">
              <a16:creationId xmlns:a16="http://schemas.microsoft.com/office/drawing/2014/main" id="{00000000-0008-0000-0800-00000B000000}"/>
            </a:ext>
          </a:extLst>
        </xdr:cNvPr>
        <xdr:cNvSpPr/>
      </xdr:nvSpPr>
      <xdr:spPr>
        <a:xfrm>
          <a:off x="297076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46</xdr:col>
      <xdr:colOff>799233</xdr:colOff>
      <xdr:row>41</xdr:row>
      <xdr:rowOff>76200</xdr:rowOff>
    </xdr:from>
    <xdr:to>
      <xdr:col>47</xdr:col>
      <xdr:colOff>187902</xdr:colOff>
      <xdr:row>45</xdr:row>
      <xdr:rowOff>55418</xdr:rowOff>
    </xdr:to>
    <xdr:sp macro="" textlink="">
      <xdr:nvSpPr>
        <xdr:cNvPr id="12" name="Down Arrow 11">
          <a:extLst>
            <a:ext uri="{FF2B5EF4-FFF2-40B4-BE49-F238E27FC236}">
              <a16:creationId xmlns:a16="http://schemas.microsoft.com/office/drawing/2014/main" id="{00000000-0008-0000-0800-00000C000000}"/>
            </a:ext>
          </a:extLst>
        </xdr:cNvPr>
        <xdr:cNvSpPr/>
      </xdr:nvSpPr>
      <xdr:spPr>
        <a:xfrm>
          <a:off x="3786100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13</xdr:col>
      <xdr:colOff>0</xdr:colOff>
      <xdr:row>30</xdr:row>
      <xdr:rowOff>0</xdr:rowOff>
    </xdr:from>
    <xdr:to>
      <xdr:col>13</xdr:col>
      <xdr:colOff>790575</xdr:colOff>
      <xdr:row>31</xdr:row>
      <xdr:rowOff>9525</xdr:rowOff>
    </xdr:to>
    <xdr:pic>
      <xdr:nvPicPr>
        <xdr:cNvPr id="14" name="Picture 13">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44150" y="5581650"/>
          <a:ext cx="79057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1</xdr:col>
      <xdr:colOff>534031</xdr:colOff>
      <xdr:row>7</xdr:row>
      <xdr:rowOff>28575</xdr:rowOff>
    </xdr:to>
    <xdr:pic>
      <xdr:nvPicPr>
        <xdr:cNvPr id="15" name="Picture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giddings/AppData/Local/Microsoft/Windows/Temporary%20Internet%20Files/Content.Outlook/JFIBUCJW/LakefrontUtilities_APPL_2017COS_Load%20Forecast_Wholesale_201607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5.%20TESI%20UTILITIES\Lakefront\2017%20Cost%20of%20Service\IRs\LakefrontUtilities_APPL_2017COS_Filing_Requirements_Chapter2_Appendices_%2020160728%20updated%202-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LDC Info"/>
      <sheetName val="2. Customer Classes"/>
      <sheetName val="3. Consumption by Rate Class"/>
      <sheetName val="4. Customer Growth"/>
      <sheetName val="5.Variables"/>
      <sheetName val="6. WS Regression Analysis"/>
      <sheetName val="6.1 Regression Scenarios"/>
      <sheetName val="7. Weather Senstive Class"/>
      <sheetName val="8. KW and Non-Weather Sensitive"/>
      <sheetName val="9. Weather Adj LF"/>
      <sheetName val="10. CDM Adjustment"/>
      <sheetName val="10.CDM Allocation V2"/>
      <sheetName val="10.1 CDM Allocation"/>
      <sheetName val="11. Final Load Forecast"/>
      <sheetName val="13. Analysis_Weather adj LF"/>
      <sheetName val="12. Analysis_ Avg Per Cust"/>
      <sheetName val="A - CDM Adjustment"/>
      <sheetName val="A - CDM Adjustment V2"/>
      <sheetName val="Regression 1"/>
      <sheetName val="Regression 2"/>
    </sheetNames>
    <sheetDataSet>
      <sheetData sheetId="0"/>
      <sheetData sheetId="1"/>
      <sheetData sheetId="2"/>
      <sheetData sheetId="3"/>
      <sheetData sheetId="4">
        <row r="16">
          <cell r="B16" t="str">
            <v>HDD</v>
          </cell>
        </row>
        <row r="39">
          <cell r="B39" t="str">
            <v>CDD</v>
          </cell>
        </row>
        <row r="62">
          <cell r="B62" t="str">
            <v>Number of Days in Month</v>
          </cell>
        </row>
        <row r="90">
          <cell r="B90" t="str">
            <v xml:space="preserve">Spring and Fall </v>
          </cell>
        </row>
        <row r="104">
          <cell r="B104" t="str">
            <v>Peak Number of Hours</v>
          </cell>
        </row>
        <row r="120">
          <cell r="B120" t="str">
            <v>HDD</v>
          </cell>
        </row>
        <row r="121">
          <cell r="B121" t="str">
            <v>CDD</v>
          </cell>
        </row>
        <row r="122">
          <cell r="B122" t="str">
            <v>Number of Days in Month</v>
          </cell>
        </row>
        <row r="123">
          <cell r="B123" t="str">
            <v>GDP</v>
          </cell>
        </row>
        <row r="124">
          <cell r="B124" t="str">
            <v xml:space="preserve">Spring and Fall </v>
          </cell>
        </row>
        <row r="125">
          <cell r="B125" t="str">
            <v>Peak Number of Hours</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16">
          <cell r="E16" t="str">
            <v>EB-2016-0089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jefferies@renfrewhydro.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A1:AB34"/>
  <sheetViews>
    <sheetView showGridLines="0" topLeftCell="A4" workbookViewId="0">
      <selection activeCell="F29" sqref="F29"/>
    </sheetView>
  </sheetViews>
  <sheetFormatPr defaultRowHeight="12.75"/>
  <cols>
    <col min="1" max="1" width="13.6640625" style="1" customWidth="1"/>
    <col min="2" max="16384" width="9.33203125" style="1"/>
  </cols>
  <sheetData>
    <row r="1" spans="1:28">
      <c r="A1" s="626" t="s">
        <v>255</v>
      </c>
      <c r="B1" s="626"/>
    </row>
    <row r="10" spans="1:28" customFormat="1" ht="12.75" customHeight="1">
      <c r="B10" s="945"/>
      <c r="C10" s="945"/>
      <c r="D10" s="945"/>
      <c r="E10" s="945"/>
      <c r="F10" s="945"/>
      <c r="G10" s="945"/>
      <c r="H10" s="945"/>
      <c r="I10" s="945"/>
      <c r="J10" s="117"/>
      <c r="K10" s="117"/>
      <c r="L10" s="117"/>
      <c r="M10" s="117"/>
    </row>
    <row r="11" spans="1:28" customFormat="1" ht="23.25">
      <c r="B11" s="946" t="s">
        <v>99</v>
      </c>
      <c r="C11" s="946"/>
      <c r="D11" s="946"/>
      <c r="E11" s="946"/>
      <c r="F11" s="946"/>
      <c r="G11" s="946"/>
      <c r="H11" s="946"/>
      <c r="I11" s="946"/>
      <c r="J11" s="117"/>
      <c r="K11" s="117"/>
      <c r="L11" s="117"/>
      <c r="M11" s="117"/>
    </row>
    <row r="12" spans="1:28">
      <c r="M12"/>
    </row>
    <row r="13" spans="1:28" ht="15">
      <c r="B13" s="128" t="s">
        <v>85</v>
      </c>
      <c r="F13" s="120" t="s">
        <v>319</v>
      </c>
      <c r="G13" s="120"/>
      <c r="H13" s="120"/>
      <c r="I13" s="120"/>
      <c r="J13" s="120"/>
      <c r="K13" s="119"/>
      <c r="L13" s="119"/>
      <c r="AB13" s="115"/>
    </row>
    <row r="14" spans="1:28">
      <c r="B14" s="129"/>
      <c r="F14" s="118"/>
      <c r="G14" s="118"/>
      <c r="H14" s="118"/>
      <c r="I14" s="118"/>
      <c r="J14" s="118"/>
      <c r="AB14" s="115"/>
    </row>
    <row r="15" spans="1:28" ht="15">
      <c r="B15" s="128" t="s">
        <v>86</v>
      </c>
      <c r="F15" s="943" t="s">
        <v>320</v>
      </c>
      <c r="G15" s="943"/>
      <c r="H15" s="943"/>
      <c r="I15" s="943"/>
      <c r="J15" s="943"/>
      <c r="AB15" s="115"/>
    </row>
    <row r="16" spans="1:28">
      <c r="B16" s="44"/>
      <c r="AB16" s="115"/>
    </row>
    <row r="17" spans="2:28" ht="15">
      <c r="B17" s="128" t="s">
        <v>87</v>
      </c>
      <c r="F17" s="943" t="s">
        <v>321</v>
      </c>
      <c r="G17" s="943"/>
      <c r="H17" s="943"/>
      <c r="I17" s="943"/>
      <c r="J17" s="943"/>
      <c r="AB17" s="115"/>
    </row>
    <row r="18" spans="2:28">
      <c r="B18" s="44"/>
      <c r="AB18" s="115"/>
    </row>
    <row r="19" spans="2:28" ht="15">
      <c r="B19" s="128" t="s">
        <v>88</v>
      </c>
      <c r="F19" s="943" t="s">
        <v>322</v>
      </c>
      <c r="G19" s="943"/>
      <c r="H19" s="943"/>
      <c r="I19" s="943"/>
      <c r="J19" s="943"/>
      <c r="K19" s="944"/>
      <c r="L19" s="944"/>
      <c r="AB19" s="115"/>
    </row>
    <row r="20" spans="2:28">
      <c r="B20" s="129"/>
      <c r="F20" s="118"/>
      <c r="G20" s="118"/>
      <c r="H20" s="118"/>
      <c r="I20" s="118"/>
      <c r="J20" s="118"/>
      <c r="AB20" s="115"/>
    </row>
    <row r="21" spans="2:28" ht="15">
      <c r="B21" s="128" t="s">
        <v>89</v>
      </c>
      <c r="F21" s="943" t="s">
        <v>323</v>
      </c>
      <c r="G21" s="943"/>
      <c r="H21" s="943"/>
      <c r="I21" s="943"/>
      <c r="J21" s="943"/>
      <c r="AB21" s="115"/>
    </row>
    <row r="22" spans="2:28">
      <c r="B22" s="129"/>
      <c r="F22" s="118"/>
      <c r="G22" s="118"/>
      <c r="H22" s="118"/>
      <c r="I22" s="118"/>
      <c r="J22" s="118"/>
      <c r="AB22" s="115"/>
    </row>
    <row r="23" spans="2:28" ht="15">
      <c r="B23" s="128" t="s">
        <v>90</v>
      </c>
      <c r="F23" s="942" t="s">
        <v>324</v>
      </c>
      <c r="G23" s="943"/>
      <c r="H23" s="943"/>
      <c r="I23" s="943"/>
      <c r="J23" s="943"/>
      <c r="AB23" s="115"/>
    </row>
    <row r="24" spans="2:28">
      <c r="B24" s="129"/>
      <c r="F24" s="118"/>
      <c r="G24" s="118"/>
      <c r="H24" s="118"/>
      <c r="I24" s="118"/>
      <c r="J24" s="118"/>
      <c r="AB24" s="115"/>
    </row>
    <row r="25" spans="2:28" ht="15">
      <c r="B25" s="128" t="s">
        <v>91</v>
      </c>
      <c r="F25" s="131" t="s">
        <v>325</v>
      </c>
      <c r="G25" s="132"/>
      <c r="H25" s="132"/>
      <c r="I25" s="118"/>
      <c r="J25" s="118"/>
      <c r="AB25" s="115"/>
    </row>
    <row r="26" spans="2:28">
      <c r="B26" s="44"/>
      <c r="F26" s="23"/>
      <c r="G26" s="23"/>
      <c r="H26" s="23"/>
      <c r="AB26" s="115"/>
    </row>
    <row r="27" spans="2:28" ht="15">
      <c r="B27" s="128" t="s">
        <v>92</v>
      </c>
      <c r="F27" s="131" t="s">
        <v>326</v>
      </c>
      <c r="G27" s="132"/>
      <c r="H27" s="132"/>
      <c r="AB27" s="115"/>
    </row>
    <row r="28" spans="2:28">
      <c r="B28" s="130"/>
      <c r="F28" s="23"/>
      <c r="G28" s="23"/>
      <c r="H28" s="23"/>
      <c r="AB28" s="115"/>
    </row>
    <row r="29" spans="2:28" ht="15">
      <c r="B29" s="128" t="s">
        <v>93</v>
      </c>
      <c r="F29" s="131" t="s">
        <v>259</v>
      </c>
      <c r="G29" s="132"/>
      <c r="H29" s="132"/>
      <c r="AB29" s="115"/>
    </row>
    <row r="30" spans="2:28">
      <c r="AB30" s="115"/>
    </row>
    <row r="32" spans="2:28">
      <c r="B32" s="143" t="s">
        <v>258</v>
      </c>
    </row>
    <row r="33" spans="2:4">
      <c r="B33" s="1" t="s">
        <v>256</v>
      </c>
      <c r="D33" s="627"/>
    </row>
    <row r="34" spans="2:4">
      <c r="B34" s="1" t="s">
        <v>257</v>
      </c>
      <c r="D34" s="631"/>
    </row>
  </sheetData>
  <mergeCells count="8">
    <mergeCell ref="F23:J23"/>
    <mergeCell ref="K19:L19"/>
    <mergeCell ref="F21:J21"/>
    <mergeCell ref="B10:I10"/>
    <mergeCell ref="B11:I11"/>
    <mergeCell ref="F15:J15"/>
    <mergeCell ref="F17:J17"/>
    <mergeCell ref="F19:J19"/>
  </mergeCells>
  <hyperlinks>
    <hyperlink ref="F23" r:id="rId1" xr:uid="{FE7E33CF-1362-4909-B5F0-1EE99AF59812}"/>
  </hyperlinks>
  <pageMargins left="0.7" right="0.7" top="0.75" bottom="0.75" header="0.3" footer="0.3"/>
  <pageSetup paperSize="9" orientation="portrait" horizontalDpi="0"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68"/>
  <sheetViews>
    <sheetView showGridLines="0" tabSelected="1" topLeftCell="A14" workbookViewId="0">
      <selection activeCell="L39" sqref="L39"/>
    </sheetView>
  </sheetViews>
  <sheetFormatPr defaultColWidth="11.1640625" defaultRowHeight="12.75"/>
  <cols>
    <col min="1" max="1" width="13.6640625" style="1" customWidth="1"/>
    <col min="2" max="6" width="15.1640625" style="23" customWidth="1"/>
    <col min="7" max="7" width="17" style="23" customWidth="1"/>
    <col min="8" max="8" width="16.6640625" style="23" customWidth="1"/>
    <col min="9" max="9" width="17.83203125" style="23" customWidth="1"/>
    <col min="10" max="10" width="16.1640625" style="23" customWidth="1"/>
    <col min="11" max="12" width="4.33203125" style="23" customWidth="1"/>
    <col min="13" max="16" width="15.1640625" style="23" customWidth="1"/>
    <col min="17" max="21" width="15.1640625" style="1" customWidth="1"/>
    <col min="22" max="22" width="4.33203125" style="1" customWidth="1"/>
    <col min="23" max="29" width="15.1640625" style="1" customWidth="1"/>
    <col min="30" max="31" width="13.83203125" style="1" customWidth="1"/>
    <col min="32" max="32" width="2.33203125" style="1" customWidth="1"/>
    <col min="33" max="36" width="15.1640625" style="1" customWidth="1"/>
    <col min="37" max="37" width="16.33203125" style="1" bestFit="1" customWidth="1"/>
    <col min="38" max="38" width="15.1640625" style="1" customWidth="1"/>
    <col min="39" max="39" width="17" style="1" bestFit="1" customWidth="1"/>
    <col min="40" max="40" width="15.1640625" style="1" customWidth="1"/>
    <col min="41" max="41" width="20.33203125" style="1" customWidth="1"/>
    <col min="42" max="42" width="3.33203125" style="1" customWidth="1"/>
    <col min="43" max="51" width="15.1640625" style="1" customWidth="1"/>
    <col min="52" max="16384" width="11.1640625" style="1"/>
  </cols>
  <sheetData>
    <row r="1" spans="1:28">
      <c r="A1" s="626" t="s">
        <v>255</v>
      </c>
    </row>
    <row r="11" spans="1:28" ht="23.25">
      <c r="B11" s="114" t="s">
        <v>97</v>
      </c>
      <c r="C11" s="114"/>
      <c r="D11" s="114"/>
    </row>
    <row r="12" spans="1:28" ht="15" customHeight="1">
      <c r="B12" s="45" t="s">
        <v>63</v>
      </c>
      <c r="C12" s="114"/>
      <c r="D12" s="114"/>
    </row>
    <row r="13" spans="1:28" ht="15" customHeight="1">
      <c r="B13" s="85" t="s">
        <v>247</v>
      </c>
      <c r="C13" s="114"/>
      <c r="D13" s="114"/>
    </row>
    <row r="14" spans="1:28" ht="15" customHeight="1">
      <c r="B14" s="85" t="s">
        <v>248</v>
      </c>
      <c r="C14" s="114"/>
      <c r="D14" s="114"/>
    </row>
    <row r="15" spans="1:28" ht="15" customHeight="1">
      <c r="B15" s="85" t="s">
        <v>249</v>
      </c>
      <c r="C15" s="114"/>
      <c r="D15" s="114"/>
    </row>
    <row r="16" spans="1:28" ht="14.25">
      <c r="B16" s="85" t="s">
        <v>250</v>
      </c>
      <c r="Q16" s="23"/>
      <c r="R16" s="23"/>
      <c r="S16" s="23"/>
      <c r="T16" s="23"/>
      <c r="U16" s="23"/>
      <c r="V16" s="23"/>
      <c r="W16" s="23"/>
      <c r="X16" s="23"/>
      <c r="Y16" s="23"/>
      <c r="Z16" s="23"/>
      <c r="AA16" s="23"/>
      <c r="AB16" s="23"/>
    </row>
    <row r="17" spans="2:51" ht="15" thickBot="1">
      <c r="B17" s="85"/>
      <c r="Q17" s="23"/>
      <c r="R17" s="23"/>
      <c r="S17" s="23"/>
      <c r="T17" s="23"/>
      <c r="U17" s="23"/>
      <c r="V17" s="23"/>
      <c r="W17" s="23"/>
      <c r="X17" s="23"/>
      <c r="Y17" s="23"/>
      <c r="Z17" s="23"/>
      <c r="AA17" s="23"/>
      <c r="AB17" s="23"/>
    </row>
    <row r="18" spans="2:51" ht="12.75" customHeight="1" thickBot="1">
      <c r="B18" s="981" t="s">
        <v>327</v>
      </c>
      <c r="C18" s="982"/>
      <c r="D18" s="982"/>
      <c r="E18" s="982"/>
      <c r="F18" s="982"/>
      <c r="G18" s="982"/>
      <c r="H18" s="982"/>
      <c r="I18" s="982"/>
      <c r="J18" s="983"/>
      <c r="K18" s="151"/>
      <c r="L18" s="151"/>
      <c r="M18" s="981" t="s">
        <v>101</v>
      </c>
      <c r="N18" s="982"/>
      <c r="O18" s="982"/>
      <c r="P18" s="982"/>
      <c r="Q18" s="982"/>
      <c r="R18" s="982"/>
      <c r="S18" s="982"/>
      <c r="T18" s="982"/>
      <c r="U18" s="983"/>
      <c r="V18" s="151"/>
      <c r="W18" s="981" t="s">
        <v>102</v>
      </c>
      <c r="X18" s="982"/>
      <c r="Y18" s="982"/>
      <c r="Z18" s="982"/>
      <c r="AA18" s="982"/>
      <c r="AB18" s="982"/>
      <c r="AC18" s="982"/>
      <c r="AD18" s="982"/>
      <c r="AE18" s="983"/>
      <c r="AG18" s="981"/>
      <c r="AH18" s="982"/>
      <c r="AI18" s="982"/>
      <c r="AJ18" s="982"/>
      <c r="AK18" s="982"/>
      <c r="AL18" s="982"/>
      <c r="AM18" s="982"/>
      <c r="AN18" s="982"/>
      <c r="AO18" s="983"/>
      <c r="AQ18" s="981"/>
      <c r="AR18" s="982"/>
      <c r="AS18" s="982"/>
      <c r="AT18" s="982"/>
      <c r="AU18" s="982"/>
      <c r="AV18" s="982"/>
      <c r="AW18" s="982"/>
      <c r="AX18" s="982"/>
      <c r="AY18" s="983"/>
    </row>
    <row r="19" spans="2:51" ht="46.5" customHeight="1">
      <c r="B19" s="342" t="s">
        <v>33</v>
      </c>
      <c r="C19" s="424" t="s">
        <v>36</v>
      </c>
      <c r="D19" s="424" t="s">
        <v>230</v>
      </c>
      <c r="E19" s="340" t="s">
        <v>36</v>
      </c>
      <c r="F19" s="340" t="s">
        <v>37</v>
      </c>
      <c r="G19" s="340" t="s">
        <v>179</v>
      </c>
      <c r="H19" s="340" t="s">
        <v>177</v>
      </c>
      <c r="I19" s="340" t="s">
        <v>178</v>
      </c>
      <c r="J19" s="341" t="s">
        <v>41</v>
      </c>
      <c r="K19" s="151"/>
      <c r="L19" s="151"/>
      <c r="M19" s="342" t="s">
        <v>33</v>
      </c>
      <c r="N19" s="424" t="s">
        <v>36</v>
      </c>
      <c r="O19" s="424" t="s">
        <v>230</v>
      </c>
      <c r="P19" s="340" t="s">
        <v>36</v>
      </c>
      <c r="Q19" s="340" t="s">
        <v>37</v>
      </c>
      <c r="R19" s="340" t="s">
        <v>179</v>
      </c>
      <c r="S19" s="340" t="s">
        <v>177</v>
      </c>
      <c r="T19" s="340" t="s">
        <v>178</v>
      </c>
      <c r="U19" s="341" t="s">
        <v>41</v>
      </c>
      <c r="W19" s="322" t="s">
        <v>33</v>
      </c>
      <c r="X19" s="424" t="s">
        <v>36</v>
      </c>
      <c r="Y19" s="424" t="s">
        <v>230</v>
      </c>
      <c r="Z19" s="317" t="s">
        <v>36</v>
      </c>
      <c r="AA19" s="317" t="s">
        <v>37</v>
      </c>
      <c r="AB19" s="317" t="s">
        <v>179</v>
      </c>
      <c r="AC19" s="317" t="s">
        <v>177</v>
      </c>
      <c r="AD19" s="317" t="s">
        <v>178</v>
      </c>
      <c r="AE19" s="280" t="s">
        <v>41</v>
      </c>
      <c r="AG19" s="342" t="s">
        <v>33</v>
      </c>
      <c r="AH19" s="424" t="s">
        <v>36</v>
      </c>
      <c r="AI19" s="424" t="s">
        <v>230</v>
      </c>
      <c r="AJ19" s="317" t="s">
        <v>36</v>
      </c>
      <c r="AK19" s="340" t="s">
        <v>37</v>
      </c>
      <c r="AL19" s="340" t="s">
        <v>179</v>
      </c>
      <c r="AM19" s="340" t="s">
        <v>177</v>
      </c>
      <c r="AN19" s="340" t="s">
        <v>178</v>
      </c>
      <c r="AO19" s="341" t="s">
        <v>41</v>
      </c>
      <c r="AQ19" s="342" t="s">
        <v>33</v>
      </c>
      <c r="AR19" s="424" t="s">
        <v>36</v>
      </c>
      <c r="AS19" s="424" t="s">
        <v>230</v>
      </c>
      <c r="AT19" s="317" t="s">
        <v>36</v>
      </c>
      <c r="AU19" s="340" t="s">
        <v>37</v>
      </c>
      <c r="AV19" s="340" t="s">
        <v>179</v>
      </c>
      <c r="AW19" s="340" t="s">
        <v>177</v>
      </c>
      <c r="AX19" s="340" t="s">
        <v>178</v>
      </c>
      <c r="AY19" s="341" t="s">
        <v>41</v>
      </c>
    </row>
    <row r="20" spans="2:51">
      <c r="B20" s="78" t="s">
        <v>30</v>
      </c>
      <c r="C20" s="425"/>
      <c r="D20" s="425"/>
      <c r="E20" s="79"/>
      <c r="F20" s="79"/>
      <c r="G20" s="274"/>
      <c r="H20" s="274"/>
      <c r="I20" s="53"/>
      <c r="J20" s="319"/>
      <c r="K20" s="121"/>
      <c r="L20" s="121"/>
      <c r="M20" s="78" t="s">
        <v>30</v>
      </c>
      <c r="N20" s="425"/>
      <c r="O20" s="425"/>
      <c r="P20" s="79"/>
      <c r="Q20" s="79"/>
      <c r="R20" s="79"/>
      <c r="S20" s="79"/>
      <c r="T20" s="79"/>
      <c r="U20" s="80"/>
      <c r="W20" s="78" t="s">
        <v>30</v>
      </c>
      <c r="X20" s="425"/>
      <c r="Y20" s="425"/>
      <c r="Z20" s="79"/>
      <c r="AA20" s="79"/>
      <c r="AB20" s="79"/>
      <c r="AC20" s="79"/>
      <c r="AD20" s="79"/>
      <c r="AE20" s="198"/>
      <c r="AG20" s="78" t="s">
        <v>30</v>
      </c>
      <c r="AH20" s="425"/>
      <c r="AI20" s="425"/>
      <c r="AJ20" s="79"/>
      <c r="AK20" s="79"/>
      <c r="AL20" s="79"/>
      <c r="AM20" s="79"/>
      <c r="AN20" s="79"/>
      <c r="AO20" s="198"/>
      <c r="AQ20" s="78" t="s">
        <v>30</v>
      </c>
      <c r="AR20" s="425"/>
      <c r="AS20" s="425"/>
      <c r="AT20" s="79"/>
      <c r="AU20" s="79"/>
      <c r="AV20" s="79"/>
      <c r="AW20" s="79"/>
      <c r="AX20" s="79"/>
      <c r="AY20" s="198"/>
    </row>
    <row r="21" spans="2:51" ht="12.75" customHeight="1">
      <c r="B21" s="157">
        <f>'4. Customer Growth'!B17</f>
        <v>2013</v>
      </c>
      <c r="C21" s="51">
        <f>IF($B$18='2. Customer Classes'!$B$14,+SUM('3. Consumption by Rate Class'!$D$25:$D$36),+IF($B$18='2. Customer Classes'!$B$15,+SUM('3. Consumption by Rate Class'!$F$25:$F$36),+IF($B$18='2. Customer Classes'!$B$16,+SUM('3. Consumption by Rate Class'!$H$25:$H$36),+IF($B$18='2. Customer Classes'!$B$17,+SUM('3. Consumption by Rate Class'!$J$25:$J$36),+IF($B$18='2. Customer Classes'!$B$18,+SUM('3. Consumption by Rate Class'!$L$25:$L$36),+IF($B$18='2. Customer Classes'!$B$19,+SUM('3. Consumption by Rate Class'!$O$25:$O$36),IF($B$18='2. Customer Classes'!$B$20,+SUM('3. Consumption by Rate Class'!$R$25:$R$36),0)))))))</f>
        <v>44119354</v>
      </c>
      <c r="D21" s="383"/>
      <c r="E21" s="51">
        <f>+D21+C21</f>
        <v>44119354</v>
      </c>
      <c r="F21" s="51">
        <f>+IF($B$18='2. Customer Classes'!$B$18,+SUM('3. Consumption by Rate Class'!$M$25:$M$36),+IF($B$18='2. Customer Classes'!$B$19,+SUM('3. Consumption by Rate Class'!$P$25:$P$36),IF($B$18='2. Customer Classes'!$B$20,+SUM('3. Consumption by Rate Class'!$S$25:$S$36),0)))</f>
        <v>115812.49999999999</v>
      </c>
      <c r="G21" s="51">
        <f>IF($B$18='2. Customer Classes'!$B$14,+'4. Customer Growth'!$C17,+IF($B$18='2. Customer Classes'!$B$15,+'4. Customer Growth'!$E17,+IF($B$18='2. Customer Classes'!$B$16,+'4. Customer Growth'!$G17,+IF($B$18='2. Customer Classes'!$B$17,+'4. Customer Growth'!$I17,+IF($B$18='2. Customer Classes'!$B$18,+'4. Customer Growth'!$K17,+IF($B$18='2. Customer Classes'!$B$19,+'4. Customer Growth'!$M17,IF($B$18='2. Customer Classes'!$B$20,+'4. Customer Growth'!$O17,0)))))))</f>
        <v>59</v>
      </c>
      <c r="H21" s="318">
        <f>IF(F21&gt;0,+E21/G21,0)</f>
        <v>747785.6610169491</v>
      </c>
      <c r="I21" s="321">
        <f>IF(F21&gt;0,+F21/G21,0)</f>
        <v>1962.9237288135591</v>
      </c>
      <c r="J21" s="286">
        <f>IF(F21&gt;0,+F21/E21,0)</f>
        <v>2.6249817710386238E-3</v>
      </c>
      <c r="K21" s="149"/>
      <c r="L21" s="149"/>
      <c r="M21" s="157">
        <f t="shared" ref="M21:M32" si="0">B21</f>
        <v>2013</v>
      </c>
      <c r="N21" s="51">
        <f>IF($M$18='2. Customer Classes'!$B$14,+SUM('3. Consumption by Rate Class'!$D$25:$D$36),+IF($M$18='2. Customer Classes'!$B$15,+SUM('3. Consumption by Rate Class'!$F$25:$F$36),+IF($M$18='2. Customer Classes'!$B$16,+SUM('3. Consumption by Rate Class'!$H$25:$H$36),+IF($M$18='2. Customer Classes'!$B$17,+SUM('3. Consumption by Rate Class'!$J$25:$J$36),+IF($M$18='2. Customer Classes'!$B$18,+SUM('3. Consumption by Rate Class'!$L$25:$L$36),+IF($M$18='2. Customer Classes'!$B$19,+SUM('3. Consumption by Rate Class'!$O$25:$O$36),IF($M$18='2. Customer Classes'!$B$20,+SUM('3. Consumption by Rate Class'!$R$25:$R$36),0)))))))</f>
        <v>1118710</v>
      </c>
      <c r="O21" s="383"/>
      <c r="P21" s="51">
        <f>+N21+O21</f>
        <v>1118710</v>
      </c>
      <c r="Q21" s="53">
        <f>+IF($M$18='2. Customer Classes'!$B$18,+SUM('3. Consumption by Rate Class'!$M$25:$M$36),+IF($M$18='2. Customer Classes'!$B$19,+SUM('3. Consumption by Rate Class'!$P$25:$P$36),IF($M$18='2. Customer Classes'!$B$20,+SUM('3. Consumption by Rate Class'!$S$25:$S$36),0)))</f>
        <v>3104.3999999999992</v>
      </c>
      <c r="R21" s="53">
        <f>IF($M$18='2. Customer Classes'!$B$14,+'4. Customer Growth'!$C17,+IF($M$18='2. Customer Classes'!$B$15,+'4. Customer Growth'!$E17,+IF($M$18='2. Customer Classes'!$B$16,+'4. Customer Growth'!$G17,+IF($M$18='2. Customer Classes'!$B$17,+'4. Customer Growth'!$I17,+IF($M$18='2. Customer Classes'!$B$18,+'4. Customer Growth'!$K17,+IF($M$18='2. Customer Classes'!$B$19,+'4. Customer Growth'!$M17,IF($M$18='2. Customer Classes'!$B$20,+'4. Customer Growth'!$O17,0)))))))</f>
        <v>1190</v>
      </c>
      <c r="S21" s="318">
        <f>IF(Q21&gt;0,+P21/R21,0)</f>
        <v>940.09243697478996</v>
      </c>
      <c r="T21" s="321">
        <f>IF(Q21&gt;0,+Q21/R21,0)</f>
        <v>2.6087394957983188</v>
      </c>
      <c r="U21" s="286">
        <f>IF(Q21&gt;0,+Q21/P21,0)</f>
        <v>2.774981898794146E-3</v>
      </c>
      <c r="W21" s="157">
        <f t="shared" ref="W21:W32" si="1">B21</f>
        <v>2013</v>
      </c>
      <c r="X21" s="51">
        <f>IF($W$18='2. Customer Classes'!$B$14,+SUM('3. Consumption by Rate Class'!$D$25:$D$36),+IF($W$18='2. Customer Classes'!$B$15,+SUM('3. Consumption by Rate Class'!$F$25:$F$36),+IF($W$18='2. Customer Classes'!$B$16,+SUM('3. Consumption by Rate Class'!$H$25:$H$36),+IF($W$18='2. Customer Classes'!$B$17,+SUM('3. Consumption by Rate Class'!$J$25:$J$36),+IF($W$18='2. Customer Classes'!$B$18,+SUM('3. Consumption by Rate Class'!$L$25:$L$36),+IF($W$18='2. Customer Classes'!$B$19,+SUM('3. Consumption by Rate Class'!$O$25:$O$36),IF($W$18='2. Customer Classes'!$B$20,+SUM('3. Consumption by Rate Class'!$R$25:$R$36),0)))))))</f>
        <v>155619</v>
      </c>
      <c r="Y21" s="383"/>
      <c r="Z21" s="51">
        <f>+X21+Y21</f>
        <v>155619</v>
      </c>
      <c r="AA21" s="53">
        <f>+IF($W$18='2. Customer Classes'!$B$18,+SUM('3. Consumption by Rate Class'!$M$25:$M$36),+IF($W$18='2. Customer Classes'!$B$19,+SUM('3. Consumption by Rate Class'!$P$25:$P$36),IF($W$18='2. Customer Classes'!$B$20,+SUM('3. Consumption by Rate Class'!$S$25:$S$36),0)))</f>
        <v>0</v>
      </c>
      <c r="AB21" s="53">
        <f>IF($W$18='2. Customer Classes'!$B$14,+'4. Customer Growth'!$C17,+IF($W$18='2. Customer Classes'!$B$15,+'4. Customer Growth'!$E17,+IF($W$18='2. Customer Classes'!$B$16,+'4. Customer Growth'!$G17,+IF($W$18='2. Customer Classes'!$B$17,+'4. Customer Growth'!$I17,+IF($W$18='2. Customer Classes'!$B$18,+'4. Customer Growth'!$K17,+IF($W$18='2. Customer Classes'!$B$19,+'4. Customer Growth'!$M17,IF($W$18='2. Customer Classes'!$B$20,+'4. Customer Growth'!$O17,0)))))))</f>
        <v>33.5</v>
      </c>
      <c r="AC21" s="318">
        <f>IF(AA21&gt;0,+Z21/AB21,0)</f>
        <v>0</v>
      </c>
      <c r="AD21" s="321">
        <f>IF(AA21&gt;0,+AA21/AB21,0)</f>
        <v>0</v>
      </c>
      <c r="AE21" s="286">
        <f>IF(AA21&gt;0,+AA21/Z21,0)</f>
        <v>0</v>
      </c>
      <c r="AG21" s="299">
        <f>+B21</f>
        <v>2013</v>
      </c>
      <c r="AH21" s="51">
        <f>IF($AG$18='2. Customer Classes'!$B$14,+SUM('3. Consumption by Rate Class'!$D$25:$D$36),+IF($AG$18='2. Customer Classes'!$B$15,+SUM('3. Consumption by Rate Class'!$F$25:$F$36),+IF($AG$18='2. Customer Classes'!$B$16,+SUM('3. Consumption by Rate Class'!$H$25:$H$36),+IF($AG$18='2. Customer Classes'!$B$17,+SUM('3. Consumption by Rate Class'!$J$25:$J$36),+IF($AG$18='2. Customer Classes'!$B$18,+SUM('3. Consumption by Rate Class'!$L$25:$L$36),+IF($AG$18='2. Customer Classes'!$B$19,+SUM('3. Consumption by Rate Class'!$O$25:$O$36),IF($AG$18='2. Customer Classes'!$B$20,+SUM('3. Consumption by Rate Class'!$R$25:$R$36),IF($AG$18='2. Customer Classes'!$B$21,+SUM('3. Consumption by Rate Class'!$U$25:$U$36),0))))))))</f>
        <v>0</v>
      </c>
      <c r="AI21" s="383"/>
      <c r="AJ21" s="51">
        <f>+AH21+AI21</f>
        <v>0</v>
      </c>
      <c r="AK21" s="53">
        <f>+IF($AG$18='2. Customer Classes'!$B$18,+SUM('3. Consumption by Rate Class'!$M$25:$M$36),+IF($AG$18='2. Customer Classes'!$B$19,+SUM('3. Consumption by Rate Class'!$P$25:$P$36),IF($AG$18='2. Customer Classes'!$B$20,+SUM('3. Consumption by Rate Class'!$S$25:$S$36),IF($AG$18='2. Customer Classes'!$B$21,+SUM('3. Consumption by Rate Class'!$V$25:$V$36),0))))</f>
        <v>0</v>
      </c>
      <c r="AL21" s="53">
        <f>IF($AG$18='2. Customer Classes'!$B$14,+'4. Customer Growth'!$C17,+IF($AG$18='2. Customer Classes'!$B$15,+'4. Customer Growth'!$E17,+IF($AG$18='2. Customer Classes'!$B$16,+'4. Customer Growth'!$G17,+IF($AG$18='2. Customer Classes'!$B$17,+'4. Customer Growth'!$I17,+IF($AG$18='2. Customer Classes'!$B$18,+'4. Customer Growth'!$K17,+IF($AG$18='2. Customer Classes'!$B$19,+'4. Customer Growth'!$M17,IF($AG$18='2. Customer Classes'!$B$20,+'4. Customer Growth'!$O17,IF($AG$18='2. Customer Classes'!$B$21,+'4. Customer Growth'!$Q17,0))))))))</f>
        <v>0</v>
      </c>
      <c r="AM21" s="318">
        <f>IF(AK21&gt;0,+AJ21/AL21,0)</f>
        <v>0</v>
      </c>
      <c r="AN21" s="321">
        <f>IF(AK21&gt;0,+AK21/AL21,0)</f>
        <v>0</v>
      </c>
      <c r="AO21" s="286">
        <f>IF(AK21&gt;0,+AK21/AJ21,0)</f>
        <v>0</v>
      </c>
      <c r="AQ21" s="299">
        <f>+B21</f>
        <v>2013</v>
      </c>
      <c r="AR21" s="51">
        <f>IF($AQ$18='2. Customer Classes'!$B$14,+SUM('3. Consumption by Rate Class'!$D$25:$D$36),+IF($AQ$18='2. Customer Classes'!$B$15,+SUM('3. Consumption by Rate Class'!$F$25:$F$36),+IF($AQ$18='2. Customer Classes'!$B$16,+SUM('3. Consumption by Rate Class'!$H$25:$H$36),+IF($AQ$18='2. Customer Classes'!$B$17,+SUM('3. Consumption by Rate Class'!$J$25:$J$36),+IF($AQ$18='2. Customer Classes'!$B$18,+SUM('3. Consumption by Rate Class'!$L$25:$L$36),+IF($AQ$18='2. Customer Classes'!$B$19,+SUM('3. Consumption by Rate Class'!$O$25:$O$36),IF($AQ$18='2. Customer Classes'!$B$20,+SUM('3. Consumption by Rate Class'!$R$25:$R$36),0)))))))</f>
        <v>0</v>
      </c>
      <c r="AS21" s="383"/>
      <c r="AT21" s="51">
        <f>+AR21+AS21</f>
        <v>0</v>
      </c>
      <c r="AU21" s="53">
        <f>+IF($AQ$18='2. Customer Classes'!$B$18,+SUM('3. Consumption by Rate Class'!$M$25:$M$36),+IF($AQ$18='2. Customer Classes'!$B$19,+SUM('3. Consumption by Rate Class'!$P$25:$P$36),IF($AQ$18='2. Customer Classes'!$B$20,+SUM('3. Consumption by Rate Class'!$S$25:$S$36),0)))</f>
        <v>0</v>
      </c>
      <c r="AV21" s="53">
        <f>IF($AQ$18='2. Customer Classes'!$B$14,+'4. Customer Growth'!$C17,+IF($AQ$18='2. Customer Classes'!$B$15,+'4. Customer Growth'!$E17,+IF($AQ$18='2. Customer Classes'!$B$16,+'4. Customer Growth'!$G17,+IF($AQ$18='2. Customer Classes'!$B$17,+'4. Customer Growth'!$I17,+IF($AQ$18='2. Customer Classes'!$B$18,+'4. Customer Growth'!$K17,+IF($AQ$18='2. Customer Classes'!$B$19,+'4. Customer Growth'!$M17,IF($AQ$18='2. Customer Classes'!$B$20,+'4. Customer Growth'!$O17,0)))))))</f>
        <v>0</v>
      </c>
      <c r="AW21" s="318">
        <f>IF(AV21&gt;0,+AT21/AV21,0)</f>
        <v>0</v>
      </c>
      <c r="AX21" s="321">
        <f>IF(AU21&gt;0,+AU21/AV21,0)</f>
        <v>0</v>
      </c>
      <c r="AY21" s="286">
        <f>IF(AU21&gt;0,+AU21/AT21,0)</f>
        <v>0</v>
      </c>
    </row>
    <row r="22" spans="2:51" ht="12.75" customHeight="1">
      <c r="B22" s="157">
        <f>'4. Customer Growth'!B18</f>
        <v>2014</v>
      </c>
      <c r="C22" s="51">
        <f>IF($B$18='2. Customer Classes'!$B$14,+SUM('3. Consumption by Rate Class'!$D$37:$D$48),+IF($B$18='2. Customer Classes'!$B$15,+SUM('3. Consumption by Rate Class'!$F$37:$F$48),+IF($B$18='2. Customer Classes'!$B$16,+SUM('3. Consumption by Rate Class'!$H$37:$H$48),+IF($B$18='2. Customer Classes'!$B$17,+SUM('3. Consumption by Rate Class'!$J$37:$J$48),+IF($B$18='2. Customer Classes'!$B$18,+SUM('3. Consumption by Rate Class'!$L$37:$L$48),+IF($B$18='2. Customer Classes'!$B$19,+SUM('3. Consumption by Rate Class'!$O$37:$O$48),IF($B$18='2. Customer Classes'!$B$20,+SUM('3. Consumption by Rate Class'!$R$37:$R$48),0)))))))</f>
        <v>43640624</v>
      </c>
      <c r="D22" s="383"/>
      <c r="E22" s="51">
        <f t="shared" ref="E22:E32" si="2">+D22+C22</f>
        <v>43640624</v>
      </c>
      <c r="F22" s="51">
        <f>+IF($B$18='2. Customer Classes'!$B$18,+SUM('3. Consumption by Rate Class'!$M$37:$M$48),+IF($B$18='2. Customer Classes'!$B$19,+SUM('3. Consumption by Rate Class'!$P$37:$P$48),IF($B$18='2. Customer Classes'!$B$20,+SUM('3. Consumption by Rate Class'!$S$37:$S$48),0)))</f>
        <v>114180.1</v>
      </c>
      <c r="G22" s="51">
        <f>IF($B$18='2. Customer Classes'!$B$14,+'4. Customer Growth'!$C18,+IF($B$18='2. Customer Classes'!$B$15,+'4. Customer Growth'!$E18,+IF($B$18='2. Customer Classes'!$B$16,+'4. Customer Growth'!$G18,+IF($B$18='2. Customer Classes'!$B$17,+'4. Customer Growth'!$I18,+IF($B$18='2. Customer Classes'!$B$18,+'4. Customer Growth'!$K18,+IF($B$18='2. Customer Classes'!$B$19,+'4. Customer Growth'!$M18,IF($B$18='2. Customer Classes'!$B$20,+'4. Customer Growth'!$O18,0)))))))</f>
        <v>60</v>
      </c>
      <c r="H22" s="318">
        <f t="shared" ref="H22:H31" si="3">IF(F22&gt;0,+E22/G22,0)</f>
        <v>727343.73333333328</v>
      </c>
      <c r="I22" s="321">
        <f t="shared" ref="I22:I32" si="4">IF(F22&gt;0,+F22/G22,0)</f>
        <v>1903.0016666666668</v>
      </c>
      <c r="J22" s="286">
        <f t="shared" ref="J22:J30" si="5">IF(F22&gt;0,+F22/E22,0)</f>
        <v>2.6163718465620476E-3</v>
      </c>
      <c r="K22" s="149"/>
      <c r="L22" s="149"/>
      <c r="M22" s="157">
        <f t="shared" si="0"/>
        <v>2014</v>
      </c>
      <c r="N22" s="51">
        <f>IF($M$18='2. Customer Classes'!$B$14,+SUM('3. Consumption by Rate Class'!$D$37:$D$48),+IF($M$18='2. Customer Classes'!$B$15,+SUM('3. Consumption by Rate Class'!$F$37:$F$48),+IF($M$18='2. Customer Classes'!$B$16,+SUM('3. Consumption by Rate Class'!$H$37:$H$48),+IF($M$18='2. Customer Classes'!$B$17,+SUM('3. Consumption by Rate Class'!$J$37:$J$48),+IF($M$18='2. Customer Classes'!$B$18,+SUM('3. Consumption by Rate Class'!$L$37:$L$48),+IF($M$18='2. Customer Classes'!$B$19,+SUM('3. Consumption by Rate Class'!$O$37:$O$48),IF($M$18='2. Customer Classes'!$B$20,+SUM('3. Consumption by Rate Class'!$R$37:$R$48),0)))))))</f>
        <v>1121519</v>
      </c>
      <c r="O22" s="383"/>
      <c r="P22" s="51">
        <f t="shared" ref="P22:P32" si="6">+N22+O22</f>
        <v>1121519</v>
      </c>
      <c r="Q22" s="53">
        <f>+IF($M$18='2. Customer Classes'!$B$18,+SUM('3. Consumption by Rate Class'!$M$37:$M$48),+IF($M$18='2. Customer Classes'!$B$19,+SUM('3. Consumption by Rate Class'!$P$37:$P$48),IF($M$18='2. Customer Classes'!$B$20,+SUM('3. Consumption by Rate Class'!$S$37:$S$48),0)))</f>
        <v>3109.900000000001</v>
      </c>
      <c r="R22" s="53">
        <f>IF($M$18='2. Customer Classes'!$B$14,+'4. Customer Growth'!$C18,+IF($M$18='2. Customer Classes'!$B$15,+'4. Customer Growth'!$E18,+IF($M$18='2. Customer Classes'!$B$16,+'4. Customer Growth'!$G18,+IF($M$18='2. Customer Classes'!$B$17,+'4. Customer Growth'!$I18,+IF($M$18='2. Customer Classes'!$B$18,+'4. Customer Growth'!$K18,+IF($M$18='2. Customer Classes'!$B$19,+'4. Customer Growth'!$M18,IF($M$18='2. Customer Classes'!$B$20,+'4. Customer Growth'!$O18,0)))))))</f>
        <v>1190</v>
      </c>
      <c r="S22" s="318">
        <f t="shared" ref="S22:S32" si="7">IF(Q22&gt;0,+P22/R22,0)</f>
        <v>942.45294117647063</v>
      </c>
      <c r="T22" s="321">
        <f t="shared" ref="T22:T32" si="8">IF(Q22&gt;0,+Q22/R22,0)</f>
        <v>2.6133613445378159</v>
      </c>
      <c r="U22" s="286">
        <f t="shared" ref="U22:U32" si="9">IF(Q22&gt;0,+Q22/P22,0)</f>
        <v>2.7729356346169803E-3</v>
      </c>
      <c r="W22" s="157">
        <f t="shared" si="1"/>
        <v>2014</v>
      </c>
      <c r="X22" s="51">
        <f>IF($W$18='2. Customer Classes'!$B$14,+SUM('3. Consumption by Rate Class'!$D$37:$D$48),+IF($W$18='2. Customer Classes'!$B$15,+SUM('3. Consumption by Rate Class'!$F$37:$F$48),+IF($W$18='2. Customer Classes'!$B$16,+SUM('3. Consumption by Rate Class'!$H$37:$H$48),+IF($W$18='2. Customer Classes'!$B$17,+SUM('3. Consumption by Rate Class'!$J$37:$J$48),+IF($W$18='2. Customer Classes'!$B$18,+SUM('3. Consumption by Rate Class'!$L$37:$L$48),+IF($W$18='2. Customer Classes'!$B$19,+SUM('3. Consumption by Rate Class'!$O$37:$O$48),IF($W$18='2. Customer Classes'!$B$20,+SUM('3. Consumption by Rate Class'!$R$37:$R$48),0)))))))</f>
        <v>155019</v>
      </c>
      <c r="Y22" s="383"/>
      <c r="Z22" s="51">
        <f t="shared" ref="Z22:Z32" si="10">+X22+Y22</f>
        <v>155019</v>
      </c>
      <c r="AA22" s="53">
        <f>+IF($W$18='2. Customer Classes'!$B$18,+SUM('3. Consumption by Rate Class'!$M$37:$M$48),+IF($W$18='2. Customer Classes'!$B$19,+SUM('3. Consumption by Rate Class'!$P$37:$P$48),IF($W$18='2. Customer Classes'!$B$20,+SUM('3. Consumption by Rate Class'!$S$37:$S$48),0)))</f>
        <v>0</v>
      </c>
      <c r="AB22" s="53">
        <f>IF($W$18='2. Customer Classes'!$B$14,+'4. Customer Growth'!$C18,+IF($W$18='2. Customer Classes'!$B$15,+'4. Customer Growth'!$E18,+IF($W$18='2. Customer Classes'!$B$16,+'4. Customer Growth'!$G18,+IF($W$18='2. Customer Classes'!$B$17,+'4. Customer Growth'!$I18,+IF($W$18='2. Customer Classes'!$B$18,+'4. Customer Growth'!$K18,+IF($W$18='2. Customer Classes'!$B$19,+'4. Customer Growth'!$M18,IF($W$18='2. Customer Classes'!$B$20,+'4. Customer Growth'!$O18,0)))))))</f>
        <v>33</v>
      </c>
      <c r="AC22" s="318">
        <f t="shared" ref="AC22:AC32" si="11">IF(AA22&gt;0,+Z22/AB22,0)</f>
        <v>0</v>
      </c>
      <c r="AD22" s="321">
        <f t="shared" ref="AD22:AD32" si="12">IF(AA22&gt;0,+AA22/AB22,0)</f>
        <v>0</v>
      </c>
      <c r="AE22" s="286">
        <f t="shared" ref="AE22:AE32" si="13">IF(AA22&gt;0,+AA22/Z22,0)</f>
        <v>0</v>
      </c>
      <c r="AG22" s="299">
        <f t="shared" ref="AG22:AG32" si="14">+B22</f>
        <v>2014</v>
      </c>
      <c r="AH22" s="51">
        <f>IF($AG$18='2. Customer Classes'!$B$14,+SUM('3. Consumption by Rate Class'!$D$37:$D$48),+IF($AG$18='2. Customer Classes'!$B$15,+SUM('3. Consumption by Rate Class'!$F$37:$F$48),+IF($AG$18='2. Customer Classes'!$B$16,+SUM('3. Consumption by Rate Class'!$H$37:$H$48),+IF($AG$18='2. Customer Classes'!$B$17,+SUM('3. Consumption by Rate Class'!$J$37:$J$48),+IF($AG$18='2. Customer Classes'!$B$18,+SUM('3. Consumption by Rate Class'!$L$37:$L$48),+IF($AG$18='2. Customer Classes'!$B$19,+SUM('3. Consumption by Rate Class'!$O$37:$O$48),IF($AG$18='2. Customer Classes'!$B$20,+SUM('3. Consumption by Rate Class'!$R$37:$R$48),IF($AG$18='2. Customer Classes'!$B$21,+SUM('3. Consumption by Rate Class'!$U$37:$U$48),0))))))))</f>
        <v>0</v>
      </c>
      <c r="AI22" s="383"/>
      <c r="AJ22" s="51">
        <f t="shared" ref="AJ22:AJ32" si="15">+AH22+AI22</f>
        <v>0</v>
      </c>
      <c r="AK22" s="53">
        <f>+IF($AG$18='2. Customer Classes'!$B$18,+SUM('3. Consumption by Rate Class'!$M$37:$M$48),+IF($AG$18='2. Customer Classes'!$B$19,+SUM('3. Consumption by Rate Class'!$P$37:$P$48),IF($AG$18='2. Customer Classes'!$B$20,+SUM('3. Consumption by Rate Class'!$S$37:$S$48),IF($AG$18='2. Customer Classes'!$B$21,+SUM('3. Consumption by Rate Class'!$V$37:$V$48),0))))</f>
        <v>0</v>
      </c>
      <c r="AL22" s="53">
        <f>IF($AG$18='2. Customer Classes'!$B$14,+'4. Customer Growth'!$C18,+IF($AG$18='2. Customer Classes'!$B$15,+'4. Customer Growth'!$E18,+IF($AG$18='2. Customer Classes'!$B$16,+'4. Customer Growth'!$G18,+IF($AG$18='2. Customer Classes'!$B$17,+'4. Customer Growth'!$I18,+IF($AG$18='2. Customer Classes'!$B$18,+'4. Customer Growth'!$K18,+IF($AG$18='2. Customer Classes'!$B$19,+'4. Customer Growth'!$M18,IF($AG$18='2. Customer Classes'!$B$20,+'4. Customer Growth'!$O18,IF($AG$18='2. Customer Classes'!$B$21,+'4. Customer Growth'!$Q18,0))))))))</f>
        <v>0</v>
      </c>
      <c r="AM22" s="318">
        <f>IF(AK22&gt;0,+AJ22/AL22,0)</f>
        <v>0</v>
      </c>
      <c r="AN22" s="321">
        <f t="shared" ref="AN22:AN32" si="16">IF(AK22&gt;0,+AK22/AL22,0)</f>
        <v>0</v>
      </c>
      <c r="AO22" s="286">
        <f t="shared" ref="AO22:AO32" si="17">IF(AK22&gt;0,+AK22/AJ22,0)</f>
        <v>0</v>
      </c>
      <c r="AQ22" s="299">
        <f t="shared" ref="AQ22:AQ32" si="18">+B22</f>
        <v>2014</v>
      </c>
      <c r="AR22" s="51">
        <f>IF($AQ$18='2. Customer Classes'!$B$14,+SUM('3. Consumption by Rate Class'!$D$37:$D$48),+IF($AQ$18='2. Customer Classes'!$B$15,+SUM('3. Consumption by Rate Class'!$F$37:$F$48),+IF($AQ$18='2. Customer Classes'!$B$16,+SUM('3. Consumption by Rate Class'!$H$37:$H$48),+IF($AQ$18='2. Customer Classes'!$B$17,+SUM('3. Consumption by Rate Class'!$J$37:$J$48),+IF($AQ$18='2. Customer Classes'!$B$18,+SUM('3. Consumption by Rate Class'!$L$37:$L$48),+IF($AQ$18='2. Customer Classes'!$B$19,+SUM('3. Consumption by Rate Class'!$O$37:$O$48),IF($AQ$18='2. Customer Classes'!$B$20,+SUM('3. Consumption by Rate Class'!$R$37:$R$48),0)))))))</f>
        <v>0</v>
      </c>
      <c r="AS22" s="383"/>
      <c r="AT22" s="51">
        <f t="shared" ref="AT22:AT32" si="19">+AR22+AS22</f>
        <v>0</v>
      </c>
      <c r="AU22" s="53">
        <f>+IF($AQ$18='2. Customer Classes'!$B$18,+SUM('3. Consumption by Rate Class'!$M$37:$M$48),+IF($AQ$18='2. Customer Classes'!$B$19,+SUM('3. Consumption by Rate Class'!$P$37:$P$48),IF($AQ$18='2. Customer Classes'!$B$20,+SUM('3. Consumption by Rate Class'!$S$37:$S$48),0)))</f>
        <v>0</v>
      </c>
      <c r="AV22" s="53">
        <f>IF($AQ$18='2. Customer Classes'!$B$14,+'4. Customer Growth'!$C18,+IF($AQ$18='2. Customer Classes'!$B$15,+'4. Customer Growth'!$E18,+IF($AQ$18='2. Customer Classes'!$B$16,+'4. Customer Growth'!$G18,+IF($AQ$18='2. Customer Classes'!$B$17,+'4. Customer Growth'!$I18,+IF($AQ$18='2. Customer Classes'!$B$18,+'4. Customer Growth'!$K18,+IF($AQ$18='2. Customer Classes'!$B$19,+'4. Customer Growth'!$M18,IF($AQ$18='2. Customer Classes'!$B$20,+'4. Customer Growth'!$O18,0)))))))</f>
        <v>0</v>
      </c>
      <c r="AW22" s="318">
        <f t="shared" ref="AW22:AW32" si="20">IF(AV22&gt;0,+AT22/AV22,0)</f>
        <v>0</v>
      </c>
      <c r="AX22" s="321">
        <f t="shared" ref="AX22:AX32" si="21">IF(AU22&gt;0,+AU22/AV22,0)</f>
        <v>0</v>
      </c>
      <c r="AY22" s="286">
        <f t="shared" ref="AY22:AY30" si="22">IF(AU22&gt;0,+AU22/AT22,0)</f>
        <v>0</v>
      </c>
    </row>
    <row r="23" spans="2:51" ht="12.75" customHeight="1">
      <c r="B23" s="157">
        <f>'4. Customer Growth'!B19</f>
        <v>2015</v>
      </c>
      <c r="C23" s="51">
        <f>IF($B$18='2. Customer Classes'!$B$14,+SUM('3. Consumption by Rate Class'!$D$49:$D$60),+IF($B$18='2. Customer Classes'!$B$15,+SUM('3. Consumption by Rate Class'!$F$49:$F$60),+IF($B$18='2. Customer Classes'!$B$16,+SUM('3. Consumption by Rate Class'!$H$49:$H$60),+IF($B$18='2. Customer Classes'!$B$17,+SUM('3. Consumption by Rate Class'!$J$49:$J$60),+IF($B$18='2. Customer Classes'!$B$18,+SUM('3. Consumption by Rate Class'!$L$49:$L$60),+IF($B$18='2. Customer Classes'!$B$19,+SUM('3. Consumption by Rate Class'!$O$49:$O$60),IF($B$18='2. Customer Classes'!$B$20,+SUM('3. Consumption by Rate Class'!$R$49:$R$60),0)))))))</f>
        <v>45095566</v>
      </c>
      <c r="D23" s="383"/>
      <c r="E23" s="51">
        <f t="shared" si="2"/>
        <v>45095566</v>
      </c>
      <c r="F23" s="51">
        <f>+IF($B$18='2. Customer Classes'!$B$18,+SUM('3. Consumption by Rate Class'!$M$49:$M$60),+IF($B$18='2. Customer Classes'!$B$19,+SUM('3. Consumption by Rate Class'!$P$49:$P$60),IF($B$18='2. Customer Classes'!$B$20,+SUM('3. Consumption by Rate Class'!$S$49:$S$60),0)))</f>
        <v>113921.99999999999</v>
      </c>
      <c r="G23" s="51">
        <f>IF($B$18='2. Customer Classes'!$B$14,+'4. Customer Growth'!$C19,+IF($B$18='2. Customer Classes'!$B$15,+'4. Customer Growth'!$E19,+IF($B$18='2. Customer Classes'!$B$16,+'4. Customer Growth'!$G19,+IF($B$18='2. Customer Classes'!$B$17,+'4. Customer Growth'!$I19,+IF($B$18='2. Customer Classes'!$B$18,+'4. Customer Growth'!$K19,+IF($B$18='2. Customer Classes'!$B$19,+'4. Customer Growth'!$M19,IF($B$18='2. Customer Classes'!$B$20,+'4. Customer Growth'!$O19,0)))))))</f>
        <v>61</v>
      </c>
      <c r="H23" s="318">
        <f t="shared" si="3"/>
        <v>739271.57377049176</v>
      </c>
      <c r="I23" s="321">
        <f t="shared" si="4"/>
        <v>1867.5737704918031</v>
      </c>
      <c r="J23" s="286">
        <f t="shared" si="5"/>
        <v>2.526235062666693E-3</v>
      </c>
      <c r="K23" s="149"/>
      <c r="L23" s="149"/>
      <c r="M23" s="157">
        <f t="shared" si="0"/>
        <v>2015</v>
      </c>
      <c r="N23" s="51">
        <f>IF($M$18='2. Customer Classes'!$B$14,+SUM('3. Consumption by Rate Class'!$D$49:$D$60),+IF($M$18='2. Customer Classes'!$B$15,+SUM('3. Consumption by Rate Class'!$F$49:$F$60),+IF($M$18='2. Customer Classes'!$B$16,+SUM('3. Consumption by Rate Class'!$H$49:$H$60),+IF($M$18='2. Customer Classes'!$B$17,+SUM('3. Consumption by Rate Class'!$J$49:$J$60),+IF($M$18='2. Customer Classes'!$B$18,+SUM('3. Consumption by Rate Class'!$L$49:$L$60),+IF($M$18='2. Customer Classes'!$B$19,+SUM('3. Consumption by Rate Class'!$O$49:$O$60),IF($M$18='2. Customer Classes'!$B$20,+SUM('3. Consumption by Rate Class'!$R$49:$R$60),0)))))))</f>
        <v>1123682</v>
      </c>
      <c r="O23" s="383"/>
      <c r="P23" s="51">
        <f t="shared" si="6"/>
        <v>1123682</v>
      </c>
      <c r="Q23" s="53">
        <f>+IF($M$18='2. Customer Classes'!$B$18,+SUM('3. Consumption by Rate Class'!$M$49:$M$60),+IF($M$18='2. Customer Classes'!$B$19,+SUM('3. Consumption by Rate Class'!$P$49:$P$60),IF($M$18='2. Customer Classes'!$B$20,+SUM('3. Consumption by Rate Class'!$S$49:$S$60),0)))</f>
        <v>3117.6000000000008</v>
      </c>
      <c r="R23" s="53">
        <f>IF($M$18='2. Customer Classes'!$B$14,+'4. Customer Growth'!$C19,+IF($M$18='2. Customer Classes'!$B$15,+'4. Customer Growth'!$E19,+IF($M$18='2. Customer Classes'!$B$16,+'4. Customer Growth'!$G19,+IF($M$18='2. Customer Classes'!$B$17,+'4. Customer Growth'!$I19,+IF($M$18='2. Customer Classes'!$B$18,+'4. Customer Growth'!$K19,+IF($M$18='2. Customer Classes'!$B$19,+'4. Customer Growth'!$M19,IF($M$18='2. Customer Classes'!$B$20,+'4. Customer Growth'!$O19,0)))))))</f>
        <v>1190</v>
      </c>
      <c r="S23" s="318">
        <f t="shared" si="7"/>
        <v>944.2705882352941</v>
      </c>
      <c r="T23" s="321">
        <f t="shared" si="8"/>
        <v>2.6198319327731099</v>
      </c>
      <c r="U23" s="286">
        <f t="shared" si="9"/>
        <v>2.774450422806453E-3</v>
      </c>
      <c r="W23" s="157">
        <f t="shared" si="1"/>
        <v>2015</v>
      </c>
      <c r="X23" s="51">
        <f>IF($W$18='2. Customer Classes'!$B$14,+SUM('3. Consumption by Rate Class'!$D$49:$D$60),+IF($W$18='2. Customer Classes'!$B$15,+SUM('3. Consumption by Rate Class'!$F$49:$F$60),+IF($W$18='2. Customer Classes'!$B$16,+SUM('3. Consumption by Rate Class'!$H$49:$H$60),+IF($W$18='2. Customer Classes'!$B$17,+SUM('3. Consumption by Rate Class'!$J$49:$J$60),+IF($W$18='2. Customer Classes'!$B$18,+SUM('3. Consumption by Rate Class'!$L$49:$L$60),+IF($W$18='2. Customer Classes'!$B$19,+SUM('3. Consumption by Rate Class'!$O$49:$O$60),IF($W$18='2. Customer Classes'!$B$20,+SUM('3. Consumption by Rate Class'!$R$49:$R$60),0)))))))</f>
        <v>155364</v>
      </c>
      <c r="Y23" s="383"/>
      <c r="Z23" s="51">
        <f t="shared" si="10"/>
        <v>155364</v>
      </c>
      <c r="AA23" s="53">
        <f>+IF($W$18='2. Customer Classes'!$B$18,+SUM('3. Consumption by Rate Class'!$M$49:$M$60),+IF($W$18='2. Customer Classes'!$B$19,+SUM('3. Consumption by Rate Class'!$P$49:$P$60),IF($W$18='2. Customer Classes'!$B$20,+SUM('3. Consumption by Rate Class'!$S$49:$S$60),0)))</f>
        <v>0</v>
      </c>
      <c r="AB23" s="53">
        <f>IF($W$18='2. Customer Classes'!$B$14,+'4. Customer Growth'!$C19,+IF($W$18='2. Customer Classes'!$B$15,+'4. Customer Growth'!$E19,+IF($W$18='2. Customer Classes'!$B$16,+'4. Customer Growth'!$G19,+IF($W$18='2. Customer Classes'!$B$17,+'4. Customer Growth'!$I19,+IF($W$18='2. Customer Classes'!$B$18,+'4. Customer Growth'!$K19,+IF($W$18='2. Customer Classes'!$B$19,+'4. Customer Growth'!$M19,IF($W$18='2. Customer Classes'!$B$20,+'4. Customer Growth'!$O19,0)))))))</f>
        <v>33</v>
      </c>
      <c r="AC23" s="318">
        <f t="shared" si="11"/>
        <v>0</v>
      </c>
      <c r="AD23" s="321">
        <f t="shared" si="12"/>
        <v>0</v>
      </c>
      <c r="AE23" s="286">
        <f t="shared" si="13"/>
        <v>0</v>
      </c>
      <c r="AG23" s="299">
        <f t="shared" si="14"/>
        <v>2015</v>
      </c>
      <c r="AH23" s="51">
        <f>IF($AG$18='2. Customer Classes'!$B$14,+SUM('3. Consumption by Rate Class'!$D$49:$D$60),+IF($AG$18='2. Customer Classes'!$B$15,+SUM('3. Consumption by Rate Class'!$F$49:$F$60),+IF($AG$18='2. Customer Classes'!$B$16,+SUM('3. Consumption by Rate Class'!$H$49:$H$60),+IF($AG$18='2. Customer Classes'!$B$17,+SUM('3. Consumption by Rate Class'!$J$49:$J$60),+IF($AG$18='2. Customer Classes'!$B$18,+SUM('3. Consumption by Rate Class'!$L$49:$L$60),+IF($AG$18='2. Customer Classes'!$B$19,+SUM('3. Consumption by Rate Class'!$O$49:$O$60),IF($AG$18='2. Customer Classes'!$B$20,+SUM('3. Consumption by Rate Class'!$R$49:$R$60),IF($AG$18='2. Customer Classes'!$B$21,+SUM('3. Consumption by Rate Class'!$U$49:$U$60),0))))))))</f>
        <v>0</v>
      </c>
      <c r="AI23" s="383"/>
      <c r="AJ23" s="51">
        <f t="shared" si="15"/>
        <v>0</v>
      </c>
      <c r="AK23" s="53">
        <f>+IF($AG$18='2. Customer Classes'!$B$18,+SUM('3. Consumption by Rate Class'!$M$49:$M$60),+IF($AG$18='2. Customer Classes'!$B$19,+SUM('3. Consumption by Rate Class'!$P$49:$P$60),IF($AG$18='2. Customer Classes'!$B$20,+SUM('3. Consumption by Rate Class'!$S$49:$S$60),IF($AG$18='2. Customer Classes'!$B$21,+SUM('3. Consumption by Rate Class'!$V$49:$V$60),0))))</f>
        <v>0</v>
      </c>
      <c r="AL23" s="53">
        <f>IF($AG$18='2. Customer Classes'!$B$14,+'4. Customer Growth'!$C19,+IF($AG$18='2. Customer Classes'!$B$15,+'4. Customer Growth'!$E19,+IF($AG$18='2. Customer Classes'!$B$16,+'4. Customer Growth'!$G19,+IF($AG$18='2. Customer Classes'!$B$17,+'4. Customer Growth'!$I19,+IF($AG$18='2. Customer Classes'!$B$18,+'4. Customer Growth'!$K19,+IF($AG$18='2. Customer Classes'!$B$19,+'4. Customer Growth'!$M19,IF($AG$18='2. Customer Classes'!$B$20,+'4. Customer Growth'!$O19,IF($AG$18='2. Customer Classes'!$B$21,+'4. Customer Growth'!$Q19,0))))))))</f>
        <v>0</v>
      </c>
      <c r="AM23" s="318">
        <f t="shared" ref="AM23:AM32" si="23">IF(AK23&gt;0,+AJ23/AL23,0)</f>
        <v>0</v>
      </c>
      <c r="AN23" s="321">
        <f t="shared" si="16"/>
        <v>0</v>
      </c>
      <c r="AO23" s="286">
        <f t="shared" si="17"/>
        <v>0</v>
      </c>
      <c r="AQ23" s="299">
        <f t="shared" si="18"/>
        <v>2015</v>
      </c>
      <c r="AR23" s="51">
        <f>IF($AQ$18='2. Customer Classes'!$B$14,+SUM('3. Consumption by Rate Class'!$D$49:$D$60),+IF($AQ$18='2. Customer Classes'!$B$15,+SUM('3. Consumption by Rate Class'!$F$49:$F$60),+IF($AQ$18='2. Customer Classes'!$B$16,+SUM('3. Consumption by Rate Class'!$H$49:$H$60),+IF($AQ$18='2. Customer Classes'!$B$17,+SUM('3. Consumption by Rate Class'!$J$49:$J$60),+IF($AQ$18='2. Customer Classes'!$B$18,+SUM('3. Consumption by Rate Class'!$L$49:$L$60),+IF($AQ$18='2. Customer Classes'!$B$19,+SUM('3. Consumption by Rate Class'!$O$49:$O$60),IF($AQ$18='2. Customer Classes'!$B$20,+SUM('3. Consumption by Rate Class'!$R$49:$R$60),0)))))))</f>
        <v>0</v>
      </c>
      <c r="AS23" s="383"/>
      <c r="AT23" s="51">
        <f t="shared" si="19"/>
        <v>0</v>
      </c>
      <c r="AU23" s="53">
        <f>+IF($AQ$18='2. Customer Classes'!$B$18,+SUM('3. Consumption by Rate Class'!$M$49:$M$60),+IF($AQ$18='2. Customer Classes'!$B$19,+SUM('3. Consumption by Rate Class'!$P$49:$P$60),IF($AQ$18='2. Customer Classes'!$B$20,+SUM('3. Consumption by Rate Class'!$S$49:$S$60),0)))</f>
        <v>0</v>
      </c>
      <c r="AV23" s="53">
        <f>IF($AQ$18='2. Customer Classes'!$B$14,+'4. Customer Growth'!$C19,+IF($AQ$18='2. Customer Classes'!$B$15,+'4. Customer Growth'!$E19,+IF($AQ$18='2. Customer Classes'!$B$16,+'4. Customer Growth'!$G19,+IF($AQ$18='2. Customer Classes'!$B$17,+'4. Customer Growth'!$I19,+IF($AQ$18='2. Customer Classes'!$B$18,+'4. Customer Growth'!$K19,+IF($AQ$18='2. Customer Classes'!$B$19,+'4. Customer Growth'!$M19,IF($AQ$18='2. Customer Classes'!$B$20,+'4. Customer Growth'!$O19,0)))))))</f>
        <v>0</v>
      </c>
      <c r="AW23" s="318">
        <f t="shared" si="20"/>
        <v>0</v>
      </c>
      <c r="AX23" s="321">
        <f t="shared" si="21"/>
        <v>0</v>
      </c>
      <c r="AY23" s="286">
        <f t="shared" si="22"/>
        <v>0</v>
      </c>
    </row>
    <row r="24" spans="2:51" ht="12.75" customHeight="1">
      <c r="B24" s="157">
        <f>'4. Customer Growth'!B20</f>
        <v>2016</v>
      </c>
      <c r="C24" s="51">
        <f>IF($B$18='2. Customer Classes'!$B$14,+SUM('3. Consumption by Rate Class'!$D$61:$D$72),+IF($B$18='2. Customer Classes'!$B$15,+SUM('3. Consumption by Rate Class'!$F$61:$F$72),+IF($B$18='2. Customer Classes'!$B$16,+SUM('3. Consumption by Rate Class'!$H$61:$H$72),+IF($B$18='2. Customer Classes'!$B$17,+SUM('3. Consumption by Rate Class'!$J$61:$J$72),+IF($B$18='2. Customer Classes'!$B$18,+SUM('3. Consumption by Rate Class'!$L$61:$L$72),+IF($B$18='2. Customer Classes'!$B$19,+SUM('3. Consumption by Rate Class'!$O$61:$O$72),IF($B$18='2. Customer Classes'!$B$20,+SUM('3. Consumption by Rate Class'!$R$61:$R$72),0)))))))</f>
        <v>44950585</v>
      </c>
      <c r="D24" s="383"/>
      <c r="E24" s="51">
        <f t="shared" si="2"/>
        <v>44950585</v>
      </c>
      <c r="F24" s="51">
        <f>+IF($B$18='2. Customer Classes'!$B$18,+SUM('3. Consumption by Rate Class'!$M$61:$M$72),+IF($B$18='2. Customer Classes'!$B$19,+SUM('3. Consumption by Rate Class'!$P$61:$P$72),IF($B$18='2. Customer Classes'!$B$20,+SUM('3. Consumption by Rate Class'!$S$61:$S$72),0)))</f>
        <v>116347.70000000001</v>
      </c>
      <c r="G24" s="51">
        <f>IF($B$18='2. Customer Classes'!$B$14,+'4. Customer Growth'!$C20,+IF($B$18='2. Customer Classes'!$B$15,+'4. Customer Growth'!$E20,+IF($B$18='2. Customer Classes'!$B$16,+'4. Customer Growth'!$G20,+IF($B$18='2. Customer Classes'!$B$17,+'4. Customer Growth'!$I20,+IF($B$18='2. Customer Classes'!$B$18,+'4. Customer Growth'!$K20,+IF($B$18='2. Customer Classes'!$B$19,+'4. Customer Growth'!$M20,IF($B$18='2. Customer Classes'!$B$20,+'4. Customer Growth'!$O20,0)))))))</f>
        <v>61</v>
      </c>
      <c r="H24" s="318">
        <f t="shared" si="3"/>
        <v>736894.83606557373</v>
      </c>
      <c r="I24" s="321">
        <f t="shared" si="4"/>
        <v>1907.3393442622953</v>
      </c>
      <c r="J24" s="286">
        <f t="shared" si="5"/>
        <v>2.5883467367554839E-3</v>
      </c>
      <c r="K24" s="149"/>
      <c r="L24" s="149"/>
      <c r="M24" s="157">
        <f t="shared" si="0"/>
        <v>2016</v>
      </c>
      <c r="N24" s="51">
        <f>IF($M$18='2. Customer Classes'!$B$14,+SUM('3. Consumption by Rate Class'!$D$61:$D$72),+IF($M$18='2. Customer Classes'!$B$15,+SUM('3. Consumption by Rate Class'!$F$61:$F$72),+IF($M$18='2. Customer Classes'!$B$16,+SUM('3. Consumption by Rate Class'!$H$61:$H$72),+IF($M$18='2. Customer Classes'!$B$17,+SUM('3. Consumption by Rate Class'!$J$61:$J$72),+IF($M$18='2. Customer Classes'!$B$18,+SUM('3. Consumption by Rate Class'!$L$61:$L$72),+IF($M$18='2. Customer Classes'!$B$19,+SUM('3. Consumption by Rate Class'!$O$61:$O$72),IF($M$18='2. Customer Classes'!$B$20,+SUM('3. Consumption by Rate Class'!$R$61:$R$72),0)))))))</f>
        <v>1127383</v>
      </c>
      <c r="O24" s="383"/>
      <c r="P24" s="51">
        <f t="shared" si="6"/>
        <v>1127383</v>
      </c>
      <c r="Q24" s="53">
        <f>+IF($M$18='2. Customer Classes'!$B$18,+SUM('3. Consumption by Rate Class'!$M$61:$M$72),+IF($M$18='2. Customer Classes'!$B$19,+SUM('3. Consumption by Rate Class'!$P$61:$P$72),IF($M$18='2. Customer Classes'!$B$20,+SUM('3. Consumption by Rate Class'!$S$61:$S$72),0)))</f>
        <v>3137.3000000000006</v>
      </c>
      <c r="R24" s="53">
        <f>IF($M$18='2. Customer Classes'!$B$14,+'4. Customer Growth'!$C20,+IF($M$18='2. Customer Classes'!$B$15,+'4. Customer Growth'!$E20,+IF($M$18='2. Customer Classes'!$B$16,+'4. Customer Growth'!$G20,+IF($M$18='2. Customer Classes'!$B$17,+'4. Customer Growth'!$I20,+IF($M$18='2. Customer Classes'!$B$18,+'4. Customer Growth'!$K20,+IF($M$18='2. Customer Classes'!$B$19,+'4. Customer Growth'!$M20,IF($M$18='2. Customer Classes'!$B$20,+'4. Customer Growth'!$O20,0)))))))</f>
        <v>1197</v>
      </c>
      <c r="S24" s="318">
        <f t="shared" si="7"/>
        <v>941.84043441938184</v>
      </c>
      <c r="T24" s="321">
        <f t="shared" si="8"/>
        <v>2.6209690893901425</v>
      </c>
      <c r="U24" s="286">
        <f t="shared" si="9"/>
        <v>2.7828164873871619E-3</v>
      </c>
      <c r="W24" s="157">
        <f t="shared" si="1"/>
        <v>2016</v>
      </c>
      <c r="X24" s="51">
        <f>IF($W$18='2. Customer Classes'!$B$14,+SUM('3. Consumption by Rate Class'!$D$61:$D$72),+IF($W$18='2. Customer Classes'!$B$15,+SUM('3. Consumption by Rate Class'!$F$61:$F$72),+IF($W$18='2. Customer Classes'!$B$16,+SUM('3. Consumption by Rate Class'!$H$61:$H$72),+IF($W$18='2. Customer Classes'!$B$17,+SUM('3. Consumption by Rate Class'!$J$61:$J$72),+IF($W$18='2. Customer Classes'!$B$18,+SUM('3. Consumption by Rate Class'!$L$61:$L$72),+IF($W$18='2. Customer Classes'!$B$19,+SUM('3. Consumption by Rate Class'!$O$61:$O$72),IF($W$18='2. Customer Classes'!$B$20,+SUM('3. Consumption by Rate Class'!$R$61:$R$72),0)))))))</f>
        <v>157514</v>
      </c>
      <c r="Y24" s="383"/>
      <c r="Z24" s="51">
        <f t="shared" si="10"/>
        <v>157514</v>
      </c>
      <c r="AA24" s="53">
        <f>+IF($W$18='2. Customer Classes'!$B$18,+SUM('3. Consumption by Rate Class'!$M$61:$M$72),+IF($W$18='2. Customer Classes'!$B$19,+SUM('3. Consumption by Rate Class'!$P$61:$P$72),IF($W$18='2. Customer Classes'!$B$20,+SUM('3. Consumption by Rate Class'!$S$61:$S$72),0)))</f>
        <v>0</v>
      </c>
      <c r="AB24" s="53">
        <f>IF($W$18='2. Customer Classes'!$B$14,+'4. Customer Growth'!$C20,+IF($W$18='2. Customer Classes'!$B$15,+'4. Customer Growth'!$E20,+IF($W$18='2. Customer Classes'!$B$16,+'4. Customer Growth'!$G20,+IF($W$18='2. Customer Classes'!$B$17,+'4. Customer Growth'!$I20,+IF($W$18='2. Customer Classes'!$B$18,+'4. Customer Growth'!$K20,+IF($W$18='2. Customer Classes'!$B$19,+'4. Customer Growth'!$M20,IF($W$18='2. Customer Classes'!$B$20,+'4. Customer Growth'!$O20,0)))))))</f>
        <v>33.5</v>
      </c>
      <c r="AC24" s="318">
        <f t="shared" si="11"/>
        <v>0</v>
      </c>
      <c r="AD24" s="321">
        <f t="shared" si="12"/>
        <v>0</v>
      </c>
      <c r="AE24" s="286">
        <f t="shared" si="13"/>
        <v>0</v>
      </c>
      <c r="AG24" s="299">
        <f t="shared" si="14"/>
        <v>2016</v>
      </c>
      <c r="AH24" s="51">
        <f>IF($AG$18='2. Customer Classes'!$B$14,+SUM('3. Consumption by Rate Class'!$D$61:$D$72),+IF($AG$18='2. Customer Classes'!$B$15,+SUM('3. Consumption by Rate Class'!$F$61:$F$72),+IF($AG$18='2. Customer Classes'!$B$16,+SUM('3. Consumption by Rate Class'!$H$61:$H$72),+IF($AG$18='2. Customer Classes'!$B$17,+SUM('3. Consumption by Rate Class'!$J$61:$J$72),+IF($AG$18='2. Customer Classes'!$B$18,+SUM('3. Consumption by Rate Class'!$L$61:$L$72),+IF($AG$18='2. Customer Classes'!$B$19,+SUM('3. Consumption by Rate Class'!$O$61:$O$72),IF($AG$18='2. Customer Classes'!$B$20,+SUM('3. Consumption by Rate Class'!$R$61:$R$72),IF($AG$18='2. Customer Classes'!$B$21,+SUM('3. Consumption by Rate Class'!$U$61:$U$72),0))))))))</f>
        <v>0</v>
      </c>
      <c r="AI24" s="383"/>
      <c r="AJ24" s="51">
        <f t="shared" si="15"/>
        <v>0</v>
      </c>
      <c r="AK24" s="53">
        <f>+IF($AG$18='2. Customer Classes'!$B$18,+SUM('3. Consumption by Rate Class'!$M$61:$M$72),+IF($AG$18='2. Customer Classes'!$B$19,+SUM('3. Consumption by Rate Class'!$P$61:$P$72),IF($AG$18='2. Customer Classes'!$B$20,+SUM('3. Consumption by Rate Class'!$S$61:$S$72),IF($AG$18='2. Customer Classes'!$B$21,+SUM('3. Consumption by Rate Class'!$V$61:$V$72),0))))</f>
        <v>0</v>
      </c>
      <c r="AL24" s="53">
        <f>IF($AG$18='2. Customer Classes'!$B$14,+'4. Customer Growth'!$C20,+IF($AG$18='2. Customer Classes'!$B$15,+'4. Customer Growth'!$E20,+IF($AG$18='2. Customer Classes'!$B$16,+'4. Customer Growth'!$G20,+IF($AG$18='2. Customer Classes'!$B$17,+'4. Customer Growth'!$I20,+IF($AG$18='2. Customer Classes'!$B$18,+'4. Customer Growth'!$K20,+IF($AG$18='2. Customer Classes'!$B$19,+'4. Customer Growth'!$M20,IF($AG$18='2. Customer Classes'!$B$20,+'4. Customer Growth'!$O20,IF($AG$18='2. Customer Classes'!$B$21,+'4. Customer Growth'!$Q20,0))))))))</f>
        <v>0</v>
      </c>
      <c r="AM24" s="318">
        <f t="shared" si="23"/>
        <v>0</v>
      </c>
      <c r="AN24" s="321">
        <f t="shared" si="16"/>
        <v>0</v>
      </c>
      <c r="AO24" s="286">
        <f t="shared" si="17"/>
        <v>0</v>
      </c>
      <c r="AQ24" s="299">
        <f t="shared" si="18"/>
        <v>2016</v>
      </c>
      <c r="AR24" s="51">
        <f>IF($AQ$18='2. Customer Classes'!$B$14,+SUM('3. Consumption by Rate Class'!$D$61:$D$72),+IF($AQ$18='2. Customer Classes'!$B$15,+SUM('3. Consumption by Rate Class'!$F$61:$F$72),+IF($AQ$18='2. Customer Classes'!$B$16,+SUM('3. Consumption by Rate Class'!$H$61:$H$72),+IF($AQ$18='2. Customer Classes'!$B$17,+SUM('3. Consumption by Rate Class'!$J$61:$J$72),+IF($AQ$18='2. Customer Classes'!$B$18,+SUM('3. Consumption by Rate Class'!$L$61:$L$72),+IF($AQ$18='2. Customer Classes'!$B$19,+SUM('3. Consumption by Rate Class'!$O$61:$O$72),IF($AQ$18='2. Customer Classes'!$B$20,+SUM('3. Consumption by Rate Class'!$R$61:$R$72),0)))))))</f>
        <v>0</v>
      </c>
      <c r="AS24" s="383"/>
      <c r="AT24" s="51">
        <f t="shared" si="19"/>
        <v>0</v>
      </c>
      <c r="AU24" s="53">
        <f>+IF($AQ$18='2. Customer Classes'!$B$18,+SUM('3. Consumption by Rate Class'!$M$61:$M$72),+IF($AQ$18='2. Customer Classes'!$B$19,+SUM('3. Consumption by Rate Class'!$P$61:$P$72),IF($AQ$18='2. Customer Classes'!$B$20,+SUM('3. Consumption by Rate Class'!$S$61:$S$72),0)))</f>
        <v>0</v>
      </c>
      <c r="AV24" s="53">
        <f>IF($AQ$18='2. Customer Classes'!$B$14,+'4. Customer Growth'!$C20,+IF($AQ$18='2. Customer Classes'!$B$15,+'4. Customer Growth'!$E20,+IF($AQ$18='2. Customer Classes'!$B$16,+'4. Customer Growth'!$G20,+IF($AQ$18='2. Customer Classes'!$B$17,+'4. Customer Growth'!$I20,+IF($AQ$18='2. Customer Classes'!$B$18,+'4. Customer Growth'!$K20,+IF($AQ$18='2. Customer Classes'!$B$19,+'4. Customer Growth'!$M20,IF($AQ$18='2. Customer Classes'!$B$20,+'4. Customer Growth'!$O20,0)))))))</f>
        <v>0</v>
      </c>
      <c r="AW24" s="318">
        <f t="shared" si="20"/>
        <v>0</v>
      </c>
      <c r="AX24" s="321">
        <f t="shared" si="21"/>
        <v>0</v>
      </c>
      <c r="AY24" s="286">
        <f t="shared" si="22"/>
        <v>0</v>
      </c>
    </row>
    <row r="25" spans="2:51" ht="12.75" customHeight="1">
      <c r="B25" s="157">
        <f>'4. Customer Growth'!B21</f>
        <v>2017</v>
      </c>
      <c r="C25" s="51">
        <f>IF($B$18='2. Customer Classes'!$B$14,+SUM('3. Consumption by Rate Class'!$D$73:$D$84),+IF($B$18='2. Customer Classes'!$B$15,+SUM('3. Consumption by Rate Class'!$F$73:$F$84),+IF($B$18='2. Customer Classes'!$B$16,+SUM('3. Consumption by Rate Class'!$H$73:$H$84),+IF($B$18='2. Customer Classes'!$B$17,+SUM('3. Consumption by Rate Class'!$J$73:$J$84),+IF($B$18='2. Customer Classes'!$B$18,+SUM('3. Consumption by Rate Class'!$L$73:$L$84),+IF($B$18='2. Customer Classes'!$B$19,+SUM('3. Consumption by Rate Class'!$O$73:$O$84),IF($B$18='2. Customer Classes'!$B$20,+SUM('3. Consumption by Rate Class'!$R$73:$R$84),0)))))))</f>
        <v>44820170</v>
      </c>
      <c r="D25" s="383"/>
      <c r="E25" s="51">
        <f t="shared" si="2"/>
        <v>44820170</v>
      </c>
      <c r="F25" s="51">
        <f>+IF($B$18='2. Customer Classes'!$B$18,+SUM('3. Consumption by Rate Class'!$M$73:$M$84),+IF($B$18='2. Customer Classes'!$B$19,+SUM('3. Consumption by Rate Class'!$P$73:$P$84),IF($B$18='2. Customer Classes'!$B$20,+SUM('3. Consumption by Rate Class'!$S$73:$S$84),0)))</f>
        <v>114292.40000000001</v>
      </c>
      <c r="G25" s="51">
        <f>IF($B$18='2. Customer Classes'!$B$14,+'4. Customer Growth'!$C21,+IF($B$18='2. Customer Classes'!$B$15,+'4. Customer Growth'!$E21,+IF($B$18='2. Customer Classes'!$B$16,+'4. Customer Growth'!$G21,+IF($B$18='2. Customer Classes'!$B$17,+'4. Customer Growth'!$I21,+IF($B$18='2. Customer Classes'!$B$18,+'4. Customer Growth'!$K21,+IF($B$18='2. Customer Classes'!$B$19,+'4. Customer Growth'!$M21,IF($B$18='2. Customer Classes'!$B$20,+'4. Customer Growth'!$O21,0)))))))</f>
        <v>56</v>
      </c>
      <c r="H25" s="318">
        <f t="shared" si="3"/>
        <v>800360.17857142852</v>
      </c>
      <c r="I25" s="321">
        <f t="shared" si="4"/>
        <v>2040.9357142857145</v>
      </c>
      <c r="J25" s="286">
        <f t="shared" si="5"/>
        <v>2.5500215639521228E-3</v>
      </c>
      <c r="K25" s="149"/>
      <c r="L25" s="149"/>
      <c r="M25" s="157">
        <f t="shared" si="0"/>
        <v>2017</v>
      </c>
      <c r="N25" s="51">
        <f>IF($M$18='2. Customer Classes'!$B$14,+SUM('3. Consumption by Rate Class'!$D$73:$D$84),+IF($M$18='2. Customer Classes'!$B$15,+SUM('3. Consumption by Rate Class'!$F$73:$F$84),+IF($M$18='2. Customer Classes'!$B$16,+SUM('3. Consumption by Rate Class'!$H$73:$H$84),+IF($M$18='2. Customer Classes'!$B$17,+SUM('3. Consumption by Rate Class'!$J$73:$J$84),+IF($M$18='2. Customer Classes'!$B$18,+SUM('3. Consumption by Rate Class'!$L$73:$L$84),+IF($M$18='2. Customer Classes'!$B$19,+SUM('3. Consumption by Rate Class'!$O$73:$O$84),IF($M$18='2. Customer Classes'!$B$20,+SUM('3. Consumption by Rate Class'!$R$73:$R$84),0)))))))</f>
        <v>1123681</v>
      </c>
      <c r="O25" s="383"/>
      <c r="P25" s="51">
        <f t="shared" si="6"/>
        <v>1123681</v>
      </c>
      <c r="Q25" s="53">
        <f>+IF($M$18='2. Customer Classes'!$B$18,+SUM('3. Consumption by Rate Class'!$M$73:$M$84),+IF($M$18='2. Customer Classes'!$B$19,+SUM('3. Consumption by Rate Class'!$P$73:$P$84),IF($M$18='2. Customer Classes'!$B$20,+SUM('3. Consumption by Rate Class'!$S$73:$S$84),0)))</f>
        <v>3117.6000000000008</v>
      </c>
      <c r="R25" s="53">
        <f>IF($M$18='2. Customer Classes'!$B$14,+'4. Customer Growth'!$C21,+IF($M$18='2. Customer Classes'!$B$15,+'4. Customer Growth'!$E21,+IF($M$18='2. Customer Classes'!$B$16,+'4. Customer Growth'!$G21,+IF($M$18='2. Customer Classes'!$B$17,+'4. Customer Growth'!$I21,+IF($M$18='2. Customer Classes'!$B$18,+'4. Customer Growth'!$K21,+IF($M$18='2. Customer Classes'!$B$19,+'4. Customer Growth'!$M21,IF($M$18='2. Customer Classes'!$B$20,+'4. Customer Growth'!$O21,0)))))))</f>
        <v>1193</v>
      </c>
      <c r="S25" s="318">
        <f t="shared" si="7"/>
        <v>941.89522212908639</v>
      </c>
      <c r="T25" s="321">
        <f t="shared" si="8"/>
        <v>2.6132439228834876</v>
      </c>
      <c r="U25" s="286">
        <f t="shared" si="9"/>
        <v>2.7744528918794576E-3</v>
      </c>
      <c r="W25" s="157">
        <f t="shared" si="1"/>
        <v>2017</v>
      </c>
      <c r="X25" s="51">
        <f>IF($W$18='2. Customer Classes'!$B$14,+SUM('3. Consumption by Rate Class'!$D$73:$D$84),+IF($W$18='2. Customer Classes'!$B$15,+SUM('3. Consumption by Rate Class'!$F$73:$F$84),+IF($W$18='2. Customer Classes'!$B$16,+SUM('3. Consumption by Rate Class'!$H$73:$H$84),+IF($W$18='2. Customer Classes'!$B$17,+SUM('3. Consumption by Rate Class'!$J$73:$J$84),+IF($W$18='2. Customer Classes'!$B$18,+SUM('3. Consumption by Rate Class'!$L$73:$L$84),+IF($W$18='2. Customer Classes'!$B$19,+SUM('3. Consumption by Rate Class'!$O$73:$O$84),IF($W$18='2. Customer Classes'!$B$20,+SUM('3. Consumption by Rate Class'!$R$73:$R$84),0)))))))</f>
        <v>161875</v>
      </c>
      <c r="Y25" s="383"/>
      <c r="Z25" s="51">
        <f t="shared" si="10"/>
        <v>161875</v>
      </c>
      <c r="AA25" s="53">
        <f>+IF($W$18='2. Customer Classes'!$B$18,+SUM('3. Consumption by Rate Class'!$M$73:$M$84),+IF($W$18='2. Customer Classes'!$B$19,+SUM('3. Consumption by Rate Class'!$P$73:$P$84),IF($W$18='2. Customer Classes'!$B$20,+SUM('3. Consumption by Rate Class'!$S$73:$S$84),0)))</f>
        <v>0</v>
      </c>
      <c r="AB25" s="53">
        <f>IF($W$18='2. Customer Classes'!$B$14,+'4. Customer Growth'!$C21,+IF($W$18='2. Customer Classes'!$B$15,+'4. Customer Growth'!$E21,+IF($W$18='2. Customer Classes'!$B$16,+'4. Customer Growth'!$G21,+IF($W$18='2. Customer Classes'!$B$17,+'4. Customer Growth'!$I21,+IF($W$18='2. Customer Classes'!$B$18,+'4. Customer Growth'!$K21,+IF($W$18='2. Customer Classes'!$B$19,+'4. Customer Growth'!$M21,IF($W$18='2. Customer Classes'!$B$20,+'4. Customer Growth'!$O21,0)))))))</f>
        <v>34</v>
      </c>
      <c r="AC25" s="318">
        <f t="shared" si="11"/>
        <v>0</v>
      </c>
      <c r="AD25" s="321">
        <f t="shared" si="12"/>
        <v>0</v>
      </c>
      <c r="AE25" s="286">
        <f t="shared" si="13"/>
        <v>0</v>
      </c>
      <c r="AG25" s="299">
        <f t="shared" si="14"/>
        <v>2017</v>
      </c>
      <c r="AH25" s="51">
        <f>IF($AG$18='2. Customer Classes'!$B$14,+SUM('3. Consumption by Rate Class'!$D$73:$D$84),+IF($AG$18='2. Customer Classes'!$B$15,+SUM('3. Consumption by Rate Class'!$F$73:$F$84),+IF($AG$18='2. Customer Classes'!$B$16,+SUM('3. Consumption by Rate Class'!$H$73:$H$84),+IF($AG$18='2. Customer Classes'!$B$17,+SUM('3. Consumption by Rate Class'!$J$73:$J$84),+IF($AG$18='2. Customer Classes'!$B$18,+SUM('3. Consumption by Rate Class'!$L$73:$L$84),+IF($AG$18='2. Customer Classes'!$B$19,+SUM('3. Consumption by Rate Class'!$O$73:$O$84),IF($AG$18='2. Customer Classes'!$B$20,+SUM('3. Consumption by Rate Class'!$R$73:$R$84),IF($AG$18='2. Customer Classes'!$B$21,+SUM('3. Consumption by Rate Class'!$U$73:$U$84),0))))))))</f>
        <v>0</v>
      </c>
      <c r="AI25" s="383"/>
      <c r="AJ25" s="51">
        <f t="shared" si="15"/>
        <v>0</v>
      </c>
      <c r="AK25" s="53">
        <f>+IF($AG$18='2. Customer Classes'!$B$18,+SUM('3. Consumption by Rate Class'!$M$73:$M$84),+IF($AG$18='2. Customer Classes'!$B$19,+SUM('3. Consumption by Rate Class'!$P$73:$P$84),IF($AG$18='2. Customer Classes'!$B$20,+SUM('3. Consumption by Rate Class'!$S$73:$S$84),IF($AG$18='2. Customer Classes'!$B$21,+SUM('3. Consumption by Rate Class'!$V$73:$V$84),0))))</f>
        <v>0</v>
      </c>
      <c r="AL25" s="53">
        <f>IF($AG$18='2. Customer Classes'!$B$14,+'4. Customer Growth'!$C21,+IF($AG$18='2. Customer Classes'!$B$15,+'4. Customer Growth'!$E21,+IF($AG$18='2. Customer Classes'!$B$16,+'4. Customer Growth'!$G21,+IF($AG$18='2. Customer Classes'!$B$17,+'4. Customer Growth'!$I21,+IF($AG$18='2. Customer Classes'!$B$18,+'4. Customer Growth'!$K21,+IF($AG$18='2. Customer Classes'!$B$19,+'4. Customer Growth'!$M21,IF($AG$18='2. Customer Classes'!$B$20,+'4. Customer Growth'!$O21,IF($AG$18='2. Customer Classes'!$B$21,+'4. Customer Growth'!$Q21,0))))))))</f>
        <v>0</v>
      </c>
      <c r="AM25" s="318">
        <f t="shared" si="23"/>
        <v>0</v>
      </c>
      <c r="AN25" s="321">
        <f t="shared" si="16"/>
        <v>0</v>
      </c>
      <c r="AO25" s="286">
        <f t="shared" si="17"/>
        <v>0</v>
      </c>
      <c r="AQ25" s="299">
        <f t="shared" si="18"/>
        <v>2017</v>
      </c>
      <c r="AR25" s="51">
        <f>IF($AQ$18='2. Customer Classes'!$B$14,+SUM('3. Consumption by Rate Class'!$D$73:$D$84),+IF($AQ$18='2. Customer Classes'!$B$15,+SUM('3. Consumption by Rate Class'!$F$73:$F$84),+IF($AQ$18='2. Customer Classes'!$B$16,+SUM('3. Consumption by Rate Class'!$H$73:$H$84),+IF($AQ$18='2. Customer Classes'!$B$17,+SUM('3. Consumption by Rate Class'!$J$73:$J$84),+IF($AQ$18='2. Customer Classes'!$B$18,+SUM('3. Consumption by Rate Class'!$L$73:$L$84),+IF($AQ$18='2. Customer Classes'!$B$19,+SUM('3. Consumption by Rate Class'!$O$73:$O$84),IF($AQ$18='2. Customer Classes'!$B$20,+SUM('3. Consumption by Rate Class'!$R$73:$R$84),0)))))))</f>
        <v>0</v>
      </c>
      <c r="AS25" s="383"/>
      <c r="AT25" s="51">
        <f t="shared" si="19"/>
        <v>0</v>
      </c>
      <c r="AU25" s="53">
        <f>+IF($AQ$18='2. Customer Classes'!$B$18,+SUM('3. Consumption by Rate Class'!$M$73:$M$84),+IF($AQ$18='2. Customer Classes'!$B$19,+SUM('3. Consumption by Rate Class'!$P$73:$P$84),IF($AQ$18='2. Customer Classes'!$B$20,+SUM('3. Consumption by Rate Class'!$S$73:$S$84),0)))</f>
        <v>0</v>
      </c>
      <c r="AV25" s="53">
        <f>IF($AQ$18='2. Customer Classes'!$B$14,+'4. Customer Growth'!$C21,+IF($AQ$18='2. Customer Classes'!$B$15,+'4. Customer Growth'!$E21,+IF($AQ$18='2. Customer Classes'!$B$16,+'4. Customer Growth'!$G21,+IF($AQ$18='2. Customer Classes'!$B$17,+'4. Customer Growth'!$I21,+IF($AQ$18='2. Customer Classes'!$B$18,+'4. Customer Growth'!$K21,+IF($AQ$18='2. Customer Classes'!$B$19,+'4. Customer Growth'!$M21,IF($AQ$18='2. Customer Classes'!$B$20,+'4. Customer Growth'!$O21,0)))))))</f>
        <v>0</v>
      </c>
      <c r="AW25" s="318">
        <f t="shared" si="20"/>
        <v>0</v>
      </c>
      <c r="AX25" s="321">
        <f t="shared" si="21"/>
        <v>0</v>
      </c>
      <c r="AY25" s="286">
        <f t="shared" si="22"/>
        <v>0</v>
      </c>
    </row>
    <row r="26" spans="2:51" ht="12.75" customHeight="1">
      <c r="B26" s="157">
        <f>'4. Customer Growth'!B22</f>
        <v>2018</v>
      </c>
      <c r="C26" s="51">
        <f>IF($B$18='2. Customer Classes'!$B$14,+SUM('3. Consumption by Rate Class'!$D$85:$D$96),+IF($B$18='2. Customer Classes'!$B$15,+SUM('3. Consumption by Rate Class'!$F$85:$F$96),+IF($B$18='2. Customer Classes'!$B$16,+SUM('3. Consumption by Rate Class'!$H$85:$H$96),+IF($B$18='2. Customer Classes'!$B$17,+SUM('3. Consumption by Rate Class'!$J$85:$J$96),+IF($B$18='2. Customer Classes'!$B$18,+SUM('3. Consumption by Rate Class'!$L$85:$L$96),+IF($B$18='2. Customer Classes'!$B$19,+SUM('3. Consumption by Rate Class'!$O$85:$O$96),IF($B$18='2. Customer Classes'!$B$20,+SUM('3. Consumption by Rate Class'!$R$85:$R$96),0)))))))</f>
        <v>44536403</v>
      </c>
      <c r="D26" s="383"/>
      <c r="E26" s="51">
        <f t="shared" si="2"/>
        <v>44536403</v>
      </c>
      <c r="F26" s="51">
        <f>+IF($B$18='2. Customer Classes'!$B$18,+SUM('3. Consumption by Rate Class'!$M$85:$M$96),+IF($B$18='2. Customer Classes'!$B$19,+SUM('3. Consumption by Rate Class'!$P$85:$P$96),IF($B$18='2. Customer Classes'!$B$20,+SUM('3. Consumption by Rate Class'!$S$85:$S$96),0)))</f>
        <v>107393.8</v>
      </c>
      <c r="G26" s="51">
        <f>IF($B$18='2. Customer Classes'!$B$14,+'4. Customer Growth'!$C22,+IF($B$18='2. Customer Classes'!$B$15,+'4. Customer Growth'!$E22,+IF($B$18='2. Customer Classes'!$B$16,+'4. Customer Growth'!$G22,+IF($B$18='2. Customer Classes'!$B$17,+'4. Customer Growth'!$I22,+IF($B$18='2. Customer Classes'!$B$18,+'4. Customer Growth'!$K22,+IF($B$18='2. Customer Classes'!$B$19,+'4. Customer Growth'!$M22,IF($B$18='2. Customer Classes'!$B$20,+'4. Customer Growth'!$O22,0)))))))</f>
        <v>54</v>
      </c>
      <c r="H26" s="318">
        <f t="shared" si="3"/>
        <v>824748.20370370371</v>
      </c>
      <c r="I26" s="321">
        <f t="shared" si="4"/>
        <v>1988.7740740740742</v>
      </c>
      <c r="J26" s="286">
        <f t="shared" si="5"/>
        <v>2.4113712101985424E-3</v>
      </c>
      <c r="K26" s="149"/>
      <c r="L26" s="149"/>
      <c r="M26" s="157">
        <f t="shared" si="0"/>
        <v>2018</v>
      </c>
      <c r="N26" s="51">
        <f>IF($M$18='2. Customer Classes'!$B$14,+SUM('3. Consumption by Rate Class'!$D$85:$D$96),+IF($M$18='2. Customer Classes'!$B$15,+SUM('3. Consumption by Rate Class'!$F$85:$F$96),+IF($M$18='2. Customer Classes'!$B$16,+SUM('3. Consumption by Rate Class'!$H$85:$H$96),+IF($M$18='2. Customer Classes'!$B$17,+SUM('3. Consumption by Rate Class'!$J$85:$J$96),+IF($M$18='2. Customer Classes'!$B$18,+SUM('3. Consumption by Rate Class'!$L$85:$L$96),+IF($M$18='2. Customer Classes'!$B$19,+SUM('3. Consumption by Rate Class'!$O$85:$O$96),IF($M$18='2. Customer Classes'!$B$20,+SUM('3. Consumption by Rate Class'!$R$85:$R$96),0)))))))</f>
        <v>1095474</v>
      </c>
      <c r="O26" s="383"/>
      <c r="P26" s="51">
        <f t="shared" si="6"/>
        <v>1095474</v>
      </c>
      <c r="Q26" s="53">
        <f>+IF($M$18='2. Customer Classes'!$B$18,+SUM('3. Consumption by Rate Class'!$M$85:$M$96),+IF($M$18='2. Customer Classes'!$B$19,+SUM('3. Consumption by Rate Class'!$P$85:$P$96),IF($M$18='2. Customer Classes'!$B$20,+SUM('3. Consumption by Rate Class'!$S$85:$S$96),0)))</f>
        <v>3038.3999999999996</v>
      </c>
      <c r="R26" s="53">
        <f>IF($M$18='2. Customer Classes'!$B$14,+'4. Customer Growth'!$C22,+IF($M$18='2. Customer Classes'!$B$15,+'4. Customer Growth'!$E22,+IF($M$18='2. Customer Classes'!$B$16,+'4. Customer Growth'!$G22,+IF($M$18='2. Customer Classes'!$B$17,+'4. Customer Growth'!$I22,+IF($M$18='2. Customer Classes'!$B$18,+'4. Customer Growth'!$K22,+IF($M$18='2. Customer Classes'!$B$19,+'4. Customer Growth'!$M22,IF($M$18='2. Customer Classes'!$B$20,+'4. Customer Growth'!$O22,0)))))))</f>
        <v>1195</v>
      </c>
      <c r="S26" s="318">
        <f t="shared" si="7"/>
        <v>916.71464435146447</v>
      </c>
      <c r="T26" s="321">
        <f t="shared" si="8"/>
        <v>2.5425941422594138</v>
      </c>
      <c r="U26" s="286">
        <f t="shared" si="9"/>
        <v>2.7735938963407616E-3</v>
      </c>
      <c r="W26" s="157">
        <f t="shared" si="1"/>
        <v>2018</v>
      </c>
      <c r="X26" s="51">
        <f>IF($W$18='2. Customer Classes'!$B$14,+SUM('3. Consumption by Rate Class'!$D$85:$D$96),+IF($W$18='2. Customer Classes'!$B$15,+SUM('3. Consumption by Rate Class'!$F$85:$F$96),+IF($W$18='2. Customer Classes'!$B$16,+SUM('3. Consumption by Rate Class'!$H$85:$H$96),+IF($W$18='2. Customer Classes'!$B$17,+SUM('3. Consumption by Rate Class'!$J$85:$J$96),+IF($W$18='2. Customer Classes'!$B$18,+SUM('3. Consumption by Rate Class'!$L$85:$L$96),+IF($W$18='2. Customer Classes'!$B$19,+SUM('3. Consumption by Rate Class'!$O$85:$O$96),IF($W$18='2. Customer Classes'!$B$20,+SUM('3. Consumption by Rate Class'!$R$85:$R$96),0)))))))</f>
        <v>174874</v>
      </c>
      <c r="Y26" s="383"/>
      <c r="Z26" s="51">
        <f t="shared" si="10"/>
        <v>174874</v>
      </c>
      <c r="AA26" s="53">
        <f>+IF($W$18='2. Customer Classes'!$B$18,+SUM('3. Consumption by Rate Class'!$M$85:$M$96),+IF($W$18='2. Customer Classes'!$B$19,+SUM('3. Consumption by Rate Class'!$P$85:$P$96),IF($W$18='2. Customer Classes'!$B$20,+SUM('3. Consumption by Rate Class'!$S$85:$S$96),0)))</f>
        <v>0</v>
      </c>
      <c r="AB26" s="53">
        <f>IF($W$18='2. Customer Classes'!$B$14,+'4. Customer Growth'!$C22,+IF($W$18='2. Customer Classes'!$B$15,+'4. Customer Growth'!$E22,+IF($W$18='2. Customer Classes'!$B$16,+'4. Customer Growth'!$G22,+IF($W$18='2. Customer Classes'!$B$17,+'4. Customer Growth'!$I22,+IF($W$18='2. Customer Classes'!$B$18,+'4. Customer Growth'!$K22,+IF($W$18='2. Customer Classes'!$B$19,+'4. Customer Growth'!$M22,IF($W$18='2. Customer Classes'!$B$20,+'4. Customer Growth'!$O22,0)))))))</f>
        <v>35.5</v>
      </c>
      <c r="AC26" s="318">
        <f t="shared" si="11"/>
        <v>0</v>
      </c>
      <c r="AD26" s="321">
        <f t="shared" si="12"/>
        <v>0</v>
      </c>
      <c r="AE26" s="286">
        <f t="shared" si="13"/>
        <v>0</v>
      </c>
      <c r="AG26" s="299">
        <f t="shared" si="14"/>
        <v>2018</v>
      </c>
      <c r="AH26" s="51">
        <f>IF($AG$18='2. Customer Classes'!$B$14,+SUM('3. Consumption by Rate Class'!$D$85:$D$96),+IF($AG$18='2. Customer Classes'!$B$15,+SUM('3. Consumption by Rate Class'!$F$85:$F$96),+IF($AG$18='2. Customer Classes'!$B$16,+SUM('3. Consumption by Rate Class'!$H$85:$H$96),+IF($AG$18='2. Customer Classes'!$B$17,+SUM('3. Consumption by Rate Class'!$J$85:$J$96),+IF($AG$18='2. Customer Classes'!$B$18,+SUM('3. Consumption by Rate Class'!$L$85:$L$96),+IF($AG$18='2. Customer Classes'!$B$19,+SUM('3. Consumption by Rate Class'!$O$85:$O$96),IF($AG$18='2. Customer Classes'!$B$20,+SUM('3. Consumption by Rate Class'!$R$85:$R$96),IF($AG$18='2. Customer Classes'!$B$21,+SUM('3. Consumption by Rate Class'!$U$85:$U$96),0))))))))</f>
        <v>0</v>
      </c>
      <c r="AI26" s="383"/>
      <c r="AJ26" s="51">
        <f t="shared" si="15"/>
        <v>0</v>
      </c>
      <c r="AK26" s="53">
        <f>+IF($AG$18='2. Customer Classes'!$B$18,+SUM('3. Consumption by Rate Class'!$M$85:$M$96),+IF($AG$18='2. Customer Classes'!$B$19,+SUM('3. Consumption by Rate Class'!$P$85:$P$96),IF($AG$18='2. Customer Classes'!$B$20,+SUM('3. Consumption by Rate Class'!$S$85:$S$96),IF($AG$18='2. Customer Classes'!$B$21,+SUM('3. Consumption by Rate Class'!$V$85:$V$96),0))))</f>
        <v>0</v>
      </c>
      <c r="AL26" s="53">
        <f>IF($AG$18='2. Customer Classes'!$B$14,+'4. Customer Growth'!$C22,+IF($AG$18='2. Customer Classes'!$B$15,+'4. Customer Growth'!$E22,+IF($AG$18='2. Customer Classes'!$B$16,+'4. Customer Growth'!$G22,+IF($AG$18='2. Customer Classes'!$B$17,+'4. Customer Growth'!$I22,+IF($AG$18='2. Customer Classes'!$B$18,+'4. Customer Growth'!$K22,+IF($AG$18='2. Customer Classes'!$B$19,+'4. Customer Growth'!$M22,IF($AG$18='2. Customer Classes'!$B$20,+'4. Customer Growth'!$O22,IF($AG$18='2. Customer Classes'!$B$21,+'4. Customer Growth'!$Q22,0))))))))</f>
        <v>0</v>
      </c>
      <c r="AM26" s="318">
        <f t="shared" si="23"/>
        <v>0</v>
      </c>
      <c r="AN26" s="321">
        <f t="shared" si="16"/>
        <v>0</v>
      </c>
      <c r="AO26" s="286">
        <f t="shared" si="17"/>
        <v>0</v>
      </c>
      <c r="AQ26" s="299">
        <f t="shared" si="18"/>
        <v>2018</v>
      </c>
      <c r="AR26" s="51">
        <f>IF($AQ$18='2. Customer Classes'!$B$14,+SUM('3. Consumption by Rate Class'!$D$85:$D$96),+IF($AQ$18='2. Customer Classes'!$B$15,+SUM('3. Consumption by Rate Class'!$F$85:$F$96),+IF($AQ$18='2. Customer Classes'!$B$16,+SUM('3. Consumption by Rate Class'!$H$85:$H$96),+IF($AQ$18='2. Customer Classes'!$B$17,+SUM('3. Consumption by Rate Class'!$J$85:$J$96),+IF($AQ$18='2. Customer Classes'!$B$18,+SUM('3. Consumption by Rate Class'!$L$85:$L$96),+IF($AQ$18='2. Customer Classes'!$B$19,+SUM('3. Consumption by Rate Class'!$O$85:$O$96),IF($AQ$18='2. Customer Classes'!$B$20,+SUM('3. Consumption by Rate Class'!$R$85:$R$96),0)))))))</f>
        <v>0</v>
      </c>
      <c r="AS26" s="383"/>
      <c r="AT26" s="51">
        <f t="shared" si="19"/>
        <v>0</v>
      </c>
      <c r="AU26" s="53">
        <f>+IF($AQ$18='2. Customer Classes'!$B$18,+SUM('3. Consumption by Rate Class'!$M$85:$M$96),+IF($AQ$18='2. Customer Classes'!$B$19,+SUM('3. Consumption by Rate Class'!$P$85:$P$96),IF($AQ$18='2. Customer Classes'!$B$20,+SUM('3. Consumption by Rate Class'!$S$85:$S$96),0)))</f>
        <v>0</v>
      </c>
      <c r="AV26" s="53">
        <f>IF($AQ$18='2. Customer Classes'!$B$14,+'4. Customer Growth'!$C22,+IF($AQ$18='2. Customer Classes'!$B$15,+'4. Customer Growth'!$E22,+IF($AQ$18='2. Customer Classes'!$B$16,+'4. Customer Growth'!$G22,+IF($AQ$18='2. Customer Classes'!$B$17,+'4. Customer Growth'!$I22,+IF($AQ$18='2. Customer Classes'!$B$18,+'4. Customer Growth'!$K22,+IF($AQ$18='2. Customer Classes'!$B$19,+'4. Customer Growth'!$M22,IF($AQ$18='2. Customer Classes'!$B$20,+'4. Customer Growth'!$O22,0)))))))</f>
        <v>0</v>
      </c>
      <c r="AW26" s="318">
        <f t="shared" si="20"/>
        <v>0</v>
      </c>
      <c r="AX26" s="321">
        <f t="shared" si="21"/>
        <v>0</v>
      </c>
      <c r="AY26" s="286">
        <f t="shared" si="22"/>
        <v>0</v>
      </c>
    </row>
    <row r="27" spans="2:51" ht="12.75" customHeight="1">
      <c r="B27" s="157">
        <f>'4. Customer Growth'!B23</f>
        <v>2019</v>
      </c>
      <c r="C27" s="51">
        <f>IF($B$18='2. Customer Classes'!$B$14,+SUM('3. Consumption by Rate Class'!$D$97:$D$108),+IF($B$18='2. Customer Classes'!$B$15,+SUM('3. Consumption by Rate Class'!$F$97:$F$108),+IF($B$18='2. Customer Classes'!$B$16,+SUM('3. Consumption by Rate Class'!$H$97:$H$108),+IF($B$18='2. Customer Classes'!$B$17,+SUM('3. Consumption by Rate Class'!$J$97:$J$108),+IF($B$18='2. Customer Classes'!$B$18,+SUM('3. Consumption by Rate Class'!$L$97:$L$108),+IF($B$18='2. Customer Classes'!$B$19,+SUM('3. Consumption by Rate Class'!$O$97:$O$108),IF($B$18='2. Customer Classes'!$B$20,+SUM('3. Consumption by Rate Class'!$R$97:$R$108),0)))))))</f>
        <v>43765859</v>
      </c>
      <c r="D27" s="383"/>
      <c r="E27" s="51">
        <f t="shared" si="2"/>
        <v>43765859</v>
      </c>
      <c r="F27" s="51">
        <f>+IF($B$18='2. Customer Classes'!$B$18,+SUM('3. Consumption by Rate Class'!$M$97:$M$108),+IF($B$18='2. Customer Classes'!$B$19,+SUM('3. Consumption by Rate Class'!$P$97:$P$108),IF($B$18='2. Customer Classes'!$B$20,+SUM('3. Consumption by Rate Class'!$S$97:$S$108),0)))</f>
        <v>96470.3</v>
      </c>
      <c r="G27" s="51">
        <f>IF($B$18='2. Customer Classes'!$B$14,+'4. Customer Growth'!$C23,+IF($B$18='2. Customer Classes'!$B$15,+'4. Customer Growth'!$E23,+IF($B$18='2. Customer Classes'!$B$16,+'4. Customer Growth'!$G23,+IF($B$18='2. Customer Classes'!$B$17,+'4. Customer Growth'!$I23,+IF($B$18='2. Customer Classes'!$B$18,+'4. Customer Growth'!$K23,+IF($B$18='2. Customer Classes'!$B$19,+'4. Customer Growth'!$M23,IF($B$18='2. Customer Classes'!$B$20,+'4. Customer Growth'!$O23,0)))))))</f>
        <v>45</v>
      </c>
      <c r="H27" s="318">
        <f t="shared" si="3"/>
        <v>972574.64444444445</v>
      </c>
      <c r="I27" s="321">
        <f t="shared" si="4"/>
        <v>2143.7844444444445</v>
      </c>
      <c r="J27" s="286">
        <f t="shared" si="5"/>
        <v>2.2042364117656186E-3</v>
      </c>
      <c r="K27" s="149"/>
      <c r="L27" s="149"/>
      <c r="M27" s="157">
        <f t="shared" si="0"/>
        <v>2019</v>
      </c>
      <c r="N27" s="51">
        <f>IF($M$18='2. Customer Classes'!$B$14,+SUM('3. Consumption by Rate Class'!$D$97:$D$108),+IF($M$18='2. Customer Classes'!$B$15,+SUM('3. Consumption by Rate Class'!$F$97:$F$108),+IF($M$18='2. Customer Classes'!$B$16,+SUM('3. Consumption by Rate Class'!$H$97:$H$108),+IF($M$18='2. Customer Classes'!$B$17,+SUM('3. Consumption by Rate Class'!$J$97:$J$108),+IF($M$18='2. Customer Classes'!$B$18,+SUM('3. Consumption by Rate Class'!$L$97:$L$108),+IF($M$18='2. Customer Classes'!$B$19,+SUM('3. Consumption by Rate Class'!$O$97:$O$108),IF($M$18='2. Customer Classes'!$B$20,+SUM('3. Consumption by Rate Class'!$R$97:$R$108),0)))))))</f>
        <v>1095439</v>
      </c>
      <c r="O27" s="383"/>
      <c r="P27" s="51">
        <f t="shared" si="6"/>
        <v>1095439</v>
      </c>
      <c r="Q27" s="53">
        <f>+IF($M$18='2. Customer Classes'!$B$18,+SUM('3. Consumption by Rate Class'!$M$97:$M$108),+IF($M$18='2. Customer Classes'!$B$19,+SUM('3. Consumption by Rate Class'!$P$97:$P$108),IF($M$18='2. Customer Classes'!$B$20,+SUM('3. Consumption by Rate Class'!$S$97:$S$108),0)))</f>
        <v>3038.3999999999996</v>
      </c>
      <c r="R27" s="53">
        <f>IF($M$18='2. Customer Classes'!$B$14,+'4. Customer Growth'!$C23,+IF($M$18='2. Customer Classes'!$B$15,+'4. Customer Growth'!$E23,+IF($M$18='2. Customer Classes'!$B$16,+'4. Customer Growth'!$G23,+IF($M$18='2. Customer Classes'!$B$17,+'4. Customer Growth'!$I23,+IF($M$18='2. Customer Classes'!$B$18,+'4. Customer Growth'!$K23,+IF($M$18='2. Customer Classes'!$B$19,+'4. Customer Growth'!$M23,IF($M$18='2. Customer Classes'!$B$20,+'4. Customer Growth'!$O23,0)))))))</f>
        <v>1195</v>
      </c>
      <c r="S27" s="318">
        <f t="shared" si="7"/>
        <v>916.68535564853562</v>
      </c>
      <c r="T27" s="321">
        <f t="shared" si="8"/>
        <v>2.5425941422594138</v>
      </c>
      <c r="U27" s="286">
        <f t="shared" si="9"/>
        <v>2.773682514498753E-3</v>
      </c>
      <c r="W27" s="157">
        <f t="shared" si="1"/>
        <v>2019</v>
      </c>
      <c r="X27" s="51">
        <f>IF($W$18='2. Customer Classes'!$B$14,+SUM('3. Consumption by Rate Class'!$D$97:$D$108),+IF($W$18='2. Customer Classes'!$B$15,+SUM('3. Consumption by Rate Class'!$F$97:$F$108),+IF($W$18='2. Customer Classes'!$B$16,+SUM('3. Consumption by Rate Class'!$H$97:$H$108),+IF($W$18='2. Customer Classes'!$B$17,+SUM('3. Consumption by Rate Class'!$J$97:$J$108),+IF($W$18='2. Customer Classes'!$B$18,+SUM('3. Consumption by Rate Class'!$L$97:$L$108),+IF($W$18='2. Customer Classes'!$B$19,+SUM('3. Consumption by Rate Class'!$O$97:$O$108),IF($W$18='2. Customer Classes'!$B$20,+SUM('3. Consumption by Rate Class'!$R$97:$R$108),0)))))))</f>
        <v>176820</v>
      </c>
      <c r="Y27" s="383"/>
      <c r="Z27" s="51">
        <f t="shared" si="10"/>
        <v>176820</v>
      </c>
      <c r="AA27" s="53">
        <f>+IF($W$18='2. Customer Classes'!$B$18,+SUM('3. Consumption by Rate Class'!$M$97:$M$108),+IF($W$18='2. Customer Classes'!$B$19,+SUM('3. Consumption by Rate Class'!$P$97:$P$108),IF($W$18='2. Customer Classes'!$B$20,+SUM('3. Consumption by Rate Class'!$S$97:$S$108),0)))</f>
        <v>0</v>
      </c>
      <c r="AB27" s="53">
        <f>IF($W$18='2. Customer Classes'!$B$14,+'4. Customer Growth'!$C23,+IF($W$18='2. Customer Classes'!$B$15,+'4. Customer Growth'!$E23,+IF($W$18='2. Customer Classes'!$B$16,+'4. Customer Growth'!$G23,+IF($W$18='2. Customer Classes'!$B$17,+'4. Customer Growth'!$I23,+IF($W$18='2. Customer Classes'!$B$18,+'4. Customer Growth'!$K23,+IF($W$18='2. Customer Classes'!$B$19,+'4. Customer Growth'!$M23,IF($W$18='2. Customer Classes'!$B$20,+'4. Customer Growth'!$O23,0)))))))</f>
        <v>37</v>
      </c>
      <c r="AC27" s="318">
        <f t="shared" si="11"/>
        <v>0</v>
      </c>
      <c r="AD27" s="321">
        <f t="shared" si="12"/>
        <v>0</v>
      </c>
      <c r="AE27" s="286">
        <f t="shared" si="13"/>
        <v>0</v>
      </c>
      <c r="AG27" s="299">
        <f t="shared" si="14"/>
        <v>2019</v>
      </c>
      <c r="AH27" s="51">
        <f>IF($AG$18='2. Customer Classes'!$B$14,+SUM('3. Consumption by Rate Class'!$D$97:$D$108),+IF($AG$18='2. Customer Classes'!$B$15,+SUM('3. Consumption by Rate Class'!$F$97:$F$108),+IF($AG$18='2. Customer Classes'!$B$16,+SUM('3. Consumption by Rate Class'!$H$97:$H$108),+IF($AG$18='2. Customer Classes'!$B$17,+SUM('3. Consumption by Rate Class'!$J$97:$J$108),+IF($AG$18='2. Customer Classes'!$B$18,+SUM('3. Consumption by Rate Class'!$L$97:$L$108),+IF($AG$18='2. Customer Classes'!$B$19,+SUM('3. Consumption by Rate Class'!$O$97:$O$108),IF($AG$18='2. Customer Classes'!$B$20,+SUM('3. Consumption by Rate Class'!$R$97:$R$108),IF($AG$18='2. Customer Classes'!$B$21,+SUM('3. Consumption by Rate Class'!$U$97:$U$108),0))))))))</f>
        <v>0</v>
      </c>
      <c r="AI27" s="383"/>
      <c r="AJ27" s="51">
        <f t="shared" si="15"/>
        <v>0</v>
      </c>
      <c r="AK27" s="53">
        <f>+IF($AG$18='2. Customer Classes'!$B$18,+SUM('3. Consumption by Rate Class'!$M$97:$M$108),+IF($AG$18='2. Customer Classes'!$B$19,+SUM('3. Consumption by Rate Class'!$P$97:$P$108),IF($AG$18='2. Customer Classes'!$B$20,+SUM('3. Consumption by Rate Class'!$S$97:$S$108),IF($AG$18='2. Customer Classes'!$B$21,+SUM('3. Consumption by Rate Class'!$V$97:$V$108),0))))</f>
        <v>0</v>
      </c>
      <c r="AL27" s="53">
        <f>IF($AG$18='2. Customer Classes'!$B$14,+'4. Customer Growth'!$C23,+IF($AG$18='2. Customer Classes'!$B$15,+'4. Customer Growth'!$E23,+IF($AG$18='2. Customer Classes'!$B$16,+'4. Customer Growth'!$G23,+IF($AG$18='2. Customer Classes'!$B$17,+'4. Customer Growth'!$I23,+IF($AG$18='2. Customer Classes'!$B$18,+'4. Customer Growth'!$K23,+IF($AG$18='2. Customer Classes'!$B$19,+'4. Customer Growth'!$M23,IF($AG$18='2. Customer Classes'!$B$20,+'4. Customer Growth'!$O23,IF($AG$18='2. Customer Classes'!$B$21,+'4. Customer Growth'!$Q23,0))))))))</f>
        <v>0</v>
      </c>
      <c r="AM27" s="318">
        <f t="shared" si="23"/>
        <v>0</v>
      </c>
      <c r="AN27" s="321">
        <f t="shared" si="16"/>
        <v>0</v>
      </c>
      <c r="AO27" s="286">
        <f t="shared" si="17"/>
        <v>0</v>
      </c>
      <c r="AQ27" s="299">
        <f t="shared" si="18"/>
        <v>2019</v>
      </c>
      <c r="AR27" s="51">
        <f>IF($AQ$18='2. Customer Classes'!$B$14,+SUM('3. Consumption by Rate Class'!$D$97:$D$108),+IF($AQ$18='2. Customer Classes'!$B$15,+SUM('3. Consumption by Rate Class'!$F$97:$F$108),+IF($AQ$18='2. Customer Classes'!$B$16,+SUM('3. Consumption by Rate Class'!$H$97:$H$108),+IF($AQ$18='2. Customer Classes'!$B$17,+SUM('3. Consumption by Rate Class'!$J$97:$J$108),+IF($AQ$18='2. Customer Classes'!$B$18,+SUM('3. Consumption by Rate Class'!$L$97:$L$108),+IF($AQ$18='2. Customer Classes'!$B$19,+SUM('3. Consumption by Rate Class'!$O$97:$O$108),IF($AQ$18='2. Customer Classes'!$B$20,+SUM('3. Consumption by Rate Class'!$R$97:$R$108),0)))))))</f>
        <v>0</v>
      </c>
      <c r="AS27" s="383"/>
      <c r="AT27" s="51">
        <f t="shared" si="19"/>
        <v>0</v>
      </c>
      <c r="AU27" s="53">
        <f>+IF($AQ$18='2. Customer Classes'!$B$18,+SUM('3. Consumption by Rate Class'!$M$97:$M$108),+IF($AQ$18='2. Customer Classes'!$B$19,+SUM('3. Consumption by Rate Class'!$P$97:$P$108),IF($AQ$18='2. Customer Classes'!$B$20,+SUM('3. Consumption by Rate Class'!$S$97:$S$108),0)))</f>
        <v>0</v>
      </c>
      <c r="AV27" s="53">
        <f>IF($AQ$18='2. Customer Classes'!$B$14,+'4. Customer Growth'!$C23,+IF($AQ$18='2. Customer Classes'!$B$15,+'4. Customer Growth'!$E23,+IF($AQ$18='2. Customer Classes'!$B$16,+'4. Customer Growth'!$G23,+IF($AQ$18='2. Customer Classes'!$B$17,+'4. Customer Growth'!$I23,+IF($AQ$18='2. Customer Classes'!$B$18,+'4. Customer Growth'!$K23,+IF($AQ$18='2. Customer Classes'!$B$19,+'4. Customer Growth'!$M23,IF($AQ$18='2. Customer Classes'!$B$20,+'4. Customer Growth'!$O23,0)))))))</f>
        <v>0</v>
      </c>
      <c r="AW27" s="318">
        <f t="shared" si="20"/>
        <v>0</v>
      </c>
      <c r="AX27" s="321">
        <f t="shared" si="21"/>
        <v>0</v>
      </c>
      <c r="AY27" s="286">
        <f t="shared" si="22"/>
        <v>0</v>
      </c>
    </row>
    <row r="28" spans="2:51" ht="12.75" customHeight="1">
      <c r="B28" s="157">
        <f>'4. Customer Growth'!B24</f>
        <v>2020</v>
      </c>
      <c r="C28" s="51">
        <f>IF($B$18='2. Customer Classes'!$B$14,+SUM('3. Consumption by Rate Class'!$D$109:$D$120),+IF($B$18='2. Customer Classes'!$B$15,+SUM('3. Consumption by Rate Class'!$F$109:$F$120),+IF($B$18='2. Customer Classes'!$B$16,+SUM('3. Consumption by Rate Class'!$H$109:$H$120),+IF($B$18='2. Customer Classes'!$B$17,+SUM('3. Consumption by Rate Class'!$J$109:$J$120),+IF($B$18='2. Customer Classes'!$B$18,+SUM('3. Consumption by Rate Class'!$L$109:$L$120),+IF($B$18='2. Customer Classes'!$B$19,+SUM('3. Consumption by Rate Class'!$O$109:$O$120),IF($B$18='2. Customer Classes'!$B$20,+SUM('3. Consumption by Rate Class'!$R$109:$R$120),0)))))))</f>
        <v>40141946</v>
      </c>
      <c r="D28" s="383"/>
      <c r="E28" s="51">
        <f t="shared" si="2"/>
        <v>40141946</v>
      </c>
      <c r="F28" s="51">
        <f>+IF($B$18='2. Customer Classes'!$B$18,+SUM('3. Consumption by Rate Class'!$M$109:$M$120),+IF($B$18='2. Customer Classes'!$B$19,+SUM('3. Consumption by Rate Class'!$P$109:$P$120),IF($B$18='2. Customer Classes'!$B$20,+SUM('3. Consumption by Rate Class'!$S$109:$S$120),0)))</f>
        <v>91748.83</v>
      </c>
      <c r="G28" s="51">
        <f>IF($B$18='2. Customer Classes'!$B$14,+'4. Customer Growth'!$C24,+IF($B$18='2. Customer Classes'!$B$15,+'4. Customer Growth'!$E24,+IF($B$18='2. Customer Classes'!$B$16,+'4. Customer Growth'!$G24,+IF($B$18='2. Customer Classes'!$B$17,+'4. Customer Growth'!$I24,+IF($B$18='2. Customer Classes'!$B$18,+'4. Customer Growth'!$K24,+IF($B$18='2. Customer Classes'!$B$19,+'4. Customer Growth'!$M24,IF($B$18='2. Customer Classes'!$B$20,+'4. Customer Growth'!$O24,0)))))))</f>
        <v>38.5</v>
      </c>
      <c r="H28" s="318">
        <f t="shared" si="3"/>
        <v>1042647.9480519481</v>
      </c>
      <c r="I28" s="321">
        <f t="shared" si="4"/>
        <v>2383.0864935064938</v>
      </c>
      <c r="J28" s="286">
        <f t="shared" si="5"/>
        <v>2.2856099203561282E-3</v>
      </c>
      <c r="K28" s="149"/>
      <c r="L28" s="149"/>
      <c r="M28" s="157">
        <f t="shared" si="0"/>
        <v>2020</v>
      </c>
      <c r="N28" s="51">
        <f>IF($M$18='2. Customer Classes'!$B$14,+SUM('3. Consumption by Rate Class'!$D$109:$D$120),+IF($M$18='2. Customer Classes'!$B$15,+SUM('3. Consumption by Rate Class'!$F$109:$F$120),+IF($M$18='2. Customer Classes'!$B$16,+SUM('3. Consumption by Rate Class'!$H$109:$H$120),+IF($M$18='2. Customer Classes'!$B$17,+SUM('3. Consumption by Rate Class'!$J$109:$J$120),+IF($M$18='2. Customer Classes'!$B$18,+SUM('3. Consumption by Rate Class'!$L$109:$L$120),+IF($M$18='2. Customer Classes'!$B$19,+SUM('3. Consumption by Rate Class'!$O$109:$O$120),IF($M$18='2. Customer Classes'!$B$20,+SUM('3. Consumption by Rate Class'!$R$109:$R$120),0)))))))</f>
        <v>1073512</v>
      </c>
      <c r="O28" s="383"/>
      <c r="P28" s="51">
        <f t="shared" si="6"/>
        <v>1073512</v>
      </c>
      <c r="Q28" s="53">
        <f>+IF($M$18='2. Customer Classes'!$B$18,+SUM('3. Consumption by Rate Class'!$M$109:$M$120),+IF($M$18='2. Customer Classes'!$B$19,+SUM('3. Consumption by Rate Class'!$P$109:$P$120),IF($M$18='2. Customer Classes'!$B$20,+SUM('3. Consumption by Rate Class'!$S$109:$S$120),0)))</f>
        <v>2981.1</v>
      </c>
      <c r="R28" s="53">
        <f>IF($M$18='2. Customer Classes'!$B$14,+'4. Customer Growth'!$C24,+IF($M$18='2. Customer Classes'!$B$15,+'4. Customer Growth'!$E24,+IF($M$18='2. Customer Classes'!$B$16,+'4. Customer Growth'!$G24,+IF($M$18='2. Customer Classes'!$B$17,+'4. Customer Growth'!$I24,+IF($M$18='2. Customer Classes'!$B$18,+'4. Customer Growth'!$K24,+IF($M$18='2. Customer Classes'!$B$19,+'4. Customer Growth'!$M24,IF($M$18='2. Customer Classes'!$B$20,+'4. Customer Growth'!$O24,0)))))))</f>
        <v>1227</v>
      </c>
      <c r="S28" s="318">
        <f t="shared" si="7"/>
        <v>874.90790546047265</v>
      </c>
      <c r="T28" s="321">
        <f t="shared" si="8"/>
        <v>2.4295843520782396</v>
      </c>
      <c r="U28" s="286">
        <f t="shared" si="9"/>
        <v>2.7769601085036776E-3</v>
      </c>
      <c r="W28" s="157">
        <f t="shared" si="1"/>
        <v>2020</v>
      </c>
      <c r="X28" s="51">
        <f>IF($W$18='2. Customer Classes'!$B$14,+SUM('3. Consumption by Rate Class'!$D$109:$D$120),+IF($W$18='2. Customer Classes'!$B$15,+SUM('3. Consumption by Rate Class'!$F$109:$F$120),+IF($W$18='2. Customer Classes'!$B$16,+SUM('3. Consumption by Rate Class'!$H$109:$H$120),+IF($W$18='2. Customer Classes'!$B$17,+SUM('3. Consumption by Rate Class'!$J$109:$J$120),+IF($W$18='2. Customer Classes'!$B$18,+SUM('3. Consumption by Rate Class'!$L$109:$L$120),+IF($W$18='2. Customer Classes'!$B$19,+SUM('3. Consumption by Rate Class'!$O$109:$O$120),IF($W$18='2. Customer Classes'!$B$20,+SUM('3. Consumption by Rate Class'!$R$109:$R$120),0)))))))</f>
        <v>224089</v>
      </c>
      <c r="Y28" s="383"/>
      <c r="Z28" s="51">
        <f t="shared" si="10"/>
        <v>224089</v>
      </c>
      <c r="AA28" s="53">
        <f>+IF($W$18='2. Customer Classes'!$B$18,+SUM('3. Consumption by Rate Class'!$M$109:$M$120),+IF($W$18='2. Customer Classes'!$B$19,+SUM('3. Consumption by Rate Class'!$P$109:$P$120),IF($W$18='2. Customer Classes'!$B$20,+SUM('3. Consumption by Rate Class'!$S$109:$S$120),0)))</f>
        <v>0</v>
      </c>
      <c r="AB28" s="53">
        <f>IF($W$18='2. Customer Classes'!$B$14,+'4. Customer Growth'!$C24,+IF($W$18='2. Customer Classes'!$B$15,+'4. Customer Growth'!$E24,+IF($W$18='2. Customer Classes'!$B$16,+'4. Customer Growth'!$G24,+IF($W$18='2. Customer Classes'!$B$17,+'4. Customer Growth'!$I24,+IF($W$18='2. Customer Classes'!$B$18,+'4. Customer Growth'!$K24,+IF($W$18='2. Customer Classes'!$B$19,+'4. Customer Growth'!$M24,IF($W$18='2. Customer Classes'!$B$20,+'4. Customer Growth'!$O24,0)))))))</f>
        <v>37</v>
      </c>
      <c r="AC28" s="318">
        <f t="shared" si="11"/>
        <v>0</v>
      </c>
      <c r="AD28" s="321">
        <f t="shared" si="12"/>
        <v>0</v>
      </c>
      <c r="AE28" s="286">
        <f t="shared" si="13"/>
        <v>0</v>
      </c>
      <c r="AG28" s="299">
        <f t="shared" si="14"/>
        <v>2020</v>
      </c>
      <c r="AH28" s="51">
        <f>IF($AG$18='2. Customer Classes'!$B$14,+SUM('3. Consumption by Rate Class'!$D$109:$D$120),+IF($AG$18='2. Customer Classes'!$B$15,+SUM('3. Consumption by Rate Class'!$F$109:$F$120),+IF($AG$18='2. Customer Classes'!$B$16,+SUM('3. Consumption by Rate Class'!$H$109:$H$120),+IF($AG$18='2. Customer Classes'!$B$17,+SUM('3. Consumption by Rate Class'!$J$109:$J$120),+IF($AG$18='2. Customer Classes'!$B$18,+SUM('3. Consumption by Rate Class'!$L$109:$L$120),+IF($AG$18='2. Customer Classes'!$B$19,+SUM('3. Consumption by Rate Class'!$O$109:$O$120),IF($AG$18='2. Customer Classes'!$B$20,+SUM('3. Consumption by Rate Class'!$R$109:$R$120),IF($AG$18='2. Customer Classes'!$B$21,+SUM('3. Consumption by Rate Class'!$U$109:$U$120),0))))))))</f>
        <v>0</v>
      </c>
      <c r="AI28" s="383"/>
      <c r="AJ28" s="51">
        <f t="shared" si="15"/>
        <v>0</v>
      </c>
      <c r="AK28" s="53">
        <f>+IF($AG$18='2. Customer Classes'!$B$18,+SUM('3. Consumption by Rate Class'!$M$109:$M$120),+IF($AG$18='2. Customer Classes'!$B$19,+SUM('3. Consumption by Rate Class'!$P$109:$P$120),IF($AG$18='2. Customer Classes'!$B$20,+SUM('3. Consumption by Rate Class'!$S$109:$S$120),IF($AG$18='2. Customer Classes'!$B$21,+SUM('3. Consumption by Rate Class'!$V$109:$V$120),0))))</f>
        <v>0</v>
      </c>
      <c r="AL28" s="53">
        <f>IF($AG$18='2. Customer Classes'!$B$14,+'4. Customer Growth'!$C24,+IF($AG$18='2. Customer Classes'!$B$15,+'4. Customer Growth'!$E24,+IF($AG$18='2. Customer Classes'!$B$16,+'4. Customer Growth'!$G24,+IF($AG$18='2. Customer Classes'!$B$17,+'4. Customer Growth'!$I24,+IF($AG$18='2. Customer Classes'!$B$18,+'4. Customer Growth'!$K24,+IF($AG$18='2. Customer Classes'!$B$19,+'4. Customer Growth'!$M24,IF($AG$18='2. Customer Classes'!$B$20,+'4. Customer Growth'!$O24,IF($AG$18='2. Customer Classes'!$B$21,+'4. Customer Growth'!$Q24,0))))))))</f>
        <v>0</v>
      </c>
      <c r="AM28" s="318">
        <f t="shared" si="23"/>
        <v>0</v>
      </c>
      <c r="AN28" s="321">
        <f t="shared" si="16"/>
        <v>0</v>
      </c>
      <c r="AO28" s="286">
        <f t="shared" si="17"/>
        <v>0</v>
      </c>
      <c r="AQ28" s="299">
        <f t="shared" si="18"/>
        <v>2020</v>
      </c>
      <c r="AR28" s="51">
        <f>IF($AQ$18='2. Customer Classes'!$B$14,+SUM('3. Consumption by Rate Class'!$D$109:$D$120),+IF($AQ$18='2. Customer Classes'!$B$15,+SUM('3. Consumption by Rate Class'!$F$109:$F$120),+IF($AQ$18='2. Customer Classes'!$B$16,+SUM('3. Consumption by Rate Class'!$H$109:$H$120),+IF($AQ$18='2. Customer Classes'!$B$17,+SUM('3. Consumption by Rate Class'!$J$109:$J$120),+IF($AQ$18='2. Customer Classes'!$B$18,+SUM('3. Consumption by Rate Class'!$L$109:$L$120),+IF($AQ$18='2. Customer Classes'!$B$19,+SUM('3. Consumption by Rate Class'!$O$109:$O$120),IF($AQ$18='2. Customer Classes'!$B$20,+SUM('3. Consumption by Rate Class'!$R$109:$R$120),0)))))))</f>
        <v>0</v>
      </c>
      <c r="AS28" s="383"/>
      <c r="AT28" s="51">
        <f t="shared" si="19"/>
        <v>0</v>
      </c>
      <c r="AU28" s="53">
        <f>+IF($AQ$18='2. Customer Classes'!$B$18,+SUM('3. Consumption by Rate Class'!$M$109:$M$120),+IF($AQ$18='2. Customer Classes'!$B$19,+SUM('3. Consumption by Rate Class'!$P$109:$P$120),IF($AQ$18='2. Customer Classes'!$B$20,+SUM('3. Consumption by Rate Class'!$S$109:$S$120),0)))</f>
        <v>0</v>
      </c>
      <c r="AV28" s="53">
        <f>IF($AQ$18='2. Customer Classes'!$B$14,+'4. Customer Growth'!$C24,+IF($AQ$18='2. Customer Classes'!$B$15,+'4. Customer Growth'!$E24,+IF($AQ$18='2. Customer Classes'!$B$16,+'4. Customer Growth'!$G24,+IF($AQ$18='2. Customer Classes'!$B$17,+'4. Customer Growth'!$I24,+IF($AQ$18='2. Customer Classes'!$B$18,+'4. Customer Growth'!$K24,+IF($AQ$18='2. Customer Classes'!$B$19,+'4. Customer Growth'!$M24,IF($AQ$18='2. Customer Classes'!$B$20,+'4. Customer Growth'!$O24,0)))))))</f>
        <v>0</v>
      </c>
      <c r="AW28" s="318">
        <f t="shared" si="20"/>
        <v>0</v>
      </c>
      <c r="AX28" s="321">
        <f t="shared" si="21"/>
        <v>0</v>
      </c>
      <c r="AY28" s="286">
        <f t="shared" si="22"/>
        <v>0</v>
      </c>
    </row>
    <row r="29" spans="2:51" ht="12.75" customHeight="1">
      <c r="B29" s="157">
        <f>'4. Customer Growth'!B25</f>
        <v>2021</v>
      </c>
      <c r="C29" s="51">
        <f>IF($B$18='2. Customer Classes'!$B$14,+SUM('3. Consumption by Rate Class'!$D$121:$D$132),+IF($B$18='2. Customer Classes'!$B$15,+SUM('3. Consumption by Rate Class'!$F$121:$F$132),+IF($B$18='2. Customer Classes'!$B$16,+SUM('3. Consumption by Rate Class'!$H$121:$H$132),+IF($B$18='2. Customer Classes'!$B$17,+SUM('3. Consumption by Rate Class'!$J$121:$J$132),+IF($B$18='2. Customer Classes'!$B$18,+SUM('3. Consumption by Rate Class'!$L$121:$L$132),+IF($B$18='2. Customer Classes'!$B$19,+SUM('3. Consumption by Rate Class'!$O$121:$O$132),IF($B$18='2. Customer Classes'!$B$20,+SUM('3. Consumption by Rate Class'!$R$121:$R$132),0)))))))</f>
        <v>41367499</v>
      </c>
      <c r="D29" s="383"/>
      <c r="E29" s="51">
        <f t="shared" si="2"/>
        <v>41367499</v>
      </c>
      <c r="F29" s="51">
        <f>+IF($B$18='2. Customer Classes'!$B$18,+SUM('3. Consumption by Rate Class'!$M$121:$M$132),+IF($B$18='2. Customer Classes'!$B$19,+SUM('3. Consumption by Rate Class'!$P$121:$P$132),IF($B$18='2. Customer Classes'!$B$20,+SUM('3. Consumption by Rate Class'!$S$121:$S$132),0)))</f>
        <v>100012.68</v>
      </c>
      <c r="G29" s="51">
        <f>IF($B$18='2. Customer Classes'!$B$14,+'4. Customer Growth'!$C25,+IF($B$18='2. Customer Classes'!$B$15,+'4. Customer Growth'!$E25,+IF($B$18='2. Customer Classes'!$B$16,+'4. Customer Growth'!$G25,+IF($B$18='2. Customer Classes'!$B$17,+'4. Customer Growth'!$I25,+IF($B$18='2. Customer Classes'!$B$18,+'4. Customer Growth'!$K25,+IF($B$18='2. Customer Classes'!$B$19,+'4. Customer Growth'!$M25,IF($B$18='2. Customer Classes'!$B$20,+'4. Customer Growth'!$O25,0)))))))</f>
        <v>41.5</v>
      </c>
      <c r="H29" s="318">
        <f t="shared" si="3"/>
        <v>996807.20481927716</v>
      </c>
      <c r="I29" s="321">
        <f t="shared" si="4"/>
        <v>2409.9440963855418</v>
      </c>
      <c r="J29" s="286">
        <f t="shared" si="5"/>
        <v>2.4176631997984695E-3</v>
      </c>
      <c r="K29" s="149"/>
      <c r="L29" s="149"/>
      <c r="M29" s="157">
        <f t="shared" si="0"/>
        <v>2021</v>
      </c>
      <c r="N29" s="51">
        <f>IF($M$18='2. Customer Classes'!$B$14,+SUM('3. Consumption by Rate Class'!$D$121:$D$132),+IF($M$18='2. Customer Classes'!$B$15,+SUM('3. Consumption by Rate Class'!$F$121:$F$132),+IF($M$18='2. Customer Classes'!$B$16,+SUM('3. Consumption by Rate Class'!$H$121:$H$132),+IF($M$18='2. Customer Classes'!$B$17,+SUM('3. Consumption by Rate Class'!$J$121:$J$132),+IF($M$18='2. Customer Classes'!$B$18,+SUM('3. Consumption by Rate Class'!$L$121:$L$132),+IF($M$18='2. Customer Classes'!$B$19,+SUM('3. Consumption by Rate Class'!$O$121:$O$132),IF($M$18='2. Customer Classes'!$B$20,+SUM('3. Consumption by Rate Class'!$R$121:$R$132),0)))))))</f>
        <v>332564</v>
      </c>
      <c r="O29" s="383"/>
      <c r="P29" s="51">
        <f t="shared" si="6"/>
        <v>332564</v>
      </c>
      <c r="Q29" s="53">
        <f>+IF($M$18='2. Customer Classes'!$B$18,+SUM('3. Consumption by Rate Class'!$M$121:$M$132),+IF($M$18='2. Customer Classes'!$B$19,+SUM('3. Consumption by Rate Class'!$P$121:$P$132),IF($M$18='2. Customer Classes'!$B$20,+SUM('3. Consumption by Rate Class'!$S$121:$S$132),0)))</f>
        <v>950.30000000000018</v>
      </c>
      <c r="R29" s="53">
        <f>IF($M$18='2. Customer Classes'!$B$14,+'4. Customer Growth'!$C25,+IF($M$18='2. Customer Classes'!$B$15,+'4. Customer Growth'!$E25,+IF($M$18='2. Customer Classes'!$B$16,+'4. Customer Growth'!$G25,+IF($M$18='2. Customer Classes'!$B$17,+'4. Customer Growth'!$I25,+IF($M$18='2. Customer Classes'!$B$18,+'4. Customer Growth'!$K25,+IF($M$18='2. Customer Classes'!$B$19,+'4. Customer Growth'!$M25,IF($M$18='2. Customer Classes'!$B$20,+'4. Customer Growth'!$O25,0)))))))</f>
        <v>1227</v>
      </c>
      <c r="S29" s="318">
        <f t="shared" si="7"/>
        <v>271.03830480847597</v>
      </c>
      <c r="T29" s="321">
        <f t="shared" si="8"/>
        <v>0.77449062754686238</v>
      </c>
      <c r="U29" s="286">
        <f t="shared" si="9"/>
        <v>2.8574950986877718E-3</v>
      </c>
      <c r="W29" s="157">
        <f t="shared" si="1"/>
        <v>2021</v>
      </c>
      <c r="X29" s="51">
        <f>IF($W$18='2. Customer Classes'!$B$14,+SUM('3. Consumption by Rate Class'!$D$121:$D$132),+IF($W$18='2. Customer Classes'!$B$15,+SUM('3. Consumption by Rate Class'!$F$121:$F$132),+IF($W$18='2. Customer Classes'!$B$16,+SUM('3. Consumption by Rate Class'!$H$121:$H$132),+IF($W$18='2. Customer Classes'!$B$17,+SUM('3. Consumption by Rate Class'!$J$121:$J$132),+IF($W$18='2. Customer Classes'!$B$18,+SUM('3. Consumption by Rate Class'!$L$121:$L$132),+IF($W$18='2. Customer Classes'!$B$19,+SUM('3. Consumption by Rate Class'!$O$121:$O$132),IF($W$18='2. Customer Classes'!$B$20,+SUM('3. Consumption by Rate Class'!$R$121:$R$132),0)))))))</f>
        <v>269522</v>
      </c>
      <c r="Y29" s="383"/>
      <c r="Z29" s="51">
        <f t="shared" si="10"/>
        <v>269522</v>
      </c>
      <c r="AA29" s="53">
        <f>+IF($W$18='2. Customer Classes'!$B$18,+SUM('3. Consumption by Rate Class'!$M$121:$M$132),+IF($W$18='2. Customer Classes'!$B$19,+SUM('3. Consumption by Rate Class'!$P$121:$P$132),IF($W$18='2. Customer Classes'!$B$20,+SUM('3. Consumption by Rate Class'!$S$121:$S$132),0)))</f>
        <v>0</v>
      </c>
      <c r="AB29" s="53">
        <f>IF($W$18='2. Customer Classes'!$B$14,+'4. Customer Growth'!$C25,+IF($W$18='2. Customer Classes'!$B$15,+'4. Customer Growth'!$E25,+IF($W$18='2. Customer Classes'!$B$16,+'4. Customer Growth'!$G25,+IF($W$18='2. Customer Classes'!$B$17,+'4. Customer Growth'!$I25,+IF($W$18='2. Customer Classes'!$B$18,+'4. Customer Growth'!$K25,+IF($W$18='2. Customer Classes'!$B$19,+'4. Customer Growth'!$M25,IF($W$18='2. Customer Classes'!$B$20,+'4. Customer Growth'!$O25,0)))))))</f>
        <v>37</v>
      </c>
      <c r="AC29" s="318">
        <f t="shared" si="11"/>
        <v>0</v>
      </c>
      <c r="AD29" s="321">
        <f t="shared" si="12"/>
        <v>0</v>
      </c>
      <c r="AE29" s="286">
        <f t="shared" si="13"/>
        <v>0</v>
      </c>
      <c r="AG29" s="299">
        <f t="shared" si="14"/>
        <v>2021</v>
      </c>
      <c r="AH29" s="51">
        <f>IF($AG$18='2. Customer Classes'!$B$14,+SUM('3. Consumption by Rate Class'!$D$121:$D$132),+IF($AG$18='2. Customer Classes'!$B$15,+SUM('3. Consumption by Rate Class'!$F$121:$F$132),+IF($AG$18='2. Customer Classes'!$B$16,+SUM('3. Consumption by Rate Class'!$H$121:$H$132),+IF($AG$18='2. Customer Classes'!$B$17,+SUM('3. Consumption by Rate Class'!$J$121:$J$132),+IF($AG$18='2. Customer Classes'!$B$18,+SUM('3. Consumption by Rate Class'!$L$121:$L$132),+IF($AG$18='2. Customer Classes'!$B$19,+SUM('3. Consumption by Rate Class'!$O$121:$O$132),IF($AG$18='2. Customer Classes'!$B$20,+SUM('3. Consumption by Rate Class'!$R$121:$R$132),IF($AG$18='2. Customer Classes'!$B$21,+SUM('3. Consumption by Rate Class'!$U$121:$U$132),0))))))))</f>
        <v>0</v>
      </c>
      <c r="AI29" s="383"/>
      <c r="AJ29" s="51">
        <f t="shared" si="15"/>
        <v>0</v>
      </c>
      <c r="AK29" s="53">
        <f>+IF($AG$18='2. Customer Classes'!$B$18,+SUM('3. Consumption by Rate Class'!$M$121:$M$132),+IF($AG$18='2. Customer Classes'!$B$19,+SUM('3. Consumption by Rate Class'!$P$121:$P$132),IF($AG$18='2. Customer Classes'!$B$20,+SUM('3. Consumption by Rate Class'!$S$121:$S$132),IF($AG$18='2. Customer Classes'!$B$21,+SUM('3. Consumption by Rate Class'!$V$121:$V$132),0))))</f>
        <v>0</v>
      </c>
      <c r="AL29" s="53">
        <f>IF($AG$18='2. Customer Classes'!$B$14,+'4. Customer Growth'!$C25,+IF($AG$18='2. Customer Classes'!$B$15,+'4. Customer Growth'!$E25,+IF($AG$18='2. Customer Classes'!$B$16,+'4. Customer Growth'!$G25,+IF($AG$18='2. Customer Classes'!$B$17,+'4. Customer Growth'!$I25,+IF($AG$18='2. Customer Classes'!$B$18,+'4. Customer Growth'!$K25,+IF($AG$18='2. Customer Classes'!$B$19,+'4. Customer Growth'!$M25,IF($AG$18='2. Customer Classes'!$B$20,+'4. Customer Growth'!$O25,IF($AG$18='2. Customer Classes'!$B$21,+'4. Customer Growth'!$Q25,0))))))))</f>
        <v>0</v>
      </c>
      <c r="AM29" s="318">
        <f t="shared" si="23"/>
        <v>0</v>
      </c>
      <c r="AN29" s="321">
        <f t="shared" si="16"/>
        <v>0</v>
      </c>
      <c r="AO29" s="286">
        <f t="shared" si="17"/>
        <v>0</v>
      </c>
      <c r="AQ29" s="299">
        <f t="shared" si="18"/>
        <v>2021</v>
      </c>
      <c r="AR29" s="51">
        <f>IF($AQ$18='2. Customer Classes'!$B$14,+SUM('3. Consumption by Rate Class'!$D$121:$D$132),+IF($AQ$18='2. Customer Classes'!$B$15,+SUM('3. Consumption by Rate Class'!$F$121:$F$132),+IF($AQ$18='2. Customer Classes'!$B$16,+SUM('3. Consumption by Rate Class'!$H$121:$H$132),+IF($AQ$18='2. Customer Classes'!$B$17,+SUM('3. Consumption by Rate Class'!$J$121:$J$132),+IF($AQ$18='2. Customer Classes'!$B$18,+SUM('3. Consumption by Rate Class'!$L$121:$L$132),+IF($AQ$18='2. Customer Classes'!$B$19,+SUM('3. Consumption by Rate Class'!$O$121:$O$132),IF($AQ$18='2. Customer Classes'!$B$20,+SUM('3. Consumption by Rate Class'!$R$121:$R$132),0)))))))</f>
        <v>0</v>
      </c>
      <c r="AS29" s="383"/>
      <c r="AT29" s="51">
        <f t="shared" si="19"/>
        <v>0</v>
      </c>
      <c r="AU29" s="53">
        <f>+IF($AQ$18='2. Customer Classes'!$B$18,+SUM('3. Consumption by Rate Class'!$M$121:$M$132),+IF($AQ$18='2. Customer Classes'!$B$19,+SUM('3. Consumption by Rate Class'!$P$121:$P$132),IF($AQ$18='2. Customer Classes'!$B$20,+SUM('3. Consumption by Rate Class'!$S$121:$S$132),0)))</f>
        <v>0</v>
      </c>
      <c r="AV29" s="53">
        <f>IF($AQ$18='2. Customer Classes'!$B$14,+'4. Customer Growth'!$C25,+IF($AQ$18='2. Customer Classes'!$B$15,+'4. Customer Growth'!$E25,+IF($AQ$18='2. Customer Classes'!$B$16,+'4. Customer Growth'!$G25,+IF($AQ$18='2. Customer Classes'!$B$17,+'4. Customer Growth'!$I25,+IF($AQ$18='2. Customer Classes'!$B$18,+'4. Customer Growth'!$K25,+IF($AQ$18='2. Customer Classes'!$B$19,+'4. Customer Growth'!$M25,IF($AQ$18='2. Customer Classes'!$B$20,+'4. Customer Growth'!$O25,0)))))))</f>
        <v>0</v>
      </c>
      <c r="AW29" s="318">
        <f t="shared" si="20"/>
        <v>0</v>
      </c>
      <c r="AX29" s="321">
        <f t="shared" si="21"/>
        <v>0</v>
      </c>
      <c r="AY29" s="286">
        <f t="shared" si="22"/>
        <v>0</v>
      </c>
    </row>
    <row r="30" spans="2:51" ht="12.75" customHeight="1">
      <c r="B30" s="157">
        <f>'4. Customer Growth'!B26</f>
        <v>2022</v>
      </c>
      <c r="C30" s="51">
        <f>IF($B$18='2. Customer Classes'!$B$14,+SUM('3. Consumption by Rate Class'!$D$133:$D$144),+IF($B$18='2. Customer Classes'!$B$15,+SUM('3. Consumption by Rate Class'!$F$133:$F$144),+IF($B$18='2. Customer Classes'!$B$16,+SUM('3. Consumption by Rate Class'!$H$133:$H$144),+IF($B$18='2. Customer Classes'!$B$17,+SUM('3. Consumption by Rate Class'!$J$133:$J$144),+IF($B$18='2. Customer Classes'!$B$18,+SUM('3. Consumption by Rate Class'!$L$133:$L$144),+IF($B$18='2. Customer Classes'!$B$19,+SUM('3. Consumption by Rate Class'!$O$133:$O$144),IF($B$18='2. Customer Classes'!$B$20,+SUM('3. Consumption by Rate Class'!$R$133:$R$144),0)))))))</f>
        <v>42952845</v>
      </c>
      <c r="D30" s="383"/>
      <c r="E30" s="51">
        <f t="shared" si="2"/>
        <v>42952845</v>
      </c>
      <c r="F30" s="51">
        <f>+IF($B$18='2. Customer Classes'!$B$18,+SUM('3. Consumption by Rate Class'!$M$133:$M$144),+IF($B$18='2. Customer Classes'!$B$19,+SUM('3. Consumption by Rate Class'!$P$133:$P$144),IF($B$18='2. Customer Classes'!$B$20,+SUM('3. Consumption by Rate Class'!$S$133:$S$144),0)))</f>
        <v>102092.5</v>
      </c>
      <c r="G30" s="51">
        <f>IF($B$18='2. Customer Classes'!$B$14,+'4. Customer Growth'!$C26,+IF($B$18='2. Customer Classes'!$B$15,+'4. Customer Growth'!$E26,+IF($B$18='2. Customer Classes'!$B$16,+'4. Customer Growth'!$G26,+IF($B$18='2. Customer Classes'!$B$17,+'4. Customer Growth'!$I26,+IF($B$18='2. Customer Classes'!$B$18,+'4. Customer Growth'!$K26,+IF($B$18='2. Customer Classes'!$B$19,+'4. Customer Growth'!$M26,IF($B$18='2. Customer Classes'!$B$20,+'4. Customer Growth'!$O26,0)))))))</f>
        <v>42</v>
      </c>
      <c r="H30" s="318">
        <f t="shared" si="3"/>
        <v>1022686.7857142857</v>
      </c>
      <c r="I30" s="321">
        <f t="shared" si="4"/>
        <v>2430.7738095238096</v>
      </c>
      <c r="J30" s="286">
        <f t="shared" si="5"/>
        <v>2.3768507068623744E-3</v>
      </c>
      <c r="K30" s="149"/>
      <c r="L30" s="149"/>
      <c r="M30" s="157">
        <f t="shared" si="0"/>
        <v>2022</v>
      </c>
      <c r="N30" s="51">
        <f>IF($M$18='2. Customer Classes'!$B$14,+SUM('3. Consumption by Rate Class'!$D$133:$D$144),+IF($M$18='2. Customer Classes'!$B$15,+SUM('3. Consumption by Rate Class'!$F$133:$F$144),+IF($M$18='2. Customer Classes'!$B$16,+SUM('3. Consumption by Rate Class'!$H$133:$H$144),+IF($M$18='2. Customer Classes'!$B$17,+SUM('3. Consumption by Rate Class'!$J$133:$J$144),+IF($M$18='2. Customer Classes'!$B$18,+SUM('3. Consumption by Rate Class'!$L$133:$L$144),+IF($M$18='2. Customer Classes'!$B$19,+SUM('3. Consumption by Rate Class'!$O$133:$O$144),IF($M$18='2. Customer Classes'!$B$20,+SUM('3. Consumption by Rate Class'!$R$133:$R$144),0)))))))</f>
        <v>388078</v>
      </c>
      <c r="O30" s="383"/>
      <c r="P30" s="51">
        <f t="shared" si="6"/>
        <v>388078</v>
      </c>
      <c r="Q30" s="53">
        <f>+IF($M$18='2. Customer Classes'!$B$18,+SUM('3. Consumption by Rate Class'!$M$133:$M$144),+IF($M$18='2. Customer Classes'!$B$19,+SUM('3. Consumption by Rate Class'!$P$133:$P$144),IF($M$18='2. Customer Classes'!$B$20,+SUM('3. Consumption by Rate Class'!$S$133:$S$144),0)))</f>
        <v>1075.3000000000002</v>
      </c>
      <c r="R30" s="53">
        <f>IF($M$18='2. Customer Classes'!$B$14,+'4. Customer Growth'!$C26,+IF($M$18='2. Customer Classes'!$B$15,+'4. Customer Growth'!$E26,+IF($M$18='2. Customer Classes'!$B$16,+'4. Customer Growth'!$G26,+IF($M$18='2. Customer Classes'!$B$17,+'4. Customer Growth'!$I26,+IF($M$18='2. Customer Classes'!$B$18,+'4. Customer Growth'!$K26,+IF($M$18='2. Customer Classes'!$B$19,+'4. Customer Growth'!$M26,IF($M$18='2. Customer Classes'!$B$20,+'4. Customer Growth'!$O26,0)))))))</f>
        <v>1197</v>
      </c>
      <c r="S30" s="318">
        <f t="shared" si="7"/>
        <v>324.20885547201334</v>
      </c>
      <c r="T30" s="321">
        <f t="shared" si="8"/>
        <v>0.8983291562238932</v>
      </c>
      <c r="U30" s="286">
        <f t="shared" si="9"/>
        <v>2.7708347291008515E-3</v>
      </c>
      <c r="W30" s="157">
        <f t="shared" si="1"/>
        <v>2022</v>
      </c>
      <c r="X30" s="51">
        <f>IF($W$18='2. Customer Classes'!$B$14,+SUM('3. Consumption by Rate Class'!$D$133:$D$144),+IF($W$18='2. Customer Classes'!$B$15,+SUM('3. Consumption by Rate Class'!$F$133:$F$144),+IF($W$18='2. Customer Classes'!$B$16,+SUM('3. Consumption by Rate Class'!$H$133:$H$144),+IF($W$18='2. Customer Classes'!$B$17,+SUM('3. Consumption by Rate Class'!$J$133:$J$144),+IF($W$18='2. Customer Classes'!$B$18,+SUM('3. Consumption by Rate Class'!$L$133:$L$144),+IF($W$18='2. Customer Classes'!$B$19,+SUM('3. Consumption by Rate Class'!$O$133:$O$144),IF($W$18='2. Customer Classes'!$B$20,+SUM('3. Consumption by Rate Class'!$R$133:$R$144),0)))))))</f>
        <v>264699</v>
      </c>
      <c r="Y30" s="383"/>
      <c r="Z30" s="51">
        <f t="shared" si="10"/>
        <v>264699</v>
      </c>
      <c r="AA30" s="53">
        <f>+IF($W$18='2. Customer Classes'!$B$18,+SUM('3. Consumption by Rate Class'!$M$133:$M$144),+IF($W$18='2. Customer Classes'!$B$19,+SUM('3. Consumption by Rate Class'!$P$133:$P$144),IF($W$18='2. Customer Classes'!$B$20,+SUM('3. Consumption by Rate Class'!$S$133:$S$144),0)))</f>
        <v>0</v>
      </c>
      <c r="AB30" s="53">
        <f>IF($W$18='2. Customer Classes'!$B$14,+'4. Customer Growth'!$C26,+IF($W$18='2. Customer Classes'!$B$15,+'4. Customer Growth'!$E26,+IF($W$18='2. Customer Classes'!$B$16,+'4. Customer Growth'!$G26,+IF($W$18='2. Customer Classes'!$B$17,+'4. Customer Growth'!$I26,+IF($W$18='2. Customer Classes'!$B$18,+'4. Customer Growth'!$K26,+IF($W$18='2. Customer Classes'!$B$19,+'4. Customer Growth'!$M26,IF($W$18='2. Customer Classes'!$B$20,+'4. Customer Growth'!$O26,0)))))))</f>
        <v>37</v>
      </c>
      <c r="AC30" s="318">
        <f t="shared" si="11"/>
        <v>0</v>
      </c>
      <c r="AD30" s="321">
        <f t="shared" si="12"/>
        <v>0</v>
      </c>
      <c r="AE30" s="286">
        <f t="shared" si="13"/>
        <v>0</v>
      </c>
      <c r="AG30" s="299">
        <f t="shared" si="14"/>
        <v>2022</v>
      </c>
      <c r="AH30" s="51">
        <f>IF($AG$18='2. Customer Classes'!$B$14,+SUM('3. Consumption by Rate Class'!$D$133:$D$144),+IF($AG$18='2. Customer Classes'!$B$15,+SUM('3. Consumption by Rate Class'!$F$133:$F$144),+IF($AG$18='2. Customer Classes'!$B$16,+SUM('3. Consumption by Rate Class'!$H$133:$H$144),+IF($AG$18='2. Customer Classes'!$B$17,+SUM('3. Consumption by Rate Class'!$J$133:$J$144),+IF($AG$18='2. Customer Classes'!$B$18,+SUM('3. Consumption by Rate Class'!$L$133:$L$144),+IF($AG$18='2. Customer Classes'!$B$19,+SUM('3. Consumption by Rate Class'!$O$133:$O$144),IF($AG$18='2. Customer Classes'!$B$20,+SUM('3. Consumption by Rate Class'!$R$133:$R$144),IF($AG$18='2. Customer Classes'!$B$21,+SUM('3. Consumption by Rate Class'!$U$133:$U$144),0))))))))</f>
        <v>0</v>
      </c>
      <c r="AI30" s="383"/>
      <c r="AJ30" s="51">
        <f t="shared" si="15"/>
        <v>0</v>
      </c>
      <c r="AK30" s="53">
        <f>+IF($AG$18='2. Customer Classes'!$B$18,+SUM('3. Consumption by Rate Class'!$M$133:$M$144),+IF($AG$18='2. Customer Classes'!$B$19,+SUM('3. Consumption by Rate Class'!$P$133:$P$144),IF($AG$18='2. Customer Classes'!$B$20,+SUM('3. Consumption by Rate Class'!$S$133:$S$144),IF($AG$18='2. Customer Classes'!$B$21,+SUM('3. Consumption by Rate Class'!$V$133:$V$144),0))))</f>
        <v>0</v>
      </c>
      <c r="AL30" s="53">
        <f>IF($AG$18='2. Customer Classes'!$B$14,+'4. Customer Growth'!$C26,+IF($AG$18='2. Customer Classes'!$B$15,+'4. Customer Growth'!$E26,+IF($AG$18='2. Customer Classes'!$B$16,+'4. Customer Growth'!$G26,+IF($AG$18='2. Customer Classes'!$B$17,+'4. Customer Growth'!$I26,+IF($AG$18='2. Customer Classes'!$B$18,+'4. Customer Growth'!$K26,+IF($AG$18='2. Customer Classes'!$B$19,+'4. Customer Growth'!$M26,IF($AG$18='2. Customer Classes'!$B$20,+'4. Customer Growth'!$O26,IF($AG$18='2. Customer Classes'!$B$21,+'4. Customer Growth'!$Q26,0))))))))</f>
        <v>0</v>
      </c>
      <c r="AM30" s="318">
        <f t="shared" si="23"/>
        <v>0</v>
      </c>
      <c r="AN30" s="321">
        <f t="shared" si="16"/>
        <v>0</v>
      </c>
      <c r="AO30" s="286">
        <f t="shared" si="17"/>
        <v>0</v>
      </c>
      <c r="AQ30" s="299">
        <f t="shared" si="18"/>
        <v>2022</v>
      </c>
      <c r="AR30" s="51">
        <f>IF($AQ$18='2. Customer Classes'!$B$14,+SUM('3. Consumption by Rate Class'!$D$133:$D$144),+IF($AQ$18='2. Customer Classes'!$B$15,+SUM('3. Consumption by Rate Class'!$F$133:$F$144),+IF($AQ$18='2. Customer Classes'!$B$16,+SUM('3. Consumption by Rate Class'!$H$133:$H$144),+IF($AQ$18='2. Customer Classes'!$B$17,+SUM('3. Consumption by Rate Class'!$J$133:$J$144),+IF($AQ$18='2. Customer Classes'!$B$18,+SUM('3. Consumption by Rate Class'!$L$133:$L$144),+IF($AQ$18='2. Customer Classes'!$B$19,+SUM('3. Consumption by Rate Class'!$O$133:$O$144),IF($AQ$18='2. Customer Classes'!$B$20,+SUM('3. Consumption by Rate Class'!$R$133:$R$144),0)))))))</f>
        <v>0</v>
      </c>
      <c r="AS30" s="383"/>
      <c r="AT30" s="51">
        <f t="shared" si="19"/>
        <v>0</v>
      </c>
      <c r="AU30" s="53">
        <f>+IF($AQ$18='2. Customer Classes'!$B$18,+SUM('3. Consumption by Rate Class'!$M$133:$M$144),+IF($AQ$18='2. Customer Classes'!$B$19,+SUM('3. Consumption by Rate Class'!$P$133:$P$144),IF($AQ$18='2. Customer Classes'!$B$20,+SUM('3. Consumption by Rate Class'!$S$133:$S$144),0)))</f>
        <v>0</v>
      </c>
      <c r="AV30" s="53">
        <f>IF($AQ$18='2. Customer Classes'!$B$14,+'4. Customer Growth'!$C26,+IF($AQ$18='2. Customer Classes'!$B$15,+'4. Customer Growth'!$E26,+IF($AQ$18='2. Customer Classes'!$B$16,+'4. Customer Growth'!$G26,+IF($AQ$18='2. Customer Classes'!$B$17,+'4. Customer Growth'!$I26,+IF($AQ$18='2. Customer Classes'!$B$18,+'4. Customer Growth'!$K26,+IF($AQ$18='2. Customer Classes'!$B$19,+'4. Customer Growth'!$M26,IF($AQ$18='2. Customer Classes'!$B$20,+'4. Customer Growth'!$O26,0)))))))</f>
        <v>0</v>
      </c>
      <c r="AW30" s="318">
        <f t="shared" si="20"/>
        <v>0</v>
      </c>
      <c r="AX30" s="321">
        <f t="shared" si="21"/>
        <v>0</v>
      </c>
      <c r="AY30" s="286">
        <f t="shared" si="22"/>
        <v>0</v>
      </c>
    </row>
    <row r="31" spans="2:51" ht="12.75" customHeight="1">
      <c r="B31" s="157" t="str">
        <f>'4. Customer Growth'!B30</f>
        <v>2023</v>
      </c>
      <c r="C31" s="112">
        <f>+C30/'6. WS Regression Analysis'!$R$139*'6. WS Regression Analysis'!$R$151</f>
        <v>43340755.843685612</v>
      </c>
      <c r="D31" s="383">
        <v>634776</v>
      </c>
      <c r="E31" s="51">
        <f t="shared" si="2"/>
        <v>43975531.843685612</v>
      </c>
      <c r="F31" s="112">
        <f>+E31*J34</f>
        <v>104523.27394731301</v>
      </c>
      <c r="G31" s="53">
        <f>IF($B$18='2. Customer Classes'!$B$14,+'4. Customer Growth'!$C42,+IF($B$18='2. Customer Classes'!$B$15,+'4. Customer Growth'!$E42,+IF($B$18='2. Customer Classes'!$B$16,+'4. Customer Growth'!$G42,+IF($B$18='2. Customer Classes'!$B$17,+'4. Customer Growth'!$I42,+IF($B$18='2. Customer Classes'!$B$18,+'4. Customer Growth'!$K42,+IF($B$18='2. Customer Classes'!$B$19,+'4. Customer Growth'!$M42,IF($B$18='2. Customer Classes'!$B$20,+'4. Customer Growth'!$O42,0)))))))</f>
        <v>42</v>
      </c>
      <c r="H31" s="318">
        <f t="shared" si="3"/>
        <v>1047036.472468705</v>
      </c>
      <c r="I31" s="321">
        <f t="shared" si="4"/>
        <v>2488.6493796979289</v>
      </c>
      <c r="J31" s="286">
        <f>IF(F31&gt;0,+F31/E31,0)</f>
        <v>2.3768507068623744E-3</v>
      </c>
      <c r="K31" s="61"/>
      <c r="L31" s="61"/>
      <c r="M31" s="157" t="str">
        <f t="shared" si="0"/>
        <v>2023</v>
      </c>
      <c r="N31" s="112">
        <f>+N30/'6. WS Regression Analysis'!$R$139*'6. WS Regression Analysis'!$R$151</f>
        <v>391582.76585185045</v>
      </c>
      <c r="O31" s="383">
        <v>-3505</v>
      </c>
      <c r="P31" s="433">
        <f t="shared" si="6"/>
        <v>388077.76585185045</v>
      </c>
      <c r="Q31" s="112">
        <f>P31*$U$34</f>
        <v>1075.2993512141757</v>
      </c>
      <c r="R31" s="53">
        <f>IF($M$18='2. Customer Classes'!$B$14,+'4. Customer Growth'!$C42,+IF($M$18='2. Customer Classes'!$B$15,+'4. Customer Growth'!$E42,+IF($M$18='2. Customer Classes'!$B$16,+'4. Customer Growth'!$G42,+IF($M$18='2. Customer Classes'!$B$17,+'4. Customer Growth'!$I42,+IF($M$18='2. Customer Classes'!$B$18,+'4. Customer Growth'!$K42,+IF($M$18='2. Customer Classes'!$B$19,+'4. Customer Growth'!$M42,IF($M$18='2. Customer Classes'!$B$20,+'4. Customer Growth'!$O42,0)))))))</f>
        <v>1197</v>
      </c>
      <c r="S31" s="318">
        <f t="shared" si="7"/>
        <v>324.20865985952418</v>
      </c>
      <c r="T31" s="321">
        <f t="shared" si="8"/>
        <v>0.89832861421401478</v>
      </c>
      <c r="U31" s="286">
        <f t="shared" si="9"/>
        <v>2.7708347291008515E-3</v>
      </c>
      <c r="W31" s="157" t="str">
        <f t="shared" si="1"/>
        <v>2023</v>
      </c>
      <c r="X31" s="112">
        <f>+X30/'6. WS Regression Analysis'!$R$139*'6. WS Regression Analysis'!$R$151</f>
        <v>267089.51947345369</v>
      </c>
      <c r="Y31" s="383">
        <v>-2391</v>
      </c>
      <c r="Z31" s="51">
        <f t="shared" si="10"/>
        <v>264698.51947345369</v>
      </c>
      <c r="AA31" s="112">
        <f>Z31*$AE$34</f>
        <v>0</v>
      </c>
      <c r="AB31" s="53">
        <f>IF($W$18='2. Customer Classes'!$B$14,+'4. Customer Growth'!$C42,+IF($W$18='2. Customer Classes'!$B$15,+'4. Customer Growth'!$E42,+IF($W$18='2. Customer Classes'!$B$16,+'4. Customer Growth'!$G42,+IF($W$18='2. Customer Classes'!$B$17,+'4. Customer Growth'!$I42,+IF($W$18='2. Customer Classes'!$B$18,+'4. Customer Growth'!$K42,+IF($W$18='2. Customer Classes'!$B$19,+'4. Customer Growth'!$M42,IF($W$18='2. Customer Classes'!$B$20,+'4. Customer Growth'!$O42,0)))))))</f>
        <v>37</v>
      </c>
      <c r="AC31" s="318">
        <f t="shared" si="11"/>
        <v>0</v>
      </c>
      <c r="AD31" s="321">
        <f t="shared" si="12"/>
        <v>0</v>
      </c>
      <c r="AE31" s="286">
        <f t="shared" si="13"/>
        <v>0</v>
      </c>
      <c r="AG31" s="299" t="str">
        <f t="shared" si="14"/>
        <v>2023</v>
      </c>
      <c r="AH31" s="112">
        <f>+AH30/'6. WS Regression Analysis'!$R$139*'6. WS Regression Analysis'!$R$151</f>
        <v>0</v>
      </c>
      <c r="AI31" s="383"/>
      <c r="AJ31" s="433">
        <f t="shared" si="15"/>
        <v>0</v>
      </c>
      <c r="AK31" s="112">
        <f>AJ31*$AO$34</f>
        <v>0</v>
      </c>
      <c r="AL31" s="53">
        <f>IF($AG$18='2. Customer Classes'!$B$14,+'4. Customer Growth'!$C42,+IF($AG$18='2. Customer Classes'!$B$15,+'4. Customer Growth'!$E42,+IF($AG$18='2. Customer Classes'!$B$16,+'4. Customer Growth'!$G42,+IF($AG$18='2. Customer Classes'!$B$17,+'4. Customer Growth'!$I42,+IF($AG$18='2. Customer Classes'!$B$18,+'4. Customer Growth'!$K42,+IF($AG$18='2. Customer Classes'!$B$19,+'4. Customer Growth'!$M42,IF($AG$18='2. Customer Classes'!$B$20,+'4. Customer Growth'!$O42,IF($AG$18='2. Customer Classes'!$B$21,+'4. Customer Growth'!$Q42,0))))))))</f>
        <v>0</v>
      </c>
      <c r="AM31" s="318">
        <f t="shared" si="23"/>
        <v>0</v>
      </c>
      <c r="AN31" s="321">
        <f t="shared" si="16"/>
        <v>0</v>
      </c>
      <c r="AO31" s="286">
        <f>IF(AK31&gt;0,+AK31/AJ31,0)</f>
        <v>0</v>
      </c>
      <c r="AQ31" s="299" t="str">
        <f t="shared" si="18"/>
        <v>2023</v>
      </c>
      <c r="AR31" s="112">
        <f>+AR30/'6. WS Regression Analysis'!$R$139*'6. WS Regression Analysis'!$R$151</f>
        <v>0</v>
      </c>
      <c r="AS31" s="383"/>
      <c r="AT31" s="433">
        <f t="shared" si="19"/>
        <v>0</v>
      </c>
      <c r="AU31" s="112">
        <f>AT31*$AY$34</f>
        <v>0</v>
      </c>
      <c r="AV31" s="53">
        <f>IF($AQ$18='2. Customer Classes'!$B$14,+'4. Customer Growth'!$C42,+IF($AQ$18='2. Customer Classes'!$B$15,+'4. Customer Growth'!$E42,+IF($AQ$18='2. Customer Classes'!$B$16,+'4. Customer Growth'!$G42,+IF($AQ$18='2. Customer Classes'!$B$17,+'4. Customer Growth'!$I42,+IF($AQ$18='2. Customer Classes'!$B$18,+'4. Customer Growth'!$K42,+IF($AQ$18='2. Customer Classes'!$B$19,+'4. Customer Growth'!$M42,IF($AQ$18='2. Customer Classes'!$B$20,+'4. Customer Growth'!$O42,0)))))))</f>
        <v>0</v>
      </c>
      <c r="AW31" s="318">
        <f t="shared" si="20"/>
        <v>0</v>
      </c>
      <c r="AX31" s="321">
        <f t="shared" si="21"/>
        <v>0</v>
      </c>
      <c r="AY31" s="66"/>
    </row>
    <row r="32" spans="2:51">
      <c r="B32" s="157" t="str">
        <f>'4. Customer Growth'!B31</f>
        <v>2024</v>
      </c>
      <c r="C32" s="112">
        <f>+C30/'6. WS Regression Analysis'!$R$139*'6. WS Regression Analysis'!$R$163</f>
        <v>43376414.682519123</v>
      </c>
      <c r="D32" s="383">
        <v>599117</v>
      </c>
      <c r="E32" s="51">
        <f t="shared" si="2"/>
        <v>43975531.682519123</v>
      </c>
      <c r="F32" s="112">
        <f>+E32*J34</f>
        <v>104523.27356424431</v>
      </c>
      <c r="G32" s="53">
        <f>IF($B$18='2. Customer Classes'!$B$14,+'4. Customer Growth'!$C43,+IF($B$18='2. Customer Classes'!$B$15,+'4. Customer Growth'!$E43,+IF($B$18='2. Customer Classes'!$B$16,+'4. Customer Growth'!$G43,+IF($B$18='2. Customer Classes'!$B$17,+'4. Customer Growth'!$I43,+IF($B$18='2. Customer Classes'!$B$18,+'4. Customer Growth'!$K43,+IF($B$18='2. Customer Classes'!$B$19,+'4. Customer Growth'!$M43,IF($B$18='2. Customer Classes'!$B$20,+'4. Customer Growth'!$O43,0)))))))</f>
        <v>42</v>
      </c>
      <c r="H32" s="318">
        <f>IF(F32&gt;0,+E32/G32,0)</f>
        <v>1047036.4686314077</v>
      </c>
      <c r="I32" s="321">
        <f t="shared" si="4"/>
        <v>2488.6493705772455</v>
      </c>
      <c r="J32" s="286">
        <f>IF(F32&gt;0,+F32/E32,0)</f>
        <v>2.3768507068623744E-3</v>
      </c>
      <c r="K32" s="61"/>
      <c r="L32" s="61"/>
      <c r="M32" s="157" t="str">
        <f t="shared" si="0"/>
        <v>2024</v>
      </c>
      <c r="N32" s="112">
        <f>+N30/'6. WS Regression Analysis'!$R$139*'6. WS Regression Analysis'!$R$163</f>
        <v>391904.94266823668</v>
      </c>
      <c r="O32" s="383">
        <v>-3827</v>
      </c>
      <c r="P32" s="433">
        <f t="shared" si="6"/>
        <v>388077.94266823668</v>
      </c>
      <c r="Q32" s="112">
        <f>P32*$U$34</f>
        <v>1075.2998411431593</v>
      </c>
      <c r="R32" s="53">
        <f>IF($M$18='2. Customer Classes'!$B$14,+'4. Customer Growth'!$C43,+IF($M$18='2. Customer Classes'!$B$15,+'4. Customer Growth'!$E43,+IF($M$18='2. Customer Classes'!$B$16,+'4. Customer Growth'!$G43,+IF($M$18='2. Customer Classes'!$B$17,+'4. Customer Growth'!$I43,+IF($M$18='2. Customer Classes'!$B$18,+'4. Customer Growth'!$K43,+IF($M$18='2. Customer Classes'!$B$19,+'4. Customer Growth'!$M43,IF($M$18='2. Customer Classes'!$B$20,+'4. Customer Growth'!$O43,0)))))))</f>
        <v>1197</v>
      </c>
      <c r="S32" s="318">
        <f t="shared" si="7"/>
        <v>324.20880757580341</v>
      </c>
      <c r="T32" s="321">
        <f t="shared" si="8"/>
        <v>0.8983290235114112</v>
      </c>
      <c r="U32" s="286">
        <f t="shared" si="9"/>
        <v>2.7708347291008511E-3</v>
      </c>
      <c r="W32" s="157" t="str">
        <f t="shared" si="1"/>
        <v>2024</v>
      </c>
      <c r="X32" s="112">
        <f>+X30/'6. WS Regression Analysis'!$R$139*'6. WS Regression Analysis'!$R$163</f>
        <v>267309.26880508452</v>
      </c>
      <c r="Y32" s="383">
        <v>-2610</v>
      </c>
      <c r="Z32" s="51">
        <f t="shared" si="10"/>
        <v>264699.26880508452</v>
      </c>
      <c r="AA32" s="112">
        <f>Z32*$AE$34</f>
        <v>0</v>
      </c>
      <c r="AB32" s="53">
        <f>IF($W$18='2. Customer Classes'!$B$14,+'4. Customer Growth'!$C43,+IF($W$18='2. Customer Classes'!$B$15,+'4. Customer Growth'!$E43,+IF($W$18='2. Customer Classes'!$B$16,+'4. Customer Growth'!$G43,+IF($W$18='2. Customer Classes'!$B$17,+'4. Customer Growth'!$I43,+IF($W$18='2. Customer Classes'!$B$18,+'4. Customer Growth'!$K43,+IF($W$18='2. Customer Classes'!$B$19,+'4. Customer Growth'!$M43,IF($W$18='2. Customer Classes'!$B$20,+'4. Customer Growth'!$O43,0)))))))</f>
        <v>37</v>
      </c>
      <c r="AC32" s="318">
        <f t="shared" si="11"/>
        <v>0</v>
      </c>
      <c r="AD32" s="321">
        <f t="shared" si="12"/>
        <v>0</v>
      </c>
      <c r="AE32" s="286">
        <f t="shared" si="13"/>
        <v>0</v>
      </c>
      <c r="AG32" s="299" t="str">
        <f t="shared" si="14"/>
        <v>2024</v>
      </c>
      <c r="AH32" s="112">
        <f>+AH30/'6. WS Regression Analysis'!$R$139*'6. WS Regression Analysis'!$R$163</f>
        <v>0</v>
      </c>
      <c r="AI32" s="383"/>
      <c r="AJ32" s="433">
        <f t="shared" si="15"/>
        <v>0</v>
      </c>
      <c r="AK32" s="112">
        <f>AJ32*$AO$34</f>
        <v>0</v>
      </c>
      <c r="AL32" s="53">
        <f>IF($AG$18='2. Customer Classes'!$B$14,+'4. Customer Growth'!$C43,+IF($AG$18='2. Customer Classes'!$B$15,+'4. Customer Growth'!$E43,+IF($AG$18='2. Customer Classes'!$B$16,+'4. Customer Growth'!$G43,+IF($AG$18='2. Customer Classes'!$B$17,+'4. Customer Growth'!$I43,+IF($AG$18='2. Customer Classes'!$B$18,+'4. Customer Growth'!$K43,+IF($AG$18='2. Customer Classes'!$B$19,+'4. Customer Growth'!$M43,IF($AG$18='2. Customer Classes'!$B$20,+'4. Customer Growth'!$O43,IF($AG$18='2. Customer Classes'!$B$21,+'4. Customer Growth'!$Q43,0))))))))</f>
        <v>0</v>
      </c>
      <c r="AM32" s="318">
        <f t="shared" si="23"/>
        <v>0</v>
      </c>
      <c r="AN32" s="321">
        <f t="shared" si="16"/>
        <v>0</v>
      </c>
      <c r="AO32" s="286">
        <f t="shared" si="17"/>
        <v>0</v>
      </c>
      <c r="AQ32" s="299" t="str">
        <f t="shared" si="18"/>
        <v>2024</v>
      </c>
      <c r="AR32" s="112">
        <f>+AR30/'6. WS Regression Analysis'!$R$139*'6. WS Regression Analysis'!$R$163</f>
        <v>0</v>
      </c>
      <c r="AS32" s="383"/>
      <c r="AT32" s="433">
        <f t="shared" si="19"/>
        <v>0</v>
      </c>
      <c r="AU32" s="112">
        <f>AT32*$AY$34</f>
        <v>0</v>
      </c>
      <c r="AV32" s="53">
        <f>IF($AQ$18='2. Customer Classes'!$B$14,+'4. Customer Growth'!$C43,+IF($AQ$18='2. Customer Classes'!$B$15,+'4. Customer Growth'!$E43,+IF($AQ$18='2. Customer Classes'!$B$16,+'4. Customer Growth'!$G43,+IF($AQ$18='2. Customer Classes'!$B$17,+'4. Customer Growth'!$I43,+IF($AQ$18='2. Customer Classes'!$B$18,+'4. Customer Growth'!$K43,+IF($AQ$18='2. Customer Classes'!$B$19,+'4. Customer Growth'!$M43,IF($AQ$18='2. Customer Classes'!$B$20,+'4. Customer Growth'!$O43,0)))))))</f>
        <v>0</v>
      </c>
      <c r="AW32" s="318">
        <f t="shared" si="20"/>
        <v>0</v>
      </c>
      <c r="AX32" s="321">
        <f t="shared" si="21"/>
        <v>0</v>
      </c>
      <c r="AY32" s="66"/>
    </row>
    <row r="33" spans="2:51">
      <c r="B33" s="55"/>
      <c r="C33" s="426"/>
      <c r="D33" s="426"/>
      <c r="E33" s="53"/>
      <c r="F33" s="112"/>
      <c r="G33" s="231"/>
      <c r="H33" s="231"/>
      <c r="I33" s="112"/>
      <c r="J33" s="319"/>
      <c r="K33" s="61"/>
      <c r="L33" s="61"/>
      <c r="M33" s="55"/>
      <c r="N33" s="426"/>
      <c r="O33" s="426"/>
      <c r="P33" s="53"/>
      <c r="Q33" s="112"/>
      <c r="R33" s="112"/>
      <c r="S33" s="112"/>
      <c r="T33" s="112"/>
      <c r="U33" s="67"/>
      <c r="W33" s="55"/>
      <c r="X33" s="426"/>
      <c r="Y33" s="426"/>
      <c r="Z33" s="112"/>
      <c r="AA33" s="112"/>
      <c r="AB33" s="112"/>
      <c r="AC33" s="112"/>
      <c r="AD33" s="112"/>
      <c r="AE33" s="198"/>
      <c r="AG33" s="55"/>
      <c r="AH33" s="426"/>
      <c r="AI33" s="426"/>
      <c r="AJ33" s="112"/>
      <c r="AK33" s="112"/>
      <c r="AL33" s="112"/>
      <c r="AM33" s="112"/>
      <c r="AN33" s="112"/>
      <c r="AO33" s="198"/>
      <c r="AQ33" s="55"/>
      <c r="AR33" s="426"/>
      <c r="AS33" s="426"/>
      <c r="AT33" s="112"/>
      <c r="AU33" s="112"/>
      <c r="AV33" s="112"/>
      <c r="AW33" s="112"/>
      <c r="AX33" s="112"/>
      <c r="AY33" s="198"/>
    </row>
    <row r="34" spans="2:51" ht="16.5" customHeight="1">
      <c r="B34" s="191" t="s">
        <v>158</v>
      </c>
      <c r="C34" s="427"/>
      <c r="D34" s="427"/>
      <c r="E34" s="629">
        <v>1</v>
      </c>
      <c r="F34" s="156"/>
      <c r="G34" s="275"/>
      <c r="H34" s="281">
        <f>IF($E$34=1,+AVERAGE(H30:H30),+IF($E$34=2,+AVERAGE(H29:H30),+IF($E$34=3,+AVERAGE(H28:H30),+IF($E$34=4,+AVERAGE(H27:H30),+IF($E$34=5,+AVERAGE(H26:H30),+IF($E$34=6,+AVERAGE(H25:H30),+IF($E$34=7,+AVERAGE(H24:H30),+IF($E$34=8,+AVERAGE(H23:H30),+IF($E$34=9,+AVERAGE(H22:H30),+IF($E$34=10,+AVERAGE(H21:H30),0))))))))))</f>
        <v>1022686.7857142857</v>
      </c>
      <c r="I34" s="325">
        <f>IF($E$34=1,+AVERAGE(I30:I30),+IF($E$34=2,+AVERAGE(I29:I30),+IF($E$34=3,+AVERAGE(I28:I30),+IF($E$34=4,+AVERAGE(I27:I30),+IF($E$34=5,+AVERAGE(I26:I30),+IF($E$34=6,+AVERAGE(I25:I30),+IF($E$34=7,+AVERAGE(I24:I30),+IF($E$34=8,+AVERAGE(I23:I30),+IF($E$34=9,+AVERAGE(I22:I30),+IF($E$34=10,+AVERAGE(I21:I30),0))))))))))</f>
        <v>2430.7738095238096</v>
      </c>
      <c r="J34" s="258">
        <f>IF($E$34=1,+AVERAGE(J30:J30),+IF($E$34=2,+AVERAGE(J29:J30),+IF($E$34=3,+AVERAGE(J28:J30),+IF($E$34=4,+AVERAGE(J27:J30),+IF($E$34=5,+AVERAGE(J26:J30),+IF($E$34=6,+AVERAGE(J25:J30),+IF($E$34=7,+AVERAGE(J24:J30),+IF($E$34=8,+AVERAGE(J23:J30),+IF($E$34=9,+AVERAGE(J22:J30),+IF($E$34=10,+AVERAGE(J21:J30),0))))))))))</f>
        <v>2.3768507068623744E-3</v>
      </c>
      <c r="K34" s="150"/>
      <c r="L34" s="150"/>
      <c r="M34" s="191" t="s">
        <v>158</v>
      </c>
      <c r="N34" s="432"/>
      <c r="O34" s="432"/>
      <c r="P34" s="643">
        <v>1</v>
      </c>
      <c r="Q34" s="156"/>
      <c r="R34" s="156"/>
      <c r="S34" s="281">
        <f>IF($P$34=1,+AVERAGE(S30:S30),+IF($P$34=2,+AVERAGE(S29:S30),+IF($P$34=3,+AVERAGE(S28:S30),+IF($P$34=4,+AVERAGE(S27:S30),+IF($P$34=5,+AVERAGE(S26:S30),+IF($P$34=6,+AVERAGE(S25:S30),+IF($P$34=7,+AVERAGE(S24:S30),+IF($P$34=8,+AVERAGE(S23:S30),+IF($P$34=9,+AVERAGE(S22:S30),+IF($P$34=10,+AVERAGE(S21:S30),0))))))))))</f>
        <v>324.20885547201334</v>
      </c>
      <c r="T34" s="324">
        <f>IF($P$34=1,+AVERAGE(T30:T30),+IF($P$34=2,+AVERAGE(T29:T30),+IF($P$34=3,+AVERAGE(T28:T30),+IF($P$34=4,+AVERAGE(T27:T30),+IF($P$34=5,+AVERAGE(T26:T30),+IF($P$34=6,+AVERAGE(T25:T30),+IF($P$34=7,+AVERAGE(T24:T30),+IF($P$34=8,+AVERAGE(T23:T30),+IF($P$34=9,+AVERAGE(T22:T30),+IF($P$34=10,+AVERAGE(T21:T30),0))))))))))</f>
        <v>0.8983291562238932</v>
      </c>
      <c r="U34" s="158">
        <f>IF($P$34=1,+AVERAGE(U30:U30),+IF($P$34=2,+AVERAGE(U29:U30),+IF($P$34=3,+AVERAGE(U28:U30),+IF($P$34=4,+AVERAGE(U27:U30),+IF($P$34=5,+AVERAGE(U26:U30),+IF($P$34=6,+AVERAGE(U25:U30),+IF($P$34=7,+AVERAGE(U24:U30),+IF($P$34=8,+AVERAGE(U23:U30),+IF($P$34=9,+AVERAGE(U22:U30),+IF($P$34=10,+AVERAGE(U21:U30),0))))))))))</f>
        <v>2.7708347291008515E-3</v>
      </c>
      <c r="W34" s="191" t="s">
        <v>158</v>
      </c>
      <c r="X34" s="432"/>
      <c r="Y34" s="432"/>
      <c r="Z34" s="643">
        <v>10</v>
      </c>
      <c r="AA34" s="156"/>
      <c r="AB34" s="156"/>
      <c r="AC34" s="281">
        <f>IF($Z$34=1,+AVERAGE(AC30:AC30),+IF($Z$34=2,+AVERAGE(AC29:AC30),+IF($Z$34=3,+AVERAGE(AC28:AC30),+IF($Z$34=4,+AVERAGE(AC27:AC30),+IF($Z$34=5,+AVERAGE(AC26:AC30),+IF($Z$34=6,+AVERAGE(AC25:AC30),+IF($Z$34=7,+AVERAGE(AC24:AC30),+IF($Z$34=8,+AVERAGE(AC23:AC30),+IF($Z$34=9,+AVERAGE(AC22:AC30),+IF($Z$34=10,+AVERAGE(AC21:AC30),0))))))))))</f>
        <v>0</v>
      </c>
      <c r="AD34" s="324">
        <f>IF($Z$34=1,+AVERAGE(AD30:AD30),+IF($Z$34=2,+AVERAGE(AD29:AD30),+IF($Z$34=3,+AVERAGE(AD28:AD30),+IF($Z$34=4,+AVERAGE(AD27:AD30),+IF($Z$34=5,+AVERAGE(AD26:AD30),+IF($Z$34=6,+AVERAGE(AD25:AD30),+IF($Z$34=7,+AVERAGE(AD24:AD30),+IF($Z$34=8,+AVERAGE(AD23:AD30),+IF($Z$34=9,+AVERAGE(AD22:AD30),+IF($Z$34=10,+AVERAGE(AD21:AD30),0))))))))))</f>
        <v>0</v>
      </c>
      <c r="AE34" s="158">
        <f>IF($Z$34=1,+AVERAGE(AE30:AE30),+IF($Z$34=2,+AVERAGE(AE29:AE30),+IF($Z$34=3,+AVERAGE(AE28:AE30),+IF($Z$34=4,+AVERAGE(AE27:AE30),+IF($Z$34=5,+AVERAGE(AE26:AE30),+IF($Z$34=6,+AVERAGE(AE25:AE30),+IF($Z$34=7,+AVERAGE(AE24:AE30),+IF($Z$34=8,+AVERAGE(AE23:AE30),+IF($Z$34=9,+AVERAGE(AE22:AE30),+IF($Z$34=10,+AVERAGE(AE21:AE30),0))))))))))</f>
        <v>0</v>
      </c>
      <c r="AG34" s="191" t="s">
        <v>158</v>
      </c>
      <c r="AH34" s="432"/>
      <c r="AI34" s="432"/>
      <c r="AJ34" s="643">
        <v>10</v>
      </c>
      <c r="AK34" s="156"/>
      <c r="AL34" s="156"/>
      <c r="AM34" s="281">
        <f>IF($AJ$34=1,+AVERAGE(AM30:AM30),+IF($AJ$34=2,+AVERAGE(AM29:AM30),+IF($AJ$34=3,+AVERAGE(AM28:AM30),+IF($AJ$34=4,+AVERAGE(AM27:AM30),+IF($AJ$34=5,+AVERAGE(AM26:AM30),+IF($AJ$34=6,+AVERAGE(AM25:AM30),+IF($AJ$34=7,+AVERAGE(AM24:AM30),+IF($AJ$34=8,+AVERAGE(AM23:AM30),+IF($AJ$34=9,+AVERAGE(AM22:AM30),+IF($AJ$34=10,+AVERAGE(AM21:AM30),0))))))))))</f>
        <v>0</v>
      </c>
      <c r="AN34" s="324">
        <f>IF($AJ$34=1,+AVERAGE(AN30:AN30),+IF($AJ$34=2,+AVERAGE(AN29:AN30),+IF($AJ$34=3,+AVERAGE(AN28:AN30),+IF($AJ$34=4,+AVERAGE(AN27:AN30),+IF($AJ$34=5,+AVERAGE(AN26:AN30),+IF($AJ$34=6,+AVERAGE(AN25:AN30),+IF($AJ$34=7,+AVERAGE(AN24:AN30),+IF($AJ$34=8,+AVERAGE(AN23:AN30),+IF($AJ$34=9,+AVERAGE(AN22:AN30),+IF($AJ$34=10,+AVERAGE(AN21:AN30),0))))))))))</f>
        <v>0</v>
      </c>
      <c r="AO34" s="158">
        <f>IF($AJ$34=1,+AVERAGE(AO30:AO30),+IF($AJ$34=2,+AVERAGE(AO29:AO30),+IF($AJ$34=3,+AVERAGE(AO28:AO30),+IF($AJ$34=4,+AVERAGE(AO27:AO30),+IF($AJ$34=5,+AVERAGE(AO26:AO30),+IF($AJ$34=6,+AVERAGE(AO25:AO30),+IF($AJ$34=7,+AVERAGE(AO24:AO30),+IF($AJ$34=8,+AVERAGE(AO23:AO30),+IF($AJ$34=9,+AVERAGE(AO22:AO30),+IF($AJ$34=10,+AVERAGE(AO21:AO30),0))))))))))</f>
        <v>0</v>
      </c>
      <c r="AQ34" s="191" t="s">
        <v>158</v>
      </c>
      <c r="AR34" s="432"/>
      <c r="AS34" s="432"/>
      <c r="AT34" s="643">
        <v>4</v>
      </c>
      <c r="AU34" s="156"/>
      <c r="AV34" s="156"/>
      <c r="AW34" s="281">
        <f>IF($AT$34=1,+AVERAGE(AW30:AW30),+IF($AT$34=2,+AVERAGE(AW29:AW30),+IF($AT$34=3,+AVERAGE(AW28:AW30),+IF($AT$34=4,+AVERAGE(AW27:AW30),+IF($AT$34=5,+AVERAGE(AW26:AW30),+IF($AT$34=6,+AVERAGE(AW25:AW30),+IF($AT$34=7,+AVERAGE(AW24:AW30),+IF($AT$34=8,+AVERAGE(AW23:AW30),+IF($AT$34=9,+AVERAGE(AW22:AW30),+IF($AT$34=10,+AVERAGE(AW21:AW30),0))))))))))</f>
        <v>0</v>
      </c>
      <c r="AX34" s="324">
        <f>IF($AT$34=1,+AVERAGE(AX30:AX30),+IF($AT$34=2,+AVERAGE(AX29:AX30),+IF($AT$34=3,+AVERAGE(AX28:AX30),+IF($AT$34=4,+AVERAGE(AX27:AX30),+IF($AT$34=5,+AVERAGE(AX26:AX30),+IF($AT$34=6,+AVERAGE(AX25:AX30),+IF($AT$34=7,+AVERAGE(AX24:AX30),+IF($AT$34=8,+AVERAGE(AX23:AX30),+IF($AT$34=9,+AVERAGE(AX22:AX30),+IF($AT$34=10,+AVERAGE(AX21:AX30),0))))))))))</f>
        <v>0</v>
      </c>
      <c r="AY34" s="158">
        <f>IF($AT$34=1,+AVERAGE(AY30:AY30),+IF($AT$34=2,+AVERAGE(AY29:AY30),+IF($AT$34=3,+AVERAGE(AY28:AY30),+IF($AT$34=4,+AVERAGE(AY27:AY30),+IF($AT$34=5,+AVERAGE(AY26:AY30),+IF($AT$34=6,+AVERAGE(AY25:AY30),+IF($AT$34=7,+AVERAGE(AY24:AY30),+IF($AT$34=8,+AVERAGE(AY23:AY30),+IF($AT$34=9,+AVERAGE(AY22:AY30),+IF($AT$34=10,+AVERAGE(AY21:AY30),0))))))))))</f>
        <v>0</v>
      </c>
    </row>
    <row r="35" spans="2:51" ht="13.5" thickBot="1">
      <c r="B35" s="29"/>
      <c r="C35" s="428"/>
      <c r="D35" s="428"/>
      <c r="E35" s="16"/>
      <c r="F35" s="16"/>
      <c r="G35" s="276"/>
      <c r="H35" s="276"/>
      <c r="I35" s="16"/>
      <c r="J35" s="323"/>
      <c r="M35" s="29"/>
      <c r="N35" s="428"/>
      <c r="O35" s="428"/>
      <c r="P35" s="16"/>
      <c r="Q35" s="77"/>
      <c r="R35" s="77"/>
      <c r="S35" s="77"/>
      <c r="T35" s="77"/>
      <c r="U35" s="159"/>
      <c r="W35" s="76"/>
      <c r="X35" s="408"/>
      <c r="Y35" s="408"/>
      <c r="Z35" s="77"/>
      <c r="AA35" s="77"/>
      <c r="AB35" s="77"/>
      <c r="AC35" s="77"/>
      <c r="AD35" s="77"/>
      <c r="AE35" s="159"/>
      <c r="AG35" s="76"/>
      <c r="AH35" s="408"/>
      <c r="AI35" s="408"/>
      <c r="AJ35" s="77"/>
      <c r="AK35" s="77"/>
      <c r="AL35" s="77"/>
      <c r="AM35" s="77"/>
      <c r="AN35" s="77"/>
      <c r="AO35" s="159"/>
      <c r="AQ35" s="76"/>
      <c r="AR35" s="408"/>
      <c r="AS35" s="408"/>
      <c r="AT35" s="77"/>
      <c r="AU35" s="77"/>
      <c r="AV35" s="77"/>
      <c r="AW35" s="77"/>
      <c r="AX35" s="77"/>
      <c r="AY35" s="159"/>
    </row>
    <row r="36" spans="2:51" ht="12.75" customHeight="1">
      <c r="B36" s="1004" t="s">
        <v>152</v>
      </c>
      <c r="C36" s="1004"/>
      <c r="D36" s="1004"/>
      <c r="E36" s="1004"/>
      <c r="F36" s="1004"/>
      <c r="G36" s="1004"/>
      <c r="H36" s="1004"/>
      <c r="I36" s="1004"/>
      <c r="J36" s="1004"/>
      <c r="M36" s="1004" t="s">
        <v>152</v>
      </c>
      <c r="N36" s="1004"/>
      <c r="O36" s="1004"/>
      <c r="P36" s="1004"/>
      <c r="Q36" s="1004"/>
      <c r="R36" s="1004"/>
      <c r="S36" s="1004"/>
      <c r="T36" s="1004"/>
      <c r="U36" s="1004"/>
      <c r="W36" s="984" t="s">
        <v>152</v>
      </c>
      <c r="X36" s="984"/>
      <c r="Y36" s="984"/>
      <c r="Z36" s="984"/>
      <c r="AA36" s="984"/>
      <c r="AB36" s="984"/>
      <c r="AC36" s="984"/>
      <c r="AD36" s="984"/>
      <c r="AE36" s="984"/>
      <c r="AG36" s="123"/>
      <c r="AH36" s="123"/>
      <c r="AI36" s="123"/>
      <c r="AJ36" s="123"/>
      <c r="AK36" s="123"/>
      <c r="AL36" s="124"/>
      <c r="AM36" s="125"/>
      <c r="AN36" s="126"/>
      <c r="AO36" s="127"/>
      <c r="AQ36" s="1004" t="s">
        <v>152</v>
      </c>
      <c r="AR36" s="1004"/>
      <c r="AS36" s="1004"/>
      <c r="AT36" s="1004"/>
      <c r="AU36" s="1004"/>
      <c r="AV36" s="1004"/>
      <c r="AW36" s="1004"/>
      <c r="AX36" s="1004"/>
      <c r="AY36" s="1004"/>
    </row>
    <row r="37" spans="2:51">
      <c r="B37" s="123"/>
      <c r="C37" s="123"/>
      <c r="D37" s="123"/>
      <c r="E37" s="123"/>
      <c r="F37" s="123"/>
      <c r="G37" s="124"/>
      <c r="H37" s="125"/>
      <c r="I37" s="126"/>
      <c r="J37" s="127"/>
      <c r="M37" s="123"/>
      <c r="N37" s="123"/>
      <c r="O37" s="123"/>
      <c r="P37" s="123"/>
      <c r="Q37" s="123"/>
      <c r="R37" s="124"/>
      <c r="S37" s="125"/>
      <c r="T37" s="126"/>
      <c r="U37" s="127"/>
      <c r="W37" s="123"/>
      <c r="X37" s="123"/>
      <c r="Y37" s="123"/>
      <c r="Z37" s="123"/>
      <c r="AA37" s="123"/>
      <c r="AB37" s="124"/>
      <c r="AC37" s="125"/>
      <c r="AD37" s="126"/>
      <c r="AE37" s="127"/>
      <c r="AG37" s="123"/>
      <c r="AH37" s="123"/>
      <c r="AI37" s="123"/>
      <c r="AJ37" s="123"/>
      <c r="AK37" s="123"/>
      <c r="AL37" s="124"/>
      <c r="AM37" s="125"/>
      <c r="AN37" s="126"/>
      <c r="AO37" s="127"/>
      <c r="AQ37" s="123"/>
      <c r="AR37" s="123"/>
      <c r="AS37" s="123"/>
      <c r="AT37" s="123"/>
      <c r="AU37" s="123"/>
      <c r="AV37" s="124"/>
      <c r="AW37" s="125"/>
      <c r="AX37" s="126"/>
      <c r="AY37" s="127"/>
    </row>
    <row r="38" spans="2:51">
      <c r="B38" s="123"/>
      <c r="C38" s="123"/>
      <c r="D38" s="123"/>
      <c r="E38" s="123"/>
      <c r="F38" s="123"/>
      <c r="G38" s="124"/>
      <c r="H38" s="125"/>
      <c r="I38" s="126"/>
      <c r="J38" s="127"/>
      <c r="M38" s="123"/>
      <c r="N38" s="123"/>
      <c r="O38" s="123"/>
      <c r="P38" s="123"/>
      <c r="Q38" s="123"/>
      <c r="R38" s="124"/>
      <c r="S38" s="125"/>
      <c r="T38" s="126"/>
      <c r="U38" s="127"/>
      <c r="W38" s="123"/>
      <c r="X38" s="123"/>
      <c r="Y38" s="123"/>
      <c r="Z38" s="123"/>
      <c r="AA38" s="123"/>
      <c r="AB38" s="124"/>
      <c r="AC38" s="125"/>
      <c r="AD38" s="126"/>
      <c r="AE38" s="127"/>
      <c r="AG38" s="123"/>
      <c r="AH38" s="123"/>
      <c r="AI38" s="123"/>
      <c r="AJ38" s="123"/>
      <c r="AK38" s="123"/>
      <c r="AL38" s="124"/>
      <c r="AM38" s="125"/>
      <c r="AN38" s="126"/>
      <c r="AO38" s="127"/>
      <c r="AQ38" s="123"/>
      <c r="AR38" s="123"/>
      <c r="AS38" s="123"/>
      <c r="AT38" s="123"/>
      <c r="AU38" s="123"/>
      <c r="AV38" s="124"/>
      <c r="AW38" s="125"/>
      <c r="AX38" s="126"/>
      <c r="AY38" s="127"/>
    </row>
    <row r="39" spans="2:51">
      <c r="B39" s="123"/>
      <c r="C39" s="123"/>
      <c r="D39" s="123"/>
      <c r="E39" s="123"/>
      <c r="F39" s="123"/>
      <c r="G39" s="124"/>
      <c r="H39" s="125"/>
      <c r="I39" s="126"/>
      <c r="J39" s="127"/>
      <c r="M39" s="123"/>
      <c r="N39" s="123"/>
      <c r="O39" s="123"/>
      <c r="P39" s="123"/>
      <c r="Q39" s="123"/>
      <c r="R39" s="124"/>
      <c r="S39" s="125"/>
      <c r="T39" s="126"/>
      <c r="U39" s="127"/>
      <c r="W39" s="123"/>
      <c r="X39" s="123"/>
      <c r="Y39" s="123"/>
      <c r="Z39" s="123"/>
      <c r="AA39" s="123"/>
      <c r="AB39" s="124"/>
      <c r="AC39" s="125"/>
      <c r="AD39" s="126"/>
      <c r="AE39" s="127"/>
      <c r="AG39" s="123"/>
      <c r="AH39" s="123"/>
      <c r="AI39" s="123"/>
      <c r="AJ39" s="123"/>
      <c r="AK39" s="123"/>
      <c r="AL39" s="124"/>
      <c r="AM39" s="125"/>
      <c r="AN39" s="126"/>
      <c r="AO39" s="127"/>
      <c r="AQ39" s="123"/>
      <c r="AR39" s="123"/>
      <c r="AS39" s="123"/>
      <c r="AT39" s="123"/>
      <c r="AU39" s="123"/>
      <c r="AV39" s="124"/>
      <c r="AW39" s="125"/>
      <c r="AX39" s="126"/>
      <c r="AY39" s="127"/>
    </row>
    <row r="40" spans="2:51">
      <c r="B40" s="123"/>
      <c r="C40" s="123"/>
      <c r="D40" s="123"/>
      <c r="E40" s="123"/>
      <c r="F40" s="123"/>
      <c r="G40" s="124"/>
      <c r="H40" s="125"/>
      <c r="I40" s="126"/>
      <c r="J40" s="127"/>
      <c r="M40" s="123"/>
      <c r="N40" s="123"/>
      <c r="O40" s="123"/>
      <c r="P40" s="123"/>
      <c r="Q40" s="123"/>
      <c r="R40" s="124"/>
      <c r="S40" s="125"/>
      <c r="T40" s="126"/>
      <c r="U40" s="127"/>
      <c r="W40" s="123"/>
      <c r="X40" s="123"/>
      <c r="Y40" s="123"/>
      <c r="Z40" s="123"/>
      <c r="AA40" s="123"/>
      <c r="AB40" s="124"/>
      <c r="AC40" s="125"/>
      <c r="AD40" s="126"/>
      <c r="AE40" s="127"/>
      <c r="AG40" s="123"/>
      <c r="AH40" s="123"/>
      <c r="AI40" s="123"/>
      <c r="AJ40" s="123"/>
      <c r="AK40" s="123"/>
      <c r="AL40" s="124"/>
      <c r="AM40" s="125"/>
      <c r="AN40" s="126"/>
      <c r="AO40" s="127"/>
      <c r="AQ40" s="123"/>
      <c r="AR40" s="123"/>
      <c r="AS40" s="123"/>
      <c r="AT40" s="123"/>
      <c r="AU40" s="123"/>
      <c r="AV40" s="124"/>
      <c r="AW40" s="125"/>
      <c r="AX40" s="126"/>
      <c r="AY40" s="127"/>
    </row>
    <row r="41" spans="2:51" ht="15">
      <c r="B41" s="985" t="s">
        <v>172</v>
      </c>
      <c r="C41" s="985"/>
      <c r="D41" s="985"/>
      <c r="E41" s="985"/>
      <c r="F41" s="985"/>
      <c r="G41" s="985"/>
      <c r="H41" s="985"/>
      <c r="I41" s="985"/>
      <c r="J41" s="985"/>
      <c r="M41" s="985" t="s">
        <v>172</v>
      </c>
      <c r="N41" s="985"/>
      <c r="O41" s="985"/>
      <c r="P41" s="985"/>
      <c r="Q41" s="985"/>
      <c r="R41" s="985"/>
      <c r="S41" s="985"/>
      <c r="T41" s="985"/>
      <c r="U41" s="985"/>
      <c r="W41" s="985" t="s">
        <v>172</v>
      </c>
      <c r="X41" s="985"/>
      <c r="Y41" s="985"/>
      <c r="Z41" s="985"/>
      <c r="AA41" s="985"/>
      <c r="AB41" s="985"/>
      <c r="AC41" s="985"/>
      <c r="AD41" s="985"/>
      <c r="AE41" s="985"/>
      <c r="AG41" s="985" t="s">
        <v>172</v>
      </c>
      <c r="AH41" s="985"/>
      <c r="AI41" s="985"/>
      <c r="AJ41" s="985"/>
      <c r="AK41" s="985"/>
      <c r="AL41" s="985"/>
      <c r="AM41" s="985"/>
      <c r="AN41" s="985"/>
      <c r="AO41" s="985"/>
      <c r="AQ41" s="985" t="s">
        <v>172</v>
      </c>
      <c r="AR41" s="985"/>
      <c r="AS41" s="985"/>
      <c r="AT41" s="985"/>
      <c r="AU41" s="985"/>
      <c r="AV41" s="985"/>
      <c r="AW41" s="985"/>
      <c r="AX41" s="985"/>
      <c r="AY41" s="985"/>
    </row>
    <row r="42" spans="2:51">
      <c r="J42" s="263"/>
    </row>
    <row r="43" spans="2:51">
      <c r="J43" s="263"/>
    </row>
    <row r="44" spans="2:51">
      <c r="J44" s="263"/>
    </row>
    <row r="45" spans="2:51">
      <c r="J45" s="263"/>
    </row>
    <row r="46" spans="2:51" ht="13.5" thickBot="1">
      <c r="J46" s="263"/>
    </row>
    <row r="47" spans="2:51" ht="13.5" thickBot="1">
      <c r="B47" s="1005" t="str">
        <f>+B18</f>
        <v>General Service &gt; 50 kW - 4999 kW</v>
      </c>
      <c r="C47" s="1006"/>
      <c r="D47" s="1006"/>
      <c r="E47" s="1006"/>
      <c r="F47" s="1006"/>
      <c r="G47" s="1006"/>
      <c r="H47" s="1006"/>
      <c r="I47" s="1006"/>
      <c r="J47" s="1007"/>
      <c r="M47" s="1005" t="str">
        <f>+M18</f>
        <v>Streetlighting</v>
      </c>
      <c r="N47" s="1006"/>
      <c r="O47" s="1006"/>
      <c r="P47" s="1006"/>
      <c r="Q47" s="1006"/>
      <c r="R47" s="1006"/>
      <c r="S47" s="1006"/>
      <c r="T47" s="1006"/>
      <c r="U47" s="1007"/>
      <c r="W47" s="1005" t="str">
        <f>+W18</f>
        <v>Unmetered Scattered Load</v>
      </c>
      <c r="X47" s="1006"/>
      <c r="Y47" s="1006"/>
      <c r="Z47" s="1006"/>
      <c r="AA47" s="1006"/>
      <c r="AB47" s="1006"/>
      <c r="AC47" s="1006"/>
      <c r="AD47" s="1006"/>
      <c r="AE47" s="1007"/>
      <c r="AG47" s="1005">
        <f>+AG18</f>
        <v>0</v>
      </c>
      <c r="AH47" s="1006"/>
      <c r="AI47" s="1006"/>
      <c r="AJ47" s="1006"/>
      <c r="AK47" s="1006"/>
      <c r="AL47" s="1006"/>
      <c r="AM47" s="1006"/>
      <c r="AN47" s="1006"/>
      <c r="AO47" s="1007"/>
      <c r="AQ47" s="1005">
        <f>+AQ18</f>
        <v>0</v>
      </c>
      <c r="AR47" s="1006"/>
      <c r="AS47" s="1006"/>
      <c r="AT47" s="1006"/>
      <c r="AU47" s="1006"/>
      <c r="AV47" s="1006"/>
      <c r="AW47" s="1006"/>
      <c r="AX47" s="1006"/>
      <c r="AY47" s="1007"/>
    </row>
    <row r="48" spans="2:51" ht="29.25" customHeight="1" thickBot="1">
      <c r="B48" s="290" t="s">
        <v>33</v>
      </c>
      <c r="C48" s="429"/>
      <c r="D48" s="429"/>
      <c r="E48" s="291" t="s">
        <v>40</v>
      </c>
      <c r="F48" s="291" t="s">
        <v>180</v>
      </c>
      <c r="G48" s="291" t="s">
        <v>181</v>
      </c>
      <c r="H48" s="297" t="s">
        <v>184</v>
      </c>
      <c r="I48" s="291" t="s">
        <v>182</v>
      </c>
      <c r="J48" s="292" t="s">
        <v>183</v>
      </c>
      <c r="K48" s="261"/>
      <c r="L48" s="261"/>
      <c r="M48" s="290" t="s">
        <v>33</v>
      </c>
      <c r="N48" s="429"/>
      <c r="O48" s="429"/>
      <c r="P48" s="291" t="s">
        <v>40</v>
      </c>
      <c r="Q48" s="291" t="s">
        <v>180</v>
      </c>
      <c r="R48" s="291" t="s">
        <v>181</v>
      </c>
      <c r="S48" s="297" t="s">
        <v>184</v>
      </c>
      <c r="T48" s="291" t="s">
        <v>182</v>
      </c>
      <c r="U48" s="292" t="s">
        <v>183</v>
      </c>
      <c r="W48" s="290" t="s">
        <v>33</v>
      </c>
      <c r="X48" s="429"/>
      <c r="Y48" s="429"/>
      <c r="Z48" s="291" t="s">
        <v>40</v>
      </c>
      <c r="AA48" s="291" t="s">
        <v>180</v>
      </c>
      <c r="AB48" s="291" t="s">
        <v>181</v>
      </c>
      <c r="AC48" s="297" t="s">
        <v>184</v>
      </c>
      <c r="AD48" s="291" t="s">
        <v>182</v>
      </c>
      <c r="AE48" s="292" t="s">
        <v>183</v>
      </c>
      <c r="AG48" s="290" t="s">
        <v>33</v>
      </c>
      <c r="AH48" s="429"/>
      <c r="AI48" s="429"/>
      <c r="AJ48" s="291" t="s">
        <v>40</v>
      </c>
      <c r="AK48" s="291" t="s">
        <v>180</v>
      </c>
      <c r="AL48" s="291" t="s">
        <v>181</v>
      </c>
      <c r="AM48" s="297" t="s">
        <v>184</v>
      </c>
      <c r="AN48" s="291" t="s">
        <v>182</v>
      </c>
      <c r="AO48" s="292" t="s">
        <v>183</v>
      </c>
      <c r="AQ48" s="290" t="s">
        <v>33</v>
      </c>
      <c r="AR48" s="429"/>
      <c r="AS48" s="429"/>
      <c r="AT48" s="291" t="s">
        <v>40</v>
      </c>
      <c r="AU48" s="291" t="s">
        <v>180</v>
      </c>
      <c r="AV48" s="291" t="s">
        <v>181</v>
      </c>
      <c r="AW48" s="297" t="s">
        <v>184</v>
      </c>
      <c r="AX48" s="291" t="s">
        <v>182</v>
      </c>
      <c r="AY48" s="292" t="s">
        <v>183</v>
      </c>
    </row>
    <row r="49" spans="2:51" ht="12.75" customHeight="1">
      <c r="B49" s="5" t="str">
        <f>+B31</f>
        <v>2023</v>
      </c>
      <c r="C49" s="430"/>
      <c r="D49" s="430"/>
      <c r="E49" s="14">
        <f>+G31-G30</f>
        <v>0</v>
      </c>
      <c r="F49" s="287">
        <f>+H34</f>
        <v>1022686.7857142857</v>
      </c>
      <c r="G49" s="293">
        <f>+I34</f>
        <v>2430.7738095238096</v>
      </c>
      <c r="H49" s="1008" t="s">
        <v>175</v>
      </c>
      <c r="I49" s="295">
        <f>IF(H49="Yes",+F49*E49+$E$31,$E$31)</f>
        <v>43975531.843685612</v>
      </c>
      <c r="J49" s="288">
        <f>IF(H49="Yes",+G49*E49+$F$31,$F$31)</f>
        <v>104523.27394731301</v>
      </c>
      <c r="M49" s="5" t="str">
        <f>+M31</f>
        <v>2023</v>
      </c>
      <c r="N49" s="430"/>
      <c r="O49" s="430"/>
      <c r="P49" s="14">
        <f>+R31-R30</f>
        <v>0</v>
      </c>
      <c r="Q49" s="287">
        <f>+S34</f>
        <v>324.20885547201334</v>
      </c>
      <c r="R49" s="293">
        <f>+T34</f>
        <v>0.8983291562238932</v>
      </c>
      <c r="S49" s="1008" t="s">
        <v>175</v>
      </c>
      <c r="T49" s="295">
        <f>IF(S49="Yes",+Q49*P49+$P$31,$P$31)</f>
        <v>388077.76585185045</v>
      </c>
      <c r="U49" s="288">
        <f>IF(S49="Yes",+R49*P49+$Q$31,$Q$31)</f>
        <v>1075.2993512141757</v>
      </c>
      <c r="W49" s="5" t="str">
        <f>+W31</f>
        <v>2023</v>
      </c>
      <c r="X49" s="430"/>
      <c r="Y49" s="430"/>
      <c r="Z49" s="14">
        <f>+AB31-AB30</f>
        <v>0</v>
      </c>
      <c r="AA49" s="287">
        <f>+AC34</f>
        <v>0</v>
      </c>
      <c r="AB49" s="293">
        <f>+AD34</f>
        <v>0</v>
      </c>
      <c r="AC49" s="1008" t="s">
        <v>175</v>
      </c>
      <c r="AD49" s="295">
        <f>IF(AC49="Yes",+AA49*Z49+$Z$31,$Z$31)</f>
        <v>264698.51947345369</v>
      </c>
      <c r="AE49" s="288">
        <f>IF(AC49="Yes",+AB49*Z49+$AA$31,$AA$31)</f>
        <v>0</v>
      </c>
      <c r="AG49" s="5" t="str">
        <f>+AG31</f>
        <v>2023</v>
      </c>
      <c r="AH49" s="430"/>
      <c r="AI49" s="430"/>
      <c r="AJ49" s="14">
        <f>+AL31-AL30</f>
        <v>0</v>
      </c>
      <c r="AK49" s="287">
        <f>+AM34</f>
        <v>0</v>
      </c>
      <c r="AL49" s="293">
        <f>+AN34</f>
        <v>0</v>
      </c>
      <c r="AM49" s="1008" t="s">
        <v>175</v>
      </c>
      <c r="AN49" s="295">
        <f>IF(AM49="Yes",+AK49*AJ49+$AJ$31,$AJ$31)</f>
        <v>0</v>
      </c>
      <c r="AO49" s="288">
        <f>IF(AM49="Yes",+AL49*AJ49+$AK$31,$AK$31)</f>
        <v>0</v>
      </c>
      <c r="AQ49" s="5" t="str">
        <f>+AQ31</f>
        <v>2023</v>
      </c>
      <c r="AR49" s="430"/>
      <c r="AS49" s="430"/>
      <c r="AT49" s="14">
        <f>+AV31-AV30</f>
        <v>0</v>
      </c>
      <c r="AU49" s="287">
        <f>+AW34</f>
        <v>0</v>
      </c>
      <c r="AV49" s="293">
        <f>+AX34</f>
        <v>0</v>
      </c>
      <c r="AW49" s="1008" t="s">
        <v>175</v>
      </c>
      <c r="AX49" s="295">
        <f>IF(AW49="Yes",+AU49*AT49+$AT$31,$AT$31)</f>
        <v>0</v>
      </c>
      <c r="AY49" s="288">
        <f>IF(AW49="Yes",+AV49*AT49+$AU$31,$AU$31)</f>
        <v>0</v>
      </c>
    </row>
    <row r="50" spans="2:51" ht="13.5" customHeight="1" thickBot="1">
      <c r="B50" s="15" t="str">
        <f>+B32</f>
        <v>2024</v>
      </c>
      <c r="C50" s="431"/>
      <c r="D50" s="431"/>
      <c r="E50" s="283">
        <f>+G32-G30</f>
        <v>0</v>
      </c>
      <c r="F50" s="320">
        <f>+H34</f>
        <v>1022686.7857142857</v>
      </c>
      <c r="G50" s="294">
        <f>+I34</f>
        <v>2430.7738095238096</v>
      </c>
      <c r="H50" s="1009"/>
      <c r="I50" s="296">
        <f>IF(H49="Yes",+F50*E50+$E$32,$E$32)</f>
        <v>43975531.682519123</v>
      </c>
      <c r="J50" s="289">
        <f>IF(H49="Yes",+G50*E50+$F$32,$F$32)</f>
        <v>104523.27356424431</v>
      </c>
      <c r="M50" s="15" t="str">
        <f>+M32</f>
        <v>2024</v>
      </c>
      <c r="N50" s="431"/>
      <c r="O50" s="431"/>
      <c r="P50" s="283">
        <f>+R32-R30</f>
        <v>0</v>
      </c>
      <c r="Q50" s="320">
        <f>+S34</f>
        <v>324.20885547201334</v>
      </c>
      <c r="R50" s="294">
        <f>+T34</f>
        <v>0.8983291562238932</v>
      </c>
      <c r="S50" s="1009"/>
      <c r="T50" s="296">
        <f>IF(S49="Yes",+Q50*P50+$P$32,$P$32)</f>
        <v>388077.94266823668</v>
      </c>
      <c r="U50" s="289">
        <f>IF(S49="Yes",+R50*P50+$Q$32,$Q$32)</f>
        <v>1075.2998411431593</v>
      </c>
      <c r="W50" s="15" t="str">
        <f>+W32</f>
        <v>2024</v>
      </c>
      <c r="X50" s="431"/>
      <c r="Y50" s="431"/>
      <c r="Z50" s="283">
        <f>+AB32-AB30</f>
        <v>0</v>
      </c>
      <c r="AA50" s="320">
        <f>+AC34</f>
        <v>0</v>
      </c>
      <c r="AB50" s="294">
        <f>+AD34</f>
        <v>0</v>
      </c>
      <c r="AC50" s="1009"/>
      <c r="AD50" s="296">
        <f>IF(AC49="Yes",+AA50*Z50+$Z$32,$Z$32)</f>
        <v>264699.26880508452</v>
      </c>
      <c r="AE50" s="289">
        <f>IF(AC49="Yes",+AB50*Z50+$AA$32,$AA$32)</f>
        <v>0</v>
      </c>
      <c r="AG50" s="15" t="str">
        <f>+AG32</f>
        <v>2024</v>
      </c>
      <c r="AH50" s="431"/>
      <c r="AI50" s="431"/>
      <c r="AJ50" s="283">
        <f>+AL32-AL30</f>
        <v>0</v>
      </c>
      <c r="AK50" s="320">
        <f>+AM34</f>
        <v>0</v>
      </c>
      <c r="AL50" s="294">
        <f>+AN34</f>
        <v>0</v>
      </c>
      <c r="AM50" s="1009"/>
      <c r="AN50" s="296">
        <f>IF(AM49="Yes",+AK50*AJ50+$AJ$32,$AJ$32)</f>
        <v>0</v>
      </c>
      <c r="AO50" s="289">
        <f>IF(AM49="Yes",+AL50*AJ50+$AK$32,$AK$32)</f>
        <v>0</v>
      </c>
      <c r="AQ50" s="15" t="str">
        <f>+AQ32</f>
        <v>2024</v>
      </c>
      <c r="AR50" s="431"/>
      <c r="AS50" s="431"/>
      <c r="AT50" s="283">
        <f>+AV32-AV30</f>
        <v>0</v>
      </c>
      <c r="AU50" s="320">
        <f>+AW34</f>
        <v>0</v>
      </c>
      <c r="AV50" s="294">
        <f>+AX34</f>
        <v>0</v>
      </c>
      <c r="AW50" s="1009"/>
      <c r="AX50" s="296">
        <f>IF(AW49="Yes",+AU50*AT50+$AT$32,$AT$32)</f>
        <v>0</v>
      </c>
      <c r="AY50" s="289">
        <f>IF(AW49="Yes",+AV50*AT50+$AU$32,$AU$32)</f>
        <v>0</v>
      </c>
    </row>
    <row r="51" spans="2:51">
      <c r="J51" s="263"/>
    </row>
    <row r="52" spans="2:51">
      <c r="B52" s="298" t="s">
        <v>186</v>
      </c>
      <c r="C52" s="298"/>
      <c r="D52" s="298"/>
    </row>
    <row r="54" spans="2:51">
      <c r="H54" s="41"/>
    </row>
    <row r="57" spans="2:51" ht="26.25" hidden="1" thickBot="1">
      <c r="B57" s="1010" t="s">
        <v>159</v>
      </c>
      <c r="C57" s="1011"/>
      <c r="D57" s="1011"/>
      <c r="E57" s="1012"/>
      <c r="H57" s="264" t="s">
        <v>147</v>
      </c>
      <c r="I57" s="265" t="s">
        <v>144</v>
      </c>
    </row>
    <row r="58" spans="2:51" hidden="1">
      <c r="B58" s="259">
        <v>1</v>
      </c>
      <c r="C58" s="268"/>
      <c r="D58" s="268"/>
      <c r="E58" s="268"/>
      <c r="F58" s="273">
        <f>+B21</f>
        <v>2013</v>
      </c>
      <c r="G58" s="277"/>
      <c r="H58" s="270">
        <f>SUM('6. WS Regression Analysis'!I20:J31)</f>
        <v>90878558.659999996</v>
      </c>
      <c r="I58" s="266">
        <f>SUM('6. WS Regression Analysis'!Q20:Q31)</f>
        <v>88366010.048238277</v>
      </c>
    </row>
    <row r="59" spans="2:51" hidden="1">
      <c r="B59" s="259">
        <v>2</v>
      </c>
      <c r="C59" s="268"/>
      <c r="D59" s="268"/>
      <c r="E59" s="268"/>
      <c r="F59" s="273">
        <f t="shared" ref="F59:F67" si="24">+B22</f>
        <v>2014</v>
      </c>
      <c r="G59" s="278"/>
      <c r="H59" s="271">
        <f>SUM('6. WS Regression Analysis'!I32:I43)</f>
        <v>89376615.260000005</v>
      </c>
      <c r="I59" s="267">
        <f>SUM('6. WS Regression Analysis'!Q32:Q43)</f>
        <v>88661685.778080925</v>
      </c>
    </row>
    <row r="60" spans="2:51" hidden="1">
      <c r="B60" s="259">
        <v>3</v>
      </c>
      <c r="C60" s="268"/>
      <c r="D60" s="268"/>
      <c r="E60" s="268"/>
      <c r="F60" s="273">
        <f t="shared" si="24"/>
        <v>2015</v>
      </c>
      <c r="G60" s="278"/>
      <c r="H60" s="271">
        <f>SUM('6. WS Regression Analysis'!I44:I55)</f>
        <v>89768282.25999999</v>
      </c>
      <c r="I60" s="267">
        <f>SUM('6. WS Regression Analysis'!Q44:Q55)</f>
        <v>89010777.471517652</v>
      </c>
    </row>
    <row r="61" spans="2:51" hidden="1">
      <c r="B61" s="259">
        <v>4</v>
      </c>
      <c r="C61" s="268"/>
      <c r="D61" s="268"/>
      <c r="E61" s="268"/>
      <c r="F61" s="273">
        <f t="shared" si="24"/>
        <v>2016</v>
      </c>
      <c r="G61" s="278"/>
      <c r="H61" s="271">
        <f>SUM('6. WS Regression Analysis'!I56:I67)</f>
        <v>89085775.25999999</v>
      </c>
      <c r="I61" s="267">
        <f>SUM('6. WS Regression Analysis'!Q56:Q67)</f>
        <v>89934682.74622038</v>
      </c>
    </row>
    <row r="62" spans="2:51" hidden="1">
      <c r="B62" s="259">
        <v>5</v>
      </c>
      <c r="C62" s="268"/>
      <c r="D62" s="268"/>
      <c r="E62" s="268"/>
      <c r="F62" s="273">
        <f t="shared" si="24"/>
        <v>2017</v>
      </c>
      <c r="G62" s="278"/>
      <c r="H62" s="271">
        <f>SUM('6. WS Regression Analysis'!I68:I79)</f>
        <v>88171491.929999992</v>
      </c>
      <c r="I62" s="267">
        <f>SUM('6. WS Regression Analysis'!Q68:Q79)</f>
        <v>88121279.395198524</v>
      </c>
    </row>
    <row r="63" spans="2:51" hidden="1">
      <c r="B63" s="259">
        <v>6</v>
      </c>
      <c r="C63" s="268"/>
      <c r="D63" s="268"/>
      <c r="E63" s="268"/>
      <c r="F63" s="273">
        <f t="shared" si="24"/>
        <v>2018</v>
      </c>
      <c r="G63" s="278"/>
      <c r="H63" s="271">
        <f>SUM('6. WS Regression Analysis'!I80:I91)</f>
        <v>89884663.680000007</v>
      </c>
      <c r="I63" s="267">
        <f>SUM('6. WS Regression Analysis'!Q80:Q91)</f>
        <v>90935675.292789266</v>
      </c>
    </row>
    <row r="64" spans="2:51" hidden="1">
      <c r="B64" s="259">
        <v>7</v>
      </c>
      <c r="C64" s="268"/>
      <c r="D64" s="268"/>
      <c r="E64" s="268"/>
      <c r="F64" s="273">
        <f t="shared" si="24"/>
        <v>2019</v>
      </c>
      <c r="G64" s="278"/>
      <c r="H64" s="271">
        <f>SUM('6. WS Regression Analysis'!I92:I103)</f>
        <v>89565183.469999999</v>
      </c>
      <c r="I64" s="267">
        <f>SUM('6. WS Regression Analysis'!Q92:Q103)</f>
        <v>89315411.477069527</v>
      </c>
    </row>
    <row r="65" spans="2:10" hidden="1">
      <c r="B65" s="259">
        <v>8</v>
      </c>
      <c r="C65" s="268"/>
      <c r="D65" s="268"/>
      <c r="E65" s="268"/>
      <c r="F65" s="273">
        <f t="shared" si="24"/>
        <v>2020</v>
      </c>
      <c r="G65" s="278"/>
      <c r="H65" s="271">
        <f>SUM('6. WS Regression Analysis'!I104:I115)</f>
        <v>87584142.184</v>
      </c>
      <c r="I65" s="285">
        <f>SUM('6. WS Regression Analysis'!Q104:Q115)</f>
        <v>89937807.730157182</v>
      </c>
      <c r="J65" s="257" t="s">
        <v>185</v>
      </c>
    </row>
    <row r="66" spans="2:10" hidden="1">
      <c r="B66" s="259">
        <v>9</v>
      </c>
      <c r="C66" s="268"/>
      <c r="D66" s="268"/>
      <c r="E66" s="268"/>
      <c r="F66" s="273">
        <f t="shared" si="24"/>
        <v>2021</v>
      </c>
      <c r="G66" s="278"/>
      <c r="H66" s="271">
        <f>SUM('6. WS Regression Analysis'!I116:I127)</f>
        <v>87828569.654158607</v>
      </c>
      <c r="I66" s="285">
        <f>SUM('6. WS Regression Analysis'!Q116:Q117)</f>
        <v>15902308.754019665</v>
      </c>
      <c r="J66" s="257" t="s">
        <v>174</v>
      </c>
    </row>
    <row r="67" spans="2:10" ht="13.5" hidden="1" thickBot="1">
      <c r="B67" s="260">
        <v>10</v>
      </c>
      <c r="C67" s="269"/>
      <c r="D67" s="269"/>
      <c r="E67" s="269"/>
      <c r="F67" s="273">
        <f t="shared" si="24"/>
        <v>2022</v>
      </c>
      <c r="G67" s="279"/>
      <c r="H67" s="272">
        <f>SUM('6. WS Regression Analysis'!I128:I139)</f>
        <v>90017844.810154736</v>
      </c>
      <c r="I67" s="284">
        <f>SUM('6. WS Regression Analysis'!Q128:Q139)</f>
        <v>88301617.957659543</v>
      </c>
      <c r="J67" s="257" t="s">
        <v>175</v>
      </c>
    </row>
    <row r="68" spans="2:10" hidden="1"/>
  </sheetData>
  <mergeCells count="25">
    <mergeCell ref="B47:J47"/>
    <mergeCell ref="M47:U47"/>
    <mergeCell ref="W47:AE47"/>
    <mergeCell ref="AG47:AO47"/>
    <mergeCell ref="B18:J18"/>
    <mergeCell ref="M18:U18"/>
    <mergeCell ref="W18:AE18"/>
    <mergeCell ref="AG18:AO18"/>
    <mergeCell ref="B36:J36"/>
    <mergeCell ref="B41:J41"/>
    <mergeCell ref="M36:U36"/>
    <mergeCell ref="M41:U41"/>
    <mergeCell ref="W36:AE36"/>
    <mergeCell ref="W41:AE41"/>
    <mergeCell ref="AG41:AO41"/>
    <mergeCell ref="B57:E57"/>
    <mergeCell ref="H49:H50"/>
    <mergeCell ref="S49:S50"/>
    <mergeCell ref="AC49:AC50"/>
    <mergeCell ref="AM49:AM50"/>
    <mergeCell ref="AQ18:AY18"/>
    <mergeCell ref="AQ36:AY36"/>
    <mergeCell ref="AQ41:AY41"/>
    <mergeCell ref="AQ47:AY47"/>
    <mergeCell ref="AW49:AW50"/>
  </mergeCells>
  <dataValidations count="2">
    <dataValidation type="list" allowBlank="1" showInputMessage="1" showErrorMessage="1" sqref="E34 Z34 P34 AJ34 AT34" xr:uid="{00000000-0002-0000-0800-000000000000}">
      <formula1>$B$58:$B$67</formula1>
    </dataValidation>
    <dataValidation type="list" allowBlank="1" showInputMessage="1" showErrorMessage="1" sqref="H49 AW49 S49 AC49 AM49" xr:uid="{00000000-0002-0000-0800-000001000000}">
      <formula1>$J$66:$J$67</formula1>
    </dataValidation>
  </dataValidations>
  <pageMargins left="0.70866141732283472" right="0.70866141732283472" top="0.74803149606299213" bottom="0.74803149606299213" header="0.31496062992125984" footer="0.31496062992125984"/>
  <pageSetup scale="45" orientation="landscape"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'2. Customer Classes'!$B$14:$B$21</xm:f>
          </x14:formula1>
          <xm:sqref>B18:J18 M18:U18 W18:AE18 AG18:AO18 AQ18:AY18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73"/>
  <sheetViews>
    <sheetView showGridLines="0" topLeftCell="C13" zoomScaleNormal="100" workbookViewId="0">
      <selection activeCell="P21" sqref="P21"/>
    </sheetView>
  </sheetViews>
  <sheetFormatPr defaultColWidth="10.5" defaultRowHeight="12.75"/>
  <cols>
    <col min="1" max="1" width="13.6640625" style="663" customWidth="1"/>
    <col min="2" max="3" width="50.1640625" style="1" customWidth="1"/>
    <col min="4" max="4" width="11.83203125" style="1" bestFit="1" customWidth="1"/>
    <col min="5" max="5" width="17.6640625" style="1" customWidth="1"/>
    <col min="6" max="6" width="21.1640625" style="1" customWidth="1"/>
    <col min="7" max="10" width="14.5" style="1" customWidth="1"/>
    <col min="11" max="16" width="16.33203125" style="1" bestFit="1" customWidth="1"/>
    <col min="17" max="18" width="10.5" style="1"/>
    <col min="19" max="20" width="1.83203125" style="1" bestFit="1" customWidth="1"/>
    <col min="21" max="16384" width="10.5" style="1"/>
  </cols>
  <sheetData>
    <row r="1" spans="1:16">
      <c r="A1" s="626" t="s">
        <v>255</v>
      </c>
    </row>
    <row r="11" spans="1:16" ht="23.25">
      <c r="B11" s="114" t="s">
        <v>100</v>
      </c>
      <c r="C11" s="114"/>
    </row>
    <row r="12" spans="1:16" ht="13.5" customHeight="1">
      <c r="B12" s="45" t="s">
        <v>63</v>
      </c>
      <c r="C12" s="114"/>
    </row>
    <row r="13" spans="1:16" ht="13.5" customHeight="1">
      <c r="B13" s="85" t="s">
        <v>251</v>
      </c>
      <c r="C13" s="114"/>
    </row>
    <row r="14" spans="1:16" ht="13.5" customHeight="1" thickBot="1"/>
    <row r="15" spans="1:16" ht="13.5" thickBot="1">
      <c r="B15" s="731"/>
      <c r="C15" s="694"/>
      <c r="D15" s="695" t="s">
        <v>33</v>
      </c>
      <c r="E15" s="696">
        <f>'4. Customer Growth'!B17</f>
        <v>2013</v>
      </c>
      <c r="F15" s="696">
        <f>'4. Customer Growth'!B18</f>
        <v>2014</v>
      </c>
      <c r="G15" s="696">
        <f>'4. Customer Growth'!B19</f>
        <v>2015</v>
      </c>
      <c r="H15" s="696">
        <f>'4. Customer Growth'!B20</f>
        <v>2016</v>
      </c>
      <c r="I15" s="696">
        <f>'4. Customer Growth'!B21</f>
        <v>2017</v>
      </c>
      <c r="J15" s="696">
        <f>'4. Customer Growth'!B22</f>
        <v>2018</v>
      </c>
      <c r="K15" s="696">
        <f>'4. Customer Growth'!B23</f>
        <v>2019</v>
      </c>
      <c r="L15" s="696">
        <f>'4. Customer Growth'!B24</f>
        <v>2020</v>
      </c>
      <c r="M15" s="696">
        <f>'4. Customer Growth'!B25</f>
        <v>2021</v>
      </c>
      <c r="N15" s="696">
        <f>'4. Customer Growth'!B26</f>
        <v>2022</v>
      </c>
      <c r="O15" s="696" t="str">
        <f>'4. Customer Growth'!B30</f>
        <v>2023</v>
      </c>
      <c r="P15" s="697" t="str">
        <f>'4. Customer Growth'!B31</f>
        <v>2024</v>
      </c>
    </row>
    <row r="16" spans="1:16">
      <c r="B16" s="628" t="s">
        <v>191</v>
      </c>
      <c r="C16" s="629" t="str">
        <f>IF($B16=$F$64,+$B$64,+IF($B16=$F$65,+$B$65,+IF($B16=$F$66,+$B$66,+IF($B16=$F$66,$B$66,+IF($B16=$F$67,+$B$67,+IF($B16=$F$68,+$B$68,+IF($B16=$F$69,+$B$69,+IF($B16=$F$70,+$B$70,+IF($B16=$F$71,+$B$71,+IF($B16=$F$72,+$B$72,+IF($B16=$F$73,+$B$73)))))))))))</f>
        <v>Residential</v>
      </c>
      <c r="D16" s="339" t="s">
        <v>128</v>
      </c>
      <c r="E16" s="441">
        <f>IF($C16='4. Customer Growth'!$C$15,+'4. Customer Growth'!$C$17,+IF($C16='4. Customer Growth'!$E$15,+'4. Customer Growth'!$E$17,+IF($C16='4. Customer Growth'!$G$15,+'4. Customer Growth'!$G$17,+IF($C16='4. Customer Growth'!$I$15,+'4. Customer Growth'!$I$17,+IF($C16='4. Customer Growth'!$K$15,+'4. Customer Growth'!$K$17,+IF($C16='4. Customer Growth'!$M$15,+'4. Customer Growth'!$M$17,IF($C16='4. Customer Growth'!$O$15,+'4. Customer Growth'!$O$17)))))))</f>
        <v>3726</v>
      </c>
      <c r="F16" s="441">
        <f>IF($C16='4. Customer Growth'!$C$15,+'4. Customer Growth'!$C$18,+IF($C16='4. Customer Growth'!$E$15,+'4. Customer Growth'!$E$18,+IF($C16='4. Customer Growth'!$G$15,+'4. Customer Growth'!$G$18,+IF($C16='4. Customer Growth'!$I$15,+'4. Customer Growth'!$I$18,+IF($C16='4. Customer Growth'!$K$15,+'4. Customer Growth'!$K$18,+IF($C16='4. Customer Growth'!$M$15,+'4. Customer Growth'!$M$18,IF($C16='4. Customer Growth'!$O$15,+'4. Customer Growth'!$O$18)))))))</f>
        <v>3744</v>
      </c>
      <c r="G16" s="441">
        <f>IF($C16='4. Customer Growth'!$C$15,+'4. Customer Growth'!$C$19,+IF($C16='4. Customer Growth'!$E$15,+'4. Customer Growth'!$E$19,+IF($C16='4. Customer Growth'!$G$15,+'4. Customer Growth'!$G$19,+IF($C16='4. Customer Growth'!$I$15,+'4. Customer Growth'!$I$19,+IF($C16='4. Customer Growth'!$K$15,+'4. Customer Growth'!$K$19,+IF($C16='4. Customer Growth'!$M$15,+'4. Customer Growth'!$M$19,IF($C16='4. Customer Growth'!$O$15,+'4. Customer Growth'!$O$19)))))))</f>
        <v>3767.5</v>
      </c>
      <c r="H16" s="441">
        <f>IF($C16='4. Customer Growth'!$C$15,+'4. Customer Growth'!$C$20,+IF($C16='4. Customer Growth'!$E$15,+'4. Customer Growth'!$E$20,+IF($C16='4. Customer Growth'!$G$15,+'4. Customer Growth'!$G$20,+IF($C16='4. Customer Growth'!$I$15,+'4. Customer Growth'!$I$20,+IF($C16='4. Customer Growth'!$K$15,+'4. Customer Growth'!$K$20,+IF($C16='4. Customer Growth'!$M$15,+'4. Customer Growth'!$M$20,IF($C16='4. Customer Growth'!$O$15,+'4. Customer Growth'!$O$20)))))))</f>
        <v>3779.5</v>
      </c>
      <c r="I16" s="441">
        <f>IF($C16='4. Customer Growth'!$C$15,+'4. Customer Growth'!$C$21,+IF($C16='4. Customer Growth'!$E$15,+'4. Customer Growth'!$E$21,+IF($C16='4. Customer Growth'!$G$15,+'4. Customer Growth'!$G$21,+IF($C16='4. Customer Growth'!$I$15,+'4. Customer Growth'!$I$21,+IF($C16='4. Customer Growth'!$K$15,+'4. Customer Growth'!$K$21,+IF($C16='4. Customer Growth'!$M$15,+'4. Customer Growth'!$M$21,IF($C16='4. Customer Growth'!$O$15,+'4. Customer Growth'!$O$21)))))))</f>
        <v>3797</v>
      </c>
      <c r="J16" s="441">
        <f>IF($C16='4. Customer Growth'!$C$15,+'4. Customer Growth'!$C$22,+IF($C16='4. Customer Growth'!$E$15,+'4. Customer Growth'!$E$22,+IF($C16='4. Customer Growth'!$G$15,+'4. Customer Growth'!$G$22,+IF($C16='4. Customer Growth'!$I$15,+'4. Customer Growth'!$I$22,+IF($C16='4. Customer Growth'!$K$15,+'4. Customer Growth'!$K$22,+IF($C16='4. Customer Growth'!$M$15,+'4. Customer Growth'!$M$22,IF($C16='4. Customer Growth'!$O$15,+'4. Customer Growth'!$O$22)))))))</f>
        <v>3813.5</v>
      </c>
      <c r="K16" s="441">
        <f>IF($C16='4. Customer Growth'!$C$15,+'4. Customer Growth'!$C$23,+IF($C16='4. Customer Growth'!$E$15,+'4. Customer Growth'!$E$23,+IF($C16='4. Customer Growth'!$G$15,+'4. Customer Growth'!$G$23,+IF($C16='4. Customer Growth'!$I$15,+'4. Customer Growth'!$I$23,+IF($C16='4. Customer Growth'!$K$15,+'4. Customer Growth'!$K$23,+IF($C16='4. Customer Growth'!$M$15,+'4. Customer Growth'!$M$23,IF($C16='4. Customer Growth'!$O$15,+'4. Customer Growth'!$O$23)))))))</f>
        <v>3824</v>
      </c>
      <c r="L16" s="441">
        <f>IF($C16='4. Customer Growth'!$C$15,+'4. Customer Growth'!$C$24,+IF($C16='4. Customer Growth'!$E$15,+'4. Customer Growth'!$E$24,+IF($C16='4. Customer Growth'!$G$15,+'4. Customer Growth'!$G$24,+IF($C16='4. Customer Growth'!$I$15,+'4. Customer Growth'!$I$24,+IF($C16='4. Customer Growth'!$K$15,+'4. Customer Growth'!$K$24,+IF($C16='4. Customer Growth'!$M$15,+'4. Customer Growth'!$M$24,IF($C16='4. Customer Growth'!$O$15,+'4. Customer Growth'!$O$24)))))))</f>
        <v>3843.5</v>
      </c>
      <c r="M16" s="441">
        <f>IF($C16='4. Customer Growth'!$C$15,+'4. Customer Growth'!$C$25,+IF($C16='4. Customer Growth'!$E$15,+'4. Customer Growth'!$E$25,+IF($C16='4. Customer Growth'!$G$15,+'4. Customer Growth'!$G$25,+IF($C16='4. Customer Growth'!$I$15,+'4. Customer Growth'!$I$25,+IF($C16='4. Customer Growth'!$K$15,+'4. Customer Growth'!$K$25,+IF($C16='4. Customer Growth'!$M$15,+'4. Customer Growth'!$M$25,IF($C16='4. Customer Growth'!$O$15,+'4. Customer Growth'!$O$25)))))))</f>
        <v>3860</v>
      </c>
      <c r="N16" s="441">
        <f>IF($C16='4. Customer Growth'!$C$15,+'4. Customer Growth'!$C$26,+IF($C16='4. Customer Growth'!$E$15,+'4. Customer Growth'!$E$26,+IF($C16='4. Customer Growth'!$G$15,+'4. Customer Growth'!$G$26,+IF($C16='4. Customer Growth'!$I$15,+'4. Customer Growth'!$I$26,+IF($C16='4. Customer Growth'!$K$15,+'4. Customer Growth'!$K$26,+IF($C16='4. Customer Growth'!$M$15,+'4. Customer Growth'!$M$26,IF($C16='4. Customer Growth'!$O$15,+'4. Customer Growth'!$O$26)))))))</f>
        <v>3878.5</v>
      </c>
      <c r="O16" s="441">
        <f>IF($C16='4. Customer Growth'!$C$15,+'4. Customer Growth'!$C$42,+IF($C16='4. Customer Growth'!$E$15,+'4. Customer Growth'!$E$42,+IF($C16='4. Customer Growth'!$G$15,+'4. Customer Growth'!$G$42,+IF($C16='4. Customer Growth'!$I$15,+'4. Customer Growth'!$I$42,+IF($C16='4. Customer Growth'!$K$15,+'4. Customer Growth'!$K$42,+IF($C16='4. Customer Growth'!$M$15,+'4. Customer Growth'!$M$42,IF($C16='4. Customer Growth'!$O$15,+'4. Customer Growth'!$O$42)))))))</f>
        <v>3905</v>
      </c>
      <c r="P16" s="442">
        <f>IF($C16='4. Customer Growth'!$C$15,+'4. Customer Growth'!$C$43,+IF($C16='4. Customer Growth'!$E$15,+'4. Customer Growth'!$E$43,+IF($C16='4. Customer Growth'!$G$15,+'4. Customer Growth'!$G$43,+IF($C16='4. Customer Growth'!$I$15,+'4. Customer Growth'!$I$43,+IF($C16='4. Customer Growth'!$K$15,+'4. Customer Growth'!$K$43,+IF($C16='4. Customer Growth'!$M$15,+'4. Customer Growth'!$M$43,IF($C16='4. Customer Growth'!$O$15,+'4. Customer Growth'!$O$43)))))))</f>
        <v>3922</v>
      </c>
    </row>
    <row r="17" spans="1:16">
      <c r="B17" s="75"/>
      <c r="C17" s="42"/>
      <c r="D17" s="42" t="s">
        <v>36</v>
      </c>
      <c r="E17" s="441">
        <f>IF($B16=$F$64,+'7. Weather Senstive Class'!$G$21,IF($B16=$F$65,+'7. Weather Senstive Class'!$O$21,IF($B16=$F$66,+'7. Weather Senstive Class'!$W$21,IF($B16=$F$67,+'7. Weather Senstive Class'!$AE$21,IF($B16=$F$68,+'7. Weather Senstive Class'!$AM$21,IF($B16=$F$69,+'8. KW and Non-Weather Sensitive'!$E$21,IF($B16=$F$70,+'8. KW and Non-Weather Sensitive'!$P$21,IF($B16=$F$71,+'8. KW and Non-Weather Sensitive'!$Z$21,IF($B16=$F$72,+'8. KW and Non-Weather Sensitive'!$AJ$21,IF($B16=$F$73,+'8. KW and Non-Weather Sensitive'!$AT$21))))))))))</f>
        <v>29645290.68282254</v>
      </c>
      <c r="F17" s="441">
        <f>IF($B16=$F$64,+'7. Weather Senstive Class'!$G$22,IF($B16=$F$65,+'7. Weather Senstive Class'!$O$22,IF($B16=$F$66,+'7. Weather Senstive Class'!$W$22,IF($B16=$F$67,+'7. Weather Senstive Class'!$AE$22,IF($B16=$F$68,+'7. Weather Senstive Class'!$AM$22,IF($B16=$F$69,+'8. KW and Non-Weather Sensitive'!$E$22,IF($B16=$F$70,+'8. KW and Non-Weather Sensitive'!$P$22,IF($B16=$F$71,+'8. KW and Non-Weather Sensitive'!$Z$22,IF($B16=$F$72,+'8. KW and Non-Weather Sensitive'!$AJ$22,IF($B16=$F$73,+'8. KW and Non-Weather Sensitive'!$AT$22))))))))))</f>
        <v>29796742.953932717</v>
      </c>
      <c r="G17" s="441">
        <f>IF($B16=$F$64,+'7. Weather Senstive Class'!$G$23,IF($B16=$F$65,+'7. Weather Senstive Class'!$O$23,IF($B16=$F$66,+'7. Weather Senstive Class'!$W$23,IF($B16=$F$67,+'7. Weather Senstive Class'!$AE$23,IF($B16=$F$68,+'7. Weather Senstive Class'!$AM$23,IF($B16=$F$69,+'8. KW and Non-Weather Sensitive'!$E$23,IF($B16=$F$70,+'8. KW and Non-Weather Sensitive'!$P$23,IF($B16=$F$71,+'8. KW and Non-Weather Sensitive'!$Z$23,IF($B16=$F$72,+'8. KW and Non-Weather Sensitive'!$AJ$23,IF($B16=$F$73,+'8. KW and Non-Weather Sensitive'!$AT$23))))))))))</f>
        <v>29339475.458853304</v>
      </c>
      <c r="H17" s="441">
        <f>IF($B16=$F$64,+'7. Weather Senstive Class'!$G$24,IF($B16=$F$65,+'7. Weather Senstive Class'!$O$24,IF($B16=$F$66,+'7. Weather Senstive Class'!$W$24,IF($B16=$F$67,+'7. Weather Senstive Class'!$AE$24,IF($B16=$F$68,+'7. Weather Senstive Class'!$AM$24,IF($B16=$F$69,+'8. KW and Non-Weather Sensitive'!$E$24,IF($B16=$F$70,+'8. KW and Non-Weather Sensitive'!$P$24,IF($B16=$F$71,+'8. KW and Non-Weather Sensitive'!$Z$24,IF($B16=$F$72,+'8. KW and Non-Weather Sensitive'!$AJ$24,IF($B16=$F$73,+'8. KW and Non-Weather Sensitive'!$AT$24))))))))))</f>
        <v>29165919.661013279</v>
      </c>
      <c r="I17" s="441">
        <f>IF($B16=$F$64,+'7. Weather Senstive Class'!$G$25,IF($B16=$F$65,+'7. Weather Senstive Class'!$O$25,IF($B16=$F$66,+'7. Weather Senstive Class'!$W$25,IF($B16=$F$67,+'7. Weather Senstive Class'!$AE$25,IF($B16=$F$68,+'7. Weather Senstive Class'!$AM$25,IF($B16=$F$69,+'8. KW and Non-Weather Sensitive'!$E$25,IF($B16=$F$70,+'8. KW and Non-Weather Sensitive'!$P$25,IF($B16=$F$71,+'8. KW and Non-Weather Sensitive'!$Z$25,IF($B16=$F$72,+'8. KW and Non-Weather Sensitive'!$AJ$25,IF($B16=$F$73,+'8. KW and Non-Weather Sensitive'!$AT$25))))))))))</f>
        <v>28135176.247780975</v>
      </c>
      <c r="J17" s="441">
        <f>IF($B16=$F$64,+'7. Weather Senstive Class'!$G$26,IF($B16=$F$65,+'7. Weather Senstive Class'!$O$26,IF($B16=$F$66,+'7. Weather Senstive Class'!$M$26,IF($B16=$F$67,+'7. Weather Senstive Class'!$AE$26,IF($B16=$F$68,+'7. Weather Senstive Class'!$AM$26,IF($B16=$F$69,+'8. KW and Non-Weather Sensitive'!$E$26,IF($B16=$F$70,+'8. KW and Non-Weather Sensitive'!$P$26,IF($B16=$F$71,+'8. KW and Non-Weather Sensitive'!$Z$26,IF($B16=$F$72,+'8. KW and Non-Weather Sensitive'!$AJ$26,IF($B16=$F$73,+'8. KW and Non-Weather Sensitive'!$AT$26))))))))))</f>
        <v>30210656.148535065</v>
      </c>
      <c r="K17" s="441">
        <f>IF($B16=$F$64,+'7. Weather Senstive Class'!$G$27,IF($B16=$F$65,+'7. Weather Senstive Class'!$O$27,IF($B16=$F$66,+'7. Weather Senstive Class'!$W$27,IF($B16=$F$67,+'7. Weather Senstive Class'!$AE$27,IF($B16=$F$68,+'7. Weather Senstive Class'!$AM$27,IF($B16=$F$69,+'8. KW and Non-Weather Sensitive'!$E$27,IF($B16=$F$70,+'8. KW and Non-Weather Sensitive'!$P$27,IF($B16=$F$71,+'8. KW and Non-Weather Sensitive'!$Z$27,IF($B16=$F$72,+'8. KW and Non-Weather Sensitive'!$AJ$27,IF($B16=$F$73,+'8. KW and Non-Weather Sensitive'!$AT$27))))))))))</f>
        <v>29735671.713060603</v>
      </c>
      <c r="L17" s="441">
        <f>IF($B16=$F$64,+'7. Weather Senstive Class'!$G$28,IF($B16=$F$65,+'7. Weather Senstive Class'!$O$28,IF($B16=$F$66,+'7. Weather Senstive Class'!$W$28,IF($B16=$F$67,+'7. Weather Senstive Class'!$AE$28,IF($B16=$F$68,+'7. Weather Senstive Class'!$AM$28,IF($B16=$F$69,+'8. KW and Non-Weather Sensitive'!$E$28,IF($B16=$F$70,+'8. KW and Non-Weather Sensitive'!$P$28,IF($B16=$F$71,+'8. KW and Non-Weather Sensitive'!$Z$28,IF($B16=$F$72,+'8. KW and Non-Weather Sensitive'!$AJ$28,IF($B16=$F$73,+'8. KW and Non-Weather Sensitive'!$AT$28))))))))))</f>
        <v>31810146.089001425</v>
      </c>
      <c r="M17" s="441">
        <f>IF($B16=$F$64,+'7. Weather Senstive Class'!$G$29,IF($B16=$F$65,+'7. Weather Senstive Class'!$O$29,IF($B16=$F$66,+'7. Weather Senstive Class'!$W$29,IF($B16=$F$67,+'7. Weather Senstive Class'!$AE$29,IF($B16=$F$68,+'7. Weather Senstive Class'!$AM$29,IF($B16=$F$69,+'8. KW and Non-Weather Sensitive'!$E$29,IF($B16=$F$70,+'8. KW and Non-Weather Sensitive'!$P$29,IF($B16=$F$71,+'8. KW and Non-Weather Sensitive'!$Z$29,IF($B16=$F$72,+'8. KW and Non-Weather Sensitive'!$AJ$29,IF($B16=$F$73,+'8. KW and Non-Weather Sensitive'!$AT$29))))))))))</f>
        <v>31083781.549592119</v>
      </c>
      <c r="N17" s="441">
        <f>IF($B16=$F$64,+'7. Weather Senstive Class'!$G$30,IF($B16=$F$65,+'7. Weather Senstive Class'!$O$30,IF($B16=$F$66,+'7. Weather Senstive Class'!$W$30,IF($B16=$F$67,+'7. Weather Senstive Class'!$AE$30,IF($B16=$F$68,+'7. Weather Senstive Class'!$AM$30,IF($B16=$F$69,+'8. KW and Non-Weather Sensitive'!$E$30,IF($B16=$F$70,+'8. KW and Non-Weather Sensitive'!$P$30,IF($B16=$F$71,+'8. KW and Non-Weather Sensitive'!$Z$30,IF($B16=$F$72,+'8. KW and Non-Weather Sensitive'!$AJ$30,IF($B16=$F$73,+'8. KW and Non-Weather Sensitive'!$AT$30))))))))))</f>
        <v>30406494.540865913</v>
      </c>
      <c r="O17" s="441">
        <f>IF($B16=$F$64,+'7. Weather Senstive Class'!$H$42,IF($B16=$F$65,+'7. Weather Senstive Class'!$P$42,IF($B16=$F$66,+'7. Weather Senstive Class'!$X$42,IF($B16=$F$67,+'7. Weather Senstive Class'!$AF$42,IF($B16=$F$68,+'7. Weather Senstive Class'!$AN$42,IF($B16=$F$69,+'8. KW and Non-Weather Sensitive'!$I$49,IF($B16=$F$70,+'8. KW and Non-Weather Sensitive'!$T$49,IF($B16=$F$71,+'8. KW and Non-Weather Sensitive'!$AD$49,IF($B16=$F$72,+'8. KW and Non-Weather Sensitive'!$AN$49,IF($B16=$F$73,+'8. KW and Non-Weather Sensitive'!$AX$49))))))))))</f>
        <v>31265957.992890347</v>
      </c>
      <c r="P17" s="442">
        <f>IF($B16=$F$64,+'7. Weather Senstive Class'!$H$43,IF($B16=$F$65,+'7. Weather Senstive Class'!$P$43,IF($B16=$F$66,+'7. Weather Senstive Class'!$X$43,IF($B16=$F$67,+'7. Weather Senstive Class'!$AF$43,IF($B16=$F$68,+'7. Weather Senstive Class'!$AN$43,IF($B16=$F$69,+'8. KW and Non-Weather Sensitive'!$I$50,IF($B16=$F$70,+'8. KW and Non-Weather Sensitive'!$T$50,IF($B16=$F$71,+'8. KW and Non-Weather Sensitive'!$AD$50,IF($B16=$F$72,+'8. KW and Non-Weather Sensitive'!$AN$50,IF($B16=$F$73,+'8. KW and Non-Weather Sensitive'!$AX$50))))))))))</f>
        <v>31290546.630048562</v>
      </c>
    </row>
    <row r="18" spans="1:16">
      <c r="B18" s="75"/>
      <c r="C18" s="42"/>
      <c r="D18" s="42" t="s">
        <v>37</v>
      </c>
      <c r="E18" s="345">
        <f>IF(B$16=$F$69,+'8. KW and Non-Weather Sensitive'!$F$21,IF($B16=$F$70,+'8. KW and Non-Weather Sensitive'!$Q$21,IF($B16=$F$71,+'8. KW and Non-Weather Sensitive'!$AA$21,IF($B16=$F$72,+'8. KW and Non-Weather Sensitive'!$AK$21,+IF($B16=$F$73,+'8. KW and Non-Weather Sensitive'!$AU$21,0)))))</f>
        <v>0</v>
      </c>
      <c r="F18" s="345">
        <f>IF($B16=$F$69,+'8. KW and Non-Weather Sensitive'!$F$22,IF($B16=$F$70,+'8. KW and Non-Weather Sensitive'!$Q$22,IF($B16=$F$71,+'8. KW and Non-Weather Sensitive'!$AA$22,IF($B16=$F$72,+'8. KW and Non-Weather Sensitive'!$AK$22,+IF($B16=$F$73,+'8. KW and Non-Weather Sensitive'!$AU$22,0)))))</f>
        <v>0</v>
      </c>
      <c r="G18" s="345">
        <f>IF($B16=$F$69,+'8. KW and Non-Weather Sensitive'!$F$23,IF($B16=$F$70,+'8. KW and Non-Weather Sensitive'!$Q$23,IF($B16=$F$71,+'8. KW and Non-Weather Sensitive'!$AA$23,IF($B16=$F$72,+'8. KW and Non-Weather Sensitive'!$AK$23,+IF($B16=$F$73,+'8. KW and Non-Weather Sensitive'!$AU$23,0)))))</f>
        <v>0</v>
      </c>
      <c r="H18" s="345">
        <f>IF($B16=$F$69,+'8. KW and Non-Weather Sensitive'!$F$24,IF($B16=$F$70,+'8. KW and Non-Weather Sensitive'!$Q$24,IF($B16=$F$71,+'8. KW and Non-Weather Sensitive'!$AA$24,IF($B16=$F$72,+'8. KW and Non-Weather Sensitive'!$AK$24,+IF($B16=$F$73,+'8. KW and Non-Weather Sensitive'!$AU$24,0)))))</f>
        <v>0</v>
      </c>
      <c r="I18" s="345">
        <f>IF($B16=$F$69,+'8. KW and Non-Weather Sensitive'!$F$25,IF($B16=$F$70,+'8. KW and Non-Weather Sensitive'!$Q$25,IF($B16=$F$71,+'8. KW and Non-Weather Sensitive'!$AA$25,IF($B16=$F$72,+'8. KW and Non-Weather Sensitive'!$AK$25,+IF($B16=$F$73,+'8. KW and Non-Weather Sensitive'!$AU$25,0)))))</f>
        <v>0</v>
      </c>
      <c r="J18" s="345">
        <f>IF($B16=$F$69,+'8. KW and Non-Weather Sensitive'!$F$26,IF($B16=$F$70,+'8. KW and Non-Weather Sensitive'!$Q$26,IF($B16=$F$71,+'8. KW and Non-Weather Sensitive'!$AA$26,IF($B16=$F$72,+'8. KW and Non-Weather Sensitive'!$AK$26,+IF($B16=$F$73,+'8. KW and Non-Weather Sensitive'!$AU$26,0)))))</f>
        <v>0</v>
      </c>
      <c r="K18" s="345">
        <f>IF($B16=$F$69,+'8. KW and Non-Weather Sensitive'!$F$27,IF($B16=$F$70,+'8. KW and Non-Weather Sensitive'!$Q$27,IF($B16=$F$71,+'8. KW and Non-Weather Sensitive'!$AA$27,IF($B16=$F$72,+'8. KW and Non-Weather Sensitive'!$AK$27,+IF($B16=$F$73,+'8. KW and Non-Weather Sensitive'!$AU$27,0)))))</f>
        <v>0</v>
      </c>
      <c r="L18" s="345">
        <f>IF($B16=$F$69,+'8. KW and Non-Weather Sensitive'!$F$28,IF($B16=$F$70,+'8. KW and Non-Weather Sensitive'!$Q$28,IF($B16=$F$71,+'8. KW and Non-Weather Sensitive'!$AA$28,IF($B16=$F$72,+'8. KW and Non-Weather Sensitive'!$AK$28,+IF($B16=$F$73,+'8. KW and Non-Weather Sensitive'!$AU$28,0)))))</f>
        <v>0</v>
      </c>
      <c r="M18" s="345">
        <f>IF($B16=$F$69,+'8. KW and Non-Weather Sensitive'!$F$29,IF($B16=$F$70,+'8. KW and Non-Weather Sensitive'!$Q$29,IF($B16=$F$71,+'8. KW and Non-Weather Sensitive'!$AA$29,IF($B16=$F$72,+'8. KW and Non-Weather Sensitive'!$AK$29,+IF($B16=$F$73,+'8. KW and Non-Weather Sensitive'!$AU$29,0)))))</f>
        <v>0</v>
      </c>
      <c r="N18" s="345">
        <f>IF($B16=$F$69,+'8. KW and Non-Weather Sensitive'!$F$30,IF($B16=$F$70,+'8. KW and Non-Weather Sensitive'!$Q$30,IF($B16=$F$71,+'8. KW and Non-Weather Sensitive'!$AA$30,IF($B16=$F$72,+'8. KW and Non-Weather Sensitive'!$AK$30,+IF($B16=$F$73,+'8. KW and Non-Weather Sensitive'!$AU$30,0)))))</f>
        <v>0</v>
      </c>
      <c r="O18" s="345">
        <f>IF($B16=$F$69,+'8. KW and Non-Weather Sensitive'!$J$49,IF($B16=$F$70,+'8. KW and Non-Weather Sensitive'!$U$49,IF($B16=$F$71,+'8. KW and Non-Weather Sensitive'!$AE$49,IF($B16=$F$72,+'8. KW and Non-Weather Sensitive'!$AO$49,+IF($B16=$F$73,+'8. KW and Non-Weather Sensitive'!$AY$49,0)))))</f>
        <v>0</v>
      </c>
      <c r="P18" s="443">
        <f>IF($B16=$F$69,+'8. KW and Non-Weather Sensitive'!$J$50,IF($B16=$F$70,+'8. KW and Non-Weather Sensitive'!$U$50,IF($B16=$F$71,+'8. KW and Non-Weather Sensitive'!$AE$50,IF($B16=$F$72,+'8. KW and Non-Weather Sensitive'!$AO$50,+IF($B16=$F$73,+'8. KW and Non-Weather Sensitive'!$AY$50,0)))))</f>
        <v>0</v>
      </c>
    </row>
    <row r="19" spans="1:16">
      <c r="A19" s="663" t="s">
        <v>261</v>
      </c>
      <c r="B19" s="75"/>
      <c r="C19" s="42"/>
      <c r="D19" s="42"/>
      <c r="E19" s="345"/>
      <c r="F19" s="345"/>
      <c r="G19" s="345"/>
      <c r="H19" s="345"/>
      <c r="I19" s="345"/>
      <c r="J19" s="345"/>
      <c r="K19" s="345"/>
      <c r="L19" s="345"/>
      <c r="M19" s="345"/>
      <c r="N19" s="345"/>
      <c r="O19" s="346"/>
      <c r="P19" s="347"/>
    </row>
    <row r="20" spans="1:16">
      <c r="A20" s="663" t="s">
        <v>262</v>
      </c>
      <c r="B20" s="630" t="s">
        <v>190</v>
      </c>
      <c r="C20" s="629" t="str">
        <f>IF($B20=$F$64,+$B$64,+IF($B20=$F$65,+$B$65,+IF($B20=$F$66,+$B$66,+IF($B20=$F$66,$B$66,+IF($B20=$F$67,+$B$67,+IF($B20=$F$68,+$B$68,+IF($B20=$F$69,+$B$69,+IF($B20=$F$70,+$B$70,+IF($B20=$F$71,+$B$71,+IF($B20=$F$72,+$B$72,+IF($B20=$F$73,+$B$73)))))))))))</f>
        <v>General Service &lt; 50 kW</v>
      </c>
      <c r="D20" s="74" t="s">
        <v>128</v>
      </c>
      <c r="E20" s="441">
        <f>IF($C20='4. Customer Growth'!$C$15,+'4. Customer Growth'!$C$17,+IF($C20='4. Customer Growth'!$E$15,+'4. Customer Growth'!$E$17,+IF($C20='4. Customer Growth'!$G$15,+'4. Customer Growth'!$G$17,+IF($C20='4. Customer Growth'!$I$15,+'4. Customer Growth'!$I$17,+IF($C20='4. Customer Growth'!$K$15,+'4. Customer Growth'!$K$17,+IF($C20='4. Customer Growth'!$M$15,+'4. Customer Growth'!$M$17,IF($C20='4. Customer Growth'!$O$15,+'4. Customer Growth'!$O$17)))))))</f>
        <v>435.5</v>
      </c>
      <c r="F20" s="441">
        <f>IF($C20='4. Customer Growth'!$C$15,+'4. Customer Growth'!$C$18,+IF($C20='4. Customer Growth'!$E$15,+'4. Customer Growth'!$E$18,+IF($C20='4. Customer Growth'!$G$15,+'4. Customer Growth'!$G$18,+IF($C20='4. Customer Growth'!$I$15,+'4. Customer Growth'!$I$18,+IF($C20='4. Customer Growth'!$K$15,+'4. Customer Growth'!$K$18,+IF($C20='4. Customer Growth'!$M$15,+'4. Customer Growth'!$M$18,IF($C20='4. Customer Growth'!$O$15,+'4. Customer Growth'!$O$18)))))))</f>
        <v>432.5</v>
      </c>
      <c r="G20" s="441">
        <f>IF($C20='4. Customer Growth'!$C$15,+'4. Customer Growth'!$C$19,+IF($C20='4. Customer Growth'!$E$15,+'4. Customer Growth'!$E$19,+IF($C20='4. Customer Growth'!$G$15,+'4. Customer Growth'!$G$19,+IF($C20='4. Customer Growth'!$I$15,+'4. Customer Growth'!$I$19,+IF($C20='4. Customer Growth'!$K$15,+'4. Customer Growth'!$K$19,+IF($C20='4. Customer Growth'!$M$15,+'4. Customer Growth'!$M$19,IF($C20='4. Customer Growth'!$O$15,+'4. Customer Growth'!$O$19)))))))</f>
        <v>429.5</v>
      </c>
      <c r="H20" s="441">
        <f>IF($C20='4. Customer Growth'!$C$15,+'4. Customer Growth'!$C$20,+IF($C20='4. Customer Growth'!$E$15,+'4. Customer Growth'!$E$20,+IF($C20='4. Customer Growth'!$G$15,+'4. Customer Growth'!$G$20,+IF($C20='4. Customer Growth'!$I$15,+'4. Customer Growth'!$I$20,+IF($C20='4. Customer Growth'!$K$15,+'4. Customer Growth'!$K$20,+IF($C20='4. Customer Growth'!$M$15,+'4. Customer Growth'!$M$20,IF($C20='4. Customer Growth'!$O$15,+'4. Customer Growth'!$O$20)))))))</f>
        <v>432.5</v>
      </c>
      <c r="I20" s="441">
        <f>IF($C20='4. Customer Growth'!$C$15,+'4. Customer Growth'!$C$21,+IF($C20='4. Customer Growth'!$E$15,+'4. Customer Growth'!$E$21,+IF($C20='4. Customer Growth'!$G$15,+'4. Customer Growth'!$G$21,+IF($C20='4. Customer Growth'!$I$15,+'4. Customer Growth'!$I$21,+IF($C20='4. Customer Growth'!$K$15,+'4. Customer Growth'!$K$21,+IF($C20='4. Customer Growth'!$M$15,+'4. Customer Growth'!$M$21,IF($C20='4. Customer Growth'!$O$15,+'4. Customer Growth'!$O$21)))))))</f>
        <v>436</v>
      </c>
      <c r="J20" s="441">
        <f>IF($C20='4. Customer Growth'!$C$15,+'4. Customer Growth'!$C$22,+IF($C20='4. Customer Growth'!$E$15,+'4. Customer Growth'!$E$22,+IF($C20='4. Customer Growth'!$G$15,+'4. Customer Growth'!$G$22,+IF($C20='4. Customer Growth'!$I$15,+'4. Customer Growth'!$I$22,+IF($C20='4. Customer Growth'!$K$15,+'4. Customer Growth'!$K$22,+IF($C20='4. Customer Growth'!$M$15,+'4. Customer Growth'!$M$22,IF($C20='4. Customer Growth'!$O$15,+'4. Customer Growth'!$O$22)))))))</f>
        <v>439.5</v>
      </c>
      <c r="K20" s="441">
        <f>IF($C20='4. Customer Growth'!$C$15,+'4. Customer Growth'!$C$23,+IF($C20='4. Customer Growth'!$E$15,+'4. Customer Growth'!$E$23,+IF($C20='4. Customer Growth'!$G$15,+'4. Customer Growth'!$G$23,+IF($C20='4. Customer Growth'!$I$15,+'4. Customer Growth'!$I$23,+IF($C20='4. Customer Growth'!$K$15,+'4. Customer Growth'!$K$23,+IF($C20='4. Customer Growth'!$M$15,+'4. Customer Growth'!$M$23,IF($C20='4. Customer Growth'!$O$15,+'4. Customer Growth'!$O$23)))))))</f>
        <v>451</v>
      </c>
      <c r="L20" s="441">
        <f>IF($C20='4. Customer Growth'!$C$15,+'4. Customer Growth'!$C$24,+IF($C20='4. Customer Growth'!$E$15,+'4. Customer Growth'!$E$24,+IF($C20='4. Customer Growth'!$G$15,+'4. Customer Growth'!$G$24,+IF($C20='4. Customer Growth'!$I$15,+'4. Customer Growth'!$I$24,+IF($C20='4. Customer Growth'!$K$15,+'4. Customer Growth'!$K$24,+IF($C20='4. Customer Growth'!$M$15,+'4. Customer Growth'!$M$24,IF($C20='4. Customer Growth'!$O$15,+'4. Customer Growth'!$O$24)))))))</f>
        <v>455.5</v>
      </c>
      <c r="M20" s="441">
        <f>IF($C20='4. Customer Growth'!$C$15,+'4. Customer Growth'!$C$25,+IF($C20='4. Customer Growth'!$E$15,+'4. Customer Growth'!$E$25,+IF($C20='4. Customer Growth'!$G$15,+'4. Customer Growth'!$G$25,+IF($C20='4. Customer Growth'!$I$15,+'4. Customer Growth'!$I$25,+IF($C20='4. Customer Growth'!$K$15,+'4. Customer Growth'!$K$25,+IF($C20='4. Customer Growth'!$M$15,+'4. Customer Growth'!$M$25,IF($C20='4. Customer Growth'!$O$15,+'4. Customer Growth'!$O$25)))))))</f>
        <v>453</v>
      </c>
      <c r="N20" s="441">
        <f>IF($C20='4. Customer Growth'!$C$15,+'4. Customer Growth'!$C$26,+IF($C20='4. Customer Growth'!$E$15,+'4. Customer Growth'!$E$26,+IF($C20='4. Customer Growth'!$G$15,+'4. Customer Growth'!$G$26,+IF($C20='4. Customer Growth'!$I$15,+'4. Customer Growth'!$I$26,+IF($C20='4. Customer Growth'!$K$15,+'4. Customer Growth'!$K$26,+IF($C20='4. Customer Growth'!$M$15,+'4. Customer Growth'!$M$26,IF($C20='4. Customer Growth'!$O$15,+'4. Customer Growth'!$O$26)))))))</f>
        <v>455</v>
      </c>
      <c r="O20" s="441">
        <f>IF($C20='4. Customer Growth'!$C$15,+'4. Customer Growth'!$C$42,+IF($C20='4. Customer Growth'!$E$15,+'4. Customer Growth'!$E$42,+IF($C20='4. Customer Growth'!$G$15,+'4. Customer Growth'!$G$42,+IF($C20='4. Customer Growth'!$I$15,+'4. Customer Growth'!$I$42,+IF($C20='4. Customer Growth'!$K$15,+'4. Customer Growth'!$K$42,+IF($C20='4. Customer Growth'!$M$15,+'4. Customer Growth'!$M$42,IF($C20='4. Customer Growth'!$O$15,+'4. Customer Growth'!$O$42)))))))</f>
        <v>456</v>
      </c>
      <c r="P20" s="442">
        <f>IF($C20='4. Customer Growth'!$C$15,+'4. Customer Growth'!$C$43,+IF($C20='4. Customer Growth'!$E$15,+'4. Customer Growth'!$E$43,+IF($C20='4. Customer Growth'!$G$15,+'4. Customer Growth'!$G$43,+IF($C20='4. Customer Growth'!$I$15,+'4. Customer Growth'!$I$43,+IF($C20='4. Customer Growth'!$K$15,+'4. Customer Growth'!$K$43,+IF($C20='4. Customer Growth'!$M$15,+'4. Customer Growth'!$M$43,IF($C20='4. Customer Growth'!$O$15,+'4. Customer Growth'!$O$43)))))))</f>
        <v>458</v>
      </c>
    </row>
    <row r="21" spans="1:16">
      <c r="B21" s="75"/>
      <c r="C21" s="42"/>
      <c r="D21" s="42" t="s">
        <v>36</v>
      </c>
      <c r="E21" s="441">
        <f>IF($B20=$F$64,+'7. Weather Senstive Class'!$G$21,IF($B20=$F$65,+'7. Weather Senstive Class'!$O$21,IF($B20=$F$66,+'7. Weather Senstive Class'!$W$21,IF($B20=$F$67,+'7. Weather Senstive Class'!$AE$21,IF($B20=$F$68,+'7. Weather Senstive Class'!$AM$21,IF($B20=$F$69,+'8. KW and Non-Weather Sensitive'!$E$21,IF($B20=$F$70,+'8. KW and Non-Weather Sensitive'!$P$21,IF($B20=$F$71,+'8. KW and Non-Weather Sensitive'!$Z$21,IF($B20=$F$72,+'8. KW and Non-Weather Sensitive'!$AJ$21,IF($B20=$F$73,+'8. KW and Non-Weather Sensitive'!$AT$21))))))))))</f>
        <v>11212977.246526431</v>
      </c>
      <c r="F21" s="441">
        <f>IF($B20=$F$64,+'7. Weather Senstive Class'!$G$22,IF($B20=$F$65,+'7. Weather Senstive Class'!$O$22,IF($B20=$F$66,+'7. Weather Senstive Class'!$W$22,IF($B20=$F$67,+'7. Weather Senstive Class'!$AE$22,IF($B20=$F$68,+'7. Weather Senstive Class'!$AM$22,IF($B20=$F$69,+'8. KW and Non-Weather Sensitive'!$E$22,IF($B20=$F$70,+'8. KW and Non-Weather Sensitive'!$P$22,IF($B20=$F$71,+'8. KW and Non-Weather Sensitive'!$Z$22,IF($B20=$F$72,+'8. KW and Non-Weather Sensitive'!$AJ$22,IF($B20=$F$73,+'8. KW and Non-Weather Sensitive'!$AT$22))))))))))</f>
        <v>11203782.543961693</v>
      </c>
      <c r="G21" s="441">
        <f>IF($B20=$F$64,+'7. Weather Senstive Class'!$G$23,IF($B20=$F$65,+'7. Weather Senstive Class'!$O$23,IF($B20=$F$66,+'7. Weather Senstive Class'!$W$23,IF($B20=$F$67,+'7. Weather Senstive Class'!$AE$23,IF($B20=$F$68,+'7. Weather Senstive Class'!$AM$23,IF($B20=$F$69,+'8. KW and Non-Weather Sensitive'!$E$23,IF($B20=$F$70,+'8. KW and Non-Weather Sensitive'!$P$23,IF($B20=$F$71,+'8. KW and Non-Weather Sensitive'!$Z$23,IF($B20=$F$72,+'8. KW and Non-Weather Sensitive'!$AJ$23,IF($B20=$F$73,+'8. KW and Non-Weather Sensitive'!$AT$23))))))))))</f>
        <v>10751811.298903616</v>
      </c>
      <c r="H21" s="441">
        <f>IF($B20=$F$64,+'7. Weather Senstive Class'!$G$24,IF($B20=$F$65,+'7. Weather Senstive Class'!$O$24,IF($B20=$F$66,+'7. Weather Senstive Class'!$W$24,IF($B20=$F$67,+'7. Weather Senstive Class'!$AE$24,IF($B20=$F$68,+'7. Weather Senstive Class'!$AM$24,IF($B20=$F$69,+'8. KW and Non-Weather Sensitive'!$E$24,IF($B20=$F$70,+'8. KW and Non-Weather Sensitive'!$P$24,IF($B20=$F$71,+'8. KW and Non-Weather Sensitive'!$Z$24,IF($B20=$F$72,+'8. KW and Non-Weather Sensitive'!$AJ$24,IF($B20=$F$73,+'8. KW and Non-Weather Sensitive'!$AT$24))))))))))</f>
        <v>10923989.236844525</v>
      </c>
      <c r="I21" s="441">
        <f>IF($B20=$F$64,+'7. Weather Senstive Class'!$G$25,IF($B20=$F$65,+'7. Weather Senstive Class'!$O$25,IF($B20=$F$66,+'7. Weather Senstive Class'!$W$25,IF($B20=$F$67,+'7. Weather Senstive Class'!$AE$25,IF($B20=$F$68,+'7. Weather Senstive Class'!$AM$25,IF($B20=$F$69,+'8. KW and Non-Weather Sensitive'!$E$25,IF($B20=$F$70,+'8. KW and Non-Weather Sensitive'!$P$25,IF($B20=$F$71,+'8. KW and Non-Weather Sensitive'!$Z$25,IF($B20=$F$72,+'8. KW and Non-Weather Sensitive'!$AJ$25,IF($B20=$F$73,+'8. KW and Non-Weather Sensitive'!$AT$25))))))))))</f>
        <v>10901579.1528008</v>
      </c>
      <c r="J21" s="441">
        <f>IF($B20=$F$64,+'7. Weather Senstive Class'!$G$26,IF($B20=$F$65,+'7. Weather Senstive Class'!$O$26,IF($B20=$F$66,+'7. Weather Senstive Class'!$M$26,IF($B20=$F$67,+'7. Weather Senstive Class'!$AE$26,IF($B20=$F$68,+'7. Weather Senstive Class'!$AM$26,IF($B20=$F$69,+'8. KW and Non-Weather Sensitive'!$E$26,IF($B20=$F$70,+'8. KW and Non-Weather Sensitive'!$P$26,IF($B20=$F$71,+'8. KW and Non-Weather Sensitive'!$Z$26,IF($B20=$F$72,+'8. KW and Non-Weather Sensitive'!$AJ$26,IF($B20=$F$73,+'8. KW and Non-Weather Sensitive'!$AT$26))))))))))</f>
        <v>11254541.149664605</v>
      </c>
      <c r="K21" s="441">
        <f>IF($B20=$F$64,+'7. Weather Senstive Class'!$G$27,IF($B20=$F$65,+'7. Weather Senstive Class'!$O$27,IF($B20=$F$66,+'7. Weather Senstive Class'!$W$27,IF($B20=$F$67,+'7. Weather Senstive Class'!$AE$27,IF($B20=$F$68,+'7. Weather Senstive Class'!$AM$27,IF($B20=$F$69,+'8. KW and Non-Weather Sensitive'!$E$27,IF($B20=$F$70,+'8. KW and Non-Weather Sensitive'!$P$27,IF($B20=$F$71,+'8. KW and Non-Weather Sensitive'!$Z$27,IF($B20=$F$72,+'8. KW and Non-Weather Sensitive'!$AJ$27,IF($B20=$F$73,+'8. KW and Non-Weather Sensitive'!$AT$27))))))))))</f>
        <v>11495663.191933932</v>
      </c>
      <c r="L21" s="441">
        <f>IF($B20=$F$64,+'7. Weather Senstive Class'!$G$28,IF($B20=$F$65,+'7. Weather Senstive Class'!$O$28,IF($B20=$F$66,+'7. Weather Senstive Class'!$W$28,IF($B20=$F$67,+'7. Weather Senstive Class'!$AE$28,IF($B20=$F$68,+'7. Weather Senstive Class'!$AM$28,IF($B20=$F$69,+'8. KW and Non-Weather Sensitive'!$E$28,IF($B20=$F$70,+'8. KW and Non-Weather Sensitive'!$P$28,IF($B20=$F$71,+'8. KW and Non-Weather Sensitive'!$Z$28,IF($B20=$F$72,+'8. KW and Non-Weather Sensitive'!$AJ$28,IF($B20=$F$73,+'8. KW and Non-Weather Sensitive'!$AT$28))))))))))</f>
        <v>12523318.281118637</v>
      </c>
      <c r="M21" s="441">
        <f>IF($B20=$F$64,+'7. Weather Senstive Class'!$G$29,IF($B20=$F$65,+'7. Weather Senstive Class'!$O$29,IF($B20=$F$66,+'7. Weather Senstive Class'!$W$29,IF($B20=$F$67,+'7. Weather Senstive Class'!$AE$29,IF($B20=$F$68,+'7. Weather Senstive Class'!$AM$29,IF($B20=$F$69,+'8. KW and Non-Weather Sensitive'!$E$29,IF($B20=$F$70,+'8. KW and Non-Weather Sensitive'!$P$29,IF($B20=$F$71,+'8. KW and Non-Weather Sensitive'!$Z$29,IF($B20=$F$72,+'8. KW and Non-Weather Sensitive'!$AJ$29,IF($B20=$F$73,+'8. KW and Non-Weather Sensitive'!$AT$29))))))))))</f>
        <v>11113017.879589727</v>
      </c>
      <c r="N21" s="441">
        <f>IF($B20=$F$64,+'7. Weather Senstive Class'!$G$30,IF($B20=$F$65,+'7. Weather Senstive Class'!$O$30,IF($B20=$F$66,+'7. Weather Senstive Class'!$W$30,IF($B20=$F$67,+'7. Weather Senstive Class'!$AE$30,IF($B20=$F$68,+'7. Weather Senstive Class'!$AM$30,IF($B20=$F$69,+'8. KW and Non-Weather Sensitive'!$E$30,IF($B20=$F$70,+'8. KW and Non-Weather Sensitive'!$P$30,IF($B20=$F$71,+'8. KW and Non-Weather Sensitive'!$Z$30,IF($B20=$F$72,+'8. KW and Non-Weather Sensitive'!$AJ$30,IF($B20=$F$73,+'8. KW and Non-Weather Sensitive'!$AT$30))))))))))</f>
        <v>11294106.186285226</v>
      </c>
      <c r="O21" s="441">
        <f>IF($B20=$F$64,+'7. Weather Senstive Class'!$H$42,IF($B20=$F$65,+'7. Weather Senstive Class'!$P$42,IF($B20=$F$66,+'7. Weather Senstive Class'!$X$42,IF($B20=$F$67,+'7. Weather Senstive Class'!$AF$42,IF($B20=$F$68,+'7. Weather Senstive Class'!$AN$42,IF($B20=$F$69,+'8. KW and Non-Weather Sensitive'!$I$49,IF($B20=$F$70,+'8. KW and Non-Weather Sensitive'!$T$49,IF($B20=$F$71,+'8. KW and Non-Weather Sensitive'!$AD$49,IF($B20=$F$72,+'8. KW and Non-Weather Sensitive'!$AN$49,IF($B20=$F$73,+'8. KW and Non-Weather Sensitive'!$AX$49))))))))))</f>
        <v>11613342.615195965</v>
      </c>
      <c r="P21" s="442">
        <f>IF($B20=$F$64,+'7. Weather Senstive Class'!$H$43,IF($B20=$F$65,+'7. Weather Senstive Class'!$P$43,IF($B20=$F$66,+'7. Weather Senstive Class'!$X$43,IF($B20=$F$67,+'7. Weather Senstive Class'!$AF$43,IF($B20=$F$68,+'7. Weather Senstive Class'!$AN$43,IF($B20=$F$69,+'8. KW and Non-Weather Sensitive'!$I$50,IF($B20=$F$70,+'8. KW and Non-Weather Sensitive'!$T$50,IF($B20=$F$71,+'8. KW and Non-Weather Sensitive'!$AD$50,IF($B20=$F$72,+'8. KW and Non-Weather Sensitive'!$AN$50,IF($B20=$F$73,+'8. KW and Non-Weather Sensitive'!$AX$50))))))))))</f>
        <v>11622476.407938842</v>
      </c>
    </row>
    <row r="22" spans="1:16">
      <c r="B22" s="75"/>
      <c r="C22" s="42"/>
      <c r="D22" s="42" t="s">
        <v>37</v>
      </c>
      <c r="E22" s="345">
        <f>IF(B$16=$F$69,+'8. KW and Non-Weather Sensitive'!$F$21,IF($B20=$F$70,+'8. KW and Non-Weather Sensitive'!$Q$21,IF($B20=$F$71,+'8. KW and Non-Weather Sensitive'!$AA$21,IF($B20=$F$72,+'8. KW and Non-Weather Sensitive'!$AK$21,+IF($B20=$F$73,+'8. KW and Non-Weather Sensitive'!$AU$21,0)))))</f>
        <v>0</v>
      </c>
      <c r="F22" s="345">
        <f>IF($B20=$F$69,+'8. KW and Non-Weather Sensitive'!$F$22,IF($B20=$F$70,+'8. KW and Non-Weather Sensitive'!$Q$22,IF($B20=$F$71,+'8. KW and Non-Weather Sensitive'!$AA$22,IF($B20=$F$72,+'8. KW and Non-Weather Sensitive'!$AK$22,+IF($B20=$F$73,+'8. KW and Non-Weather Sensitive'!$AU$22,0)))))</f>
        <v>0</v>
      </c>
      <c r="G22" s="345">
        <f>IF($B20=$F$69,+'8. KW and Non-Weather Sensitive'!$F$23,IF($B20=$F$70,+'8. KW and Non-Weather Sensitive'!$Q$23,IF($B20=$F$71,+'8. KW and Non-Weather Sensitive'!$AA$23,IF($B20=$F$72,+'8. KW and Non-Weather Sensitive'!$AK$23,+IF($B20=$F$73,+'8. KW and Non-Weather Sensitive'!$AU$23,0)))))</f>
        <v>0</v>
      </c>
      <c r="H22" s="345">
        <f>IF($B20=$F$69,+'8. KW and Non-Weather Sensitive'!$F$24,IF($B20=$F$70,+'8. KW and Non-Weather Sensitive'!$Q$24,IF($B20=$F$71,+'8. KW and Non-Weather Sensitive'!$AA$24,IF($B20=$F$72,+'8. KW and Non-Weather Sensitive'!$AK$24,+IF($B20=$F$73,+'8. KW and Non-Weather Sensitive'!$AU$24,0)))))</f>
        <v>0</v>
      </c>
      <c r="I22" s="345">
        <f>IF($B20=$F$69,+'8. KW and Non-Weather Sensitive'!$F$25,IF($B20=$F$70,+'8. KW and Non-Weather Sensitive'!$Q$25,IF($B20=$F$71,+'8. KW and Non-Weather Sensitive'!$AA$25,IF($B20=$F$72,+'8. KW and Non-Weather Sensitive'!$AK$25,+IF($B20=$F$73,+'8. KW and Non-Weather Sensitive'!$AU$25,0)))))</f>
        <v>0</v>
      </c>
      <c r="J22" s="345">
        <f>IF($B20=$F$69,+'8. KW and Non-Weather Sensitive'!$F$26,IF($B20=$F$70,+'8. KW and Non-Weather Sensitive'!$Q$26,IF($B20=$F$71,+'8. KW and Non-Weather Sensitive'!$AA$26,IF($B20=$F$72,+'8. KW and Non-Weather Sensitive'!$AK$26,+IF($B20=$F$73,+'8. KW and Non-Weather Sensitive'!$AU$26,0)))))</f>
        <v>0</v>
      </c>
      <c r="K22" s="345">
        <f>IF($B20=$F$69,+'8. KW and Non-Weather Sensitive'!$F$27,IF($B20=$F$70,+'8. KW and Non-Weather Sensitive'!$Q$27,IF($B20=$F$71,+'8. KW and Non-Weather Sensitive'!$AA$27,IF($B20=$F$72,+'8. KW and Non-Weather Sensitive'!$AK$27,+IF($B20=$F$73,+'8. KW and Non-Weather Sensitive'!$AU$27,0)))))</f>
        <v>0</v>
      </c>
      <c r="L22" s="345">
        <f>IF($B20=$F$69,+'8. KW and Non-Weather Sensitive'!$F$28,IF($B20=$F$70,+'8. KW and Non-Weather Sensitive'!$Q$28,IF($B20=$F$71,+'8. KW and Non-Weather Sensitive'!$AA$28,IF($B20=$F$72,+'8. KW and Non-Weather Sensitive'!$AK$28,+IF($B20=$F$73,+'8. KW and Non-Weather Sensitive'!$AU$28,0)))))</f>
        <v>0</v>
      </c>
      <c r="M22" s="345">
        <f>IF($B20=$F$69,+'8. KW and Non-Weather Sensitive'!$F$29,IF($B20=$F$70,+'8. KW and Non-Weather Sensitive'!$Q$29,IF($B20=$F$71,+'8. KW and Non-Weather Sensitive'!$AA$29,IF($B20=$F$72,+'8. KW and Non-Weather Sensitive'!$AK$29,+IF($B20=$F$73,+'8. KW and Non-Weather Sensitive'!$AU$29,0)))))</f>
        <v>0</v>
      </c>
      <c r="N22" s="345">
        <f>IF($B20=$F$69,+'8. KW and Non-Weather Sensitive'!$F$30,IF($B20=$F$70,+'8. KW and Non-Weather Sensitive'!$Q$30,IF($B20=$F$71,+'8. KW and Non-Weather Sensitive'!$AA$30,IF($B20=$F$72,+'8. KW and Non-Weather Sensitive'!$AK$30,+IF($B20=$F$73,+'8. KW and Non-Weather Sensitive'!$AU$30,0)))))</f>
        <v>0</v>
      </c>
      <c r="O22" s="345">
        <f>IF($B20=$F$69,+'8. KW and Non-Weather Sensitive'!$J$49,IF($B20=$F$70,+'8. KW and Non-Weather Sensitive'!$U$49,IF($B20=$F$71,+'8. KW and Non-Weather Sensitive'!$AE$49,IF($B20=$F$72,+'8. KW and Non-Weather Sensitive'!$AO$49,+IF($B20=$F$73,+'8. KW and Non-Weather Sensitive'!$AY$49,0)))))</f>
        <v>0</v>
      </c>
      <c r="P22" s="443">
        <f>IF($B20=$F$69,+'8. KW and Non-Weather Sensitive'!$J$50,IF($B20=$F$70,+'8. KW and Non-Weather Sensitive'!$U$50,IF($B20=$F$71,+'8. KW and Non-Weather Sensitive'!$AE$50,IF($B20=$F$72,+'8. KW and Non-Weather Sensitive'!$AO$50,+IF($B20=$F$73,+'8. KW and Non-Weather Sensitive'!$AY$50,0)))))</f>
        <v>0</v>
      </c>
    </row>
    <row r="23" spans="1:16">
      <c r="B23" s="75"/>
      <c r="C23" s="42"/>
      <c r="D23" s="42"/>
      <c r="E23" s="345"/>
      <c r="F23" s="345"/>
      <c r="G23" s="345"/>
      <c r="H23" s="345"/>
      <c r="I23" s="345"/>
      <c r="J23" s="345"/>
      <c r="K23" s="345"/>
      <c r="L23" s="345"/>
      <c r="M23" s="345"/>
      <c r="N23" s="345"/>
      <c r="O23" s="346"/>
      <c r="P23" s="347"/>
    </row>
    <row r="24" spans="1:16">
      <c r="B24" s="630" t="s">
        <v>334</v>
      </c>
      <c r="C24" s="629" t="str">
        <f>IF($B24=$F$64,+$B$64,+IF($B24=$F$65,+$B$65,+IF($B24=$F$66,+$B$66,+IF($B24=$F$66,$B$66,+IF($B24=$F$67,+$B$67,+IF($B24=$F$68,+$B$68,+IF($B24=$F$69,+$B$69,+IF($B24=$F$70,+$B$70,+IF($B24=$F$71,+$B$71,+IF($B24=$F$72,+$B$72,+IF($B24=$F$73,+$B$73)))))))))))</f>
        <v>General Service &gt; 50 kW - 4999 kW</v>
      </c>
      <c r="D24" s="74" t="s">
        <v>128</v>
      </c>
      <c r="E24" s="441">
        <f>IF($C24='4. Customer Growth'!$C$15,+'4. Customer Growth'!$C$17,+IF($C24='4. Customer Growth'!$E$15,+'4. Customer Growth'!$E$17,+IF($C24='4. Customer Growth'!$G$15,+'4. Customer Growth'!$G$17,+IF($C24='4. Customer Growth'!$I$15,+'4. Customer Growth'!$I$17,+IF($C24='4. Customer Growth'!$K$15,+'4. Customer Growth'!$K$17,+IF($C24='4. Customer Growth'!$M$15,+'4. Customer Growth'!$M$17,IF($C24='4. Customer Growth'!$O$15,+'4. Customer Growth'!$O$17)))))))</f>
        <v>59</v>
      </c>
      <c r="F24" s="441">
        <f>IF($C24='4. Customer Growth'!$C$15,+'4. Customer Growth'!$C$18,+IF($C24='4. Customer Growth'!$E$15,+'4. Customer Growth'!$E$18,+IF($C24='4. Customer Growth'!$G$15,+'4. Customer Growth'!$G$18,+IF($C24='4. Customer Growth'!$I$15,+'4. Customer Growth'!$I$18,+IF($C24='4. Customer Growth'!$K$15,+'4. Customer Growth'!$K$18,+IF($C24='4. Customer Growth'!$M$15,+'4. Customer Growth'!$M$18,IF($C24='4. Customer Growth'!$O$15,+'4. Customer Growth'!$O$18)))))))</f>
        <v>60</v>
      </c>
      <c r="G24" s="441">
        <f>IF($C24='4. Customer Growth'!$C$15,+'4. Customer Growth'!$C$19,+IF($C24='4. Customer Growth'!$E$15,+'4. Customer Growth'!$E$19,+IF($C24='4. Customer Growth'!$G$15,+'4. Customer Growth'!$G$19,+IF($C24='4. Customer Growth'!$I$15,+'4. Customer Growth'!$I$19,+IF($C24='4. Customer Growth'!$K$15,+'4. Customer Growth'!$K$19,+IF($C24='4. Customer Growth'!$M$15,+'4. Customer Growth'!$M$19,IF($C24='4. Customer Growth'!$O$15,+'4. Customer Growth'!$O$19)))))))</f>
        <v>61</v>
      </c>
      <c r="H24" s="441">
        <f>IF($C24='4. Customer Growth'!$C$15,+'4. Customer Growth'!$C$20,+IF($C24='4. Customer Growth'!$E$15,+'4. Customer Growth'!$E$20,+IF($C24='4. Customer Growth'!$G$15,+'4. Customer Growth'!$G$20,+IF($C24='4. Customer Growth'!$I$15,+'4. Customer Growth'!$I$20,+IF($C24='4. Customer Growth'!$K$15,+'4. Customer Growth'!$K$20,+IF($C24='4. Customer Growth'!$M$15,+'4. Customer Growth'!$M$20,IF($C24='4. Customer Growth'!$O$15,+'4. Customer Growth'!$O$20)))))))</f>
        <v>61</v>
      </c>
      <c r="I24" s="441">
        <f>IF($C24='4. Customer Growth'!$C$15,+'4. Customer Growth'!$C$21,+IF($C24='4. Customer Growth'!$E$15,+'4. Customer Growth'!$E$21,+IF($C24='4. Customer Growth'!$G$15,+'4. Customer Growth'!$G$21,+IF($C24='4. Customer Growth'!$I$15,+'4. Customer Growth'!$I$21,+IF($C24='4. Customer Growth'!$K$15,+'4. Customer Growth'!$K$21,+IF($C24='4. Customer Growth'!$M$15,+'4. Customer Growth'!$M$21,IF($C24='4. Customer Growth'!$O$15,+'4. Customer Growth'!$O$21)))))))</f>
        <v>56</v>
      </c>
      <c r="J24" s="441">
        <f>IF($C24='4. Customer Growth'!$C$15,+'4. Customer Growth'!$C$22,+IF($C24='4. Customer Growth'!$E$15,+'4. Customer Growth'!$E$22,+IF($C24='4. Customer Growth'!$G$15,+'4. Customer Growth'!$G$22,+IF($C24='4. Customer Growth'!$I$15,+'4. Customer Growth'!$I$22,+IF($C24='4. Customer Growth'!$K$15,+'4. Customer Growth'!$K$22,+IF($C24='4. Customer Growth'!$M$15,+'4. Customer Growth'!$M$22,IF($C24='4. Customer Growth'!$O$15,+'4. Customer Growth'!$O$22)))))))</f>
        <v>54</v>
      </c>
      <c r="K24" s="441">
        <f>IF($C24='4. Customer Growth'!$C$15,+'4. Customer Growth'!$C$23,+IF($C24='4. Customer Growth'!$E$15,+'4. Customer Growth'!$E$23,+IF($C24='4. Customer Growth'!$G$15,+'4. Customer Growth'!$G$23,+IF($C24='4. Customer Growth'!$I$15,+'4. Customer Growth'!$I$23,+IF($C24='4. Customer Growth'!$K$15,+'4. Customer Growth'!$K$23,+IF($C24='4. Customer Growth'!$M$15,+'4. Customer Growth'!$M$23,IF($C24='4. Customer Growth'!$O$15,+'4. Customer Growth'!$O$23)))))))</f>
        <v>45</v>
      </c>
      <c r="L24" s="441">
        <f>IF($C24='4. Customer Growth'!$C$15,+'4. Customer Growth'!$C$24,+IF($C24='4. Customer Growth'!$E$15,+'4. Customer Growth'!$E$24,+IF($C24='4. Customer Growth'!$G$15,+'4. Customer Growth'!$G$24,+IF($C24='4. Customer Growth'!$I$15,+'4. Customer Growth'!$I$24,+IF($C24='4. Customer Growth'!$K$15,+'4. Customer Growth'!$K$24,+IF($C24='4. Customer Growth'!$M$15,+'4. Customer Growth'!$M$24,IF($C24='4. Customer Growth'!$O$15,+'4. Customer Growth'!$O$24)))))))</f>
        <v>38.5</v>
      </c>
      <c r="M24" s="441">
        <f>IF($C24='4. Customer Growth'!$C$15,+'4. Customer Growth'!$C$25,+IF($C24='4. Customer Growth'!$E$15,+'4. Customer Growth'!$E$25,+IF($C24='4. Customer Growth'!$G$15,+'4. Customer Growth'!$G$25,+IF($C24='4. Customer Growth'!$I$15,+'4. Customer Growth'!$I$25,+IF($C24='4. Customer Growth'!$K$15,+'4. Customer Growth'!$K$25,+IF($C24='4. Customer Growth'!$M$15,+'4. Customer Growth'!$M$25,IF($C24='4. Customer Growth'!$O$15,+'4. Customer Growth'!$O$25)))))))</f>
        <v>41.5</v>
      </c>
      <c r="N24" s="441">
        <f>IF($C24='4. Customer Growth'!$C$15,+'4. Customer Growth'!$C$26,+IF($C24='4. Customer Growth'!$E$15,+'4. Customer Growth'!$E$26,+IF($C24='4. Customer Growth'!$G$15,+'4. Customer Growth'!$G$26,+IF($C24='4. Customer Growth'!$I$15,+'4. Customer Growth'!$I$26,+IF($C24='4. Customer Growth'!$K$15,+'4. Customer Growth'!$K$26,+IF($C24='4. Customer Growth'!$M$15,+'4. Customer Growth'!$M$26,IF($C24='4. Customer Growth'!$O$15,+'4. Customer Growth'!$O$26)))))))</f>
        <v>42</v>
      </c>
      <c r="O24" s="441">
        <f>IF($C24='4. Customer Growth'!$C$15,+'4. Customer Growth'!$C$42,+IF($C24='4. Customer Growth'!$E$15,+'4. Customer Growth'!$E$42,+IF($C24='4. Customer Growth'!$G$15,+'4. Customer Growth'!$G$42,+IF($C24='4. Customer Growth'!$I$15,+'4. Customer Growth'!$I$42,+IF($C24='4. Customer Growth'!$K$15,+'4. Customer Growth'!$K$42,+IF($C24='4. Customer Growth'!$M$15,+'4. Customer Growth'!$M$42,IF($C24='4. Customer Growth'!$O$15,+'4. Customer Growth'!$O$42)))))))</f>
        <v>42</v>
      </c>
      <c r="P24" s="442">
        <f>IF($C24='4. Customer Growth'!$C$15,+'4. Customer Growth'!$C$43,+IF($C24='4. Customer Growth'!$E$15,+'4. Customer Growth'!$E$43,+IF($C24='4. Customer Growth'!$G$15,+'4. Customer Growth'!$G$43,+IF($C24='4. Customer Growth'!$I$15,+'4. Customer Growth'!$I$43,+IF($C24='4. Customer Growth'!$K$15,+'4. Customer Growth'!$K$43,+IF($C24='4. Customer Growth'!$M$15,+'4. Customer Growth'!$M$43,IF($C24='4. Customer Growth'!$O$15,+'4. Customer Growth'!$O$43)))))))</f>
        <v>42</v>
      </c>
    </row>
    <row r="25" spans="1:16">
      <c r="B25" s="75"/>
      <c r="C25" s="42"/>
      <c r="D25" s="42" t="s">
        <v>36</v>
      </c>
      <c r="E25" s="441">
        <f>IF($B24=$F$64,+'7. Weather Senstive Class'!$G$21,IF($B24=$F$65,+'7. Weather Senstive Class'!$O$21,IF($B24=$F$66,+'7. Weather Senstive Class'!$W$21,IF($B24=$F$67,+'7. Weather Senstive Class'!$AE$21,IF($B24=$F$68,+'7. Weather Senstive Class'!$AM$21,IF($B24=$F$69,+'8. KW and Non-Weather Sensitive'!$E$21,IF($B24=$F$70,+'8. KW and Non-Weather Sensitive'!$P$21,IF($B24=$F$71,+'8. KW and Non-Weather Sensitive'!$Z$21,IF($B24=$F$72,+'8. KW and Non-Weather Sensitive'!$AJ$21,IF($B24=$F$73,+'8. KW and Non-Weather Sensitive'!$AT$21))))))))))</f>
        <v>44119354</v>
      </c>
      <c r="F25" s="441">
        <f>IF($B24=$F$64,+'7. Weather Senstive Class'!$G$22,IF($B24=$F$65,+'7. Weather Senstive Class'!$O$22,IF($B24=$F$66,+'7. Weather Senstive Class'!$W$22,IF($B24=$F$67,+'7. Weather Senstive Class'!$AE$22,IF($B24=$F$68,+'7. Weather Senstive Class'!$AM$22,IF($B24=$F$69,+'8. KW and Non-Weather Sensitive'!$E$22,IF($B24=$F$70,+'8. KW and Non-Weather Sensitive'!$P$22,IF($B24=$F$71,+'8. KW and Non-Weather Sensitive'!$Z$22,IF($B24=$F$72,+'8. KW and Non-Weather Sensitive'!$AJ$22,IF($B24=$F$73,+'8. KW and Non-Weather Sensitive'!$AT$22))))))))))</f>
        <v>43640624</v>
      </c>
      <c r="G25" s="441">
        <f>IF($B24=$F$64,+'7. Weather Senstive Class'!$G$23,IF($B24=$F$65,+'7. Weather Senstive Class'!$O$23,IF($B24=$F$66,+'7. Weather Senstive Class'!$W$23,IF($B24=$F$67,+'7. Weather Senstive Class'!$AE$23,IF($B24=$F$68,+'7. Weather Senstive Class'!$AM$23,IF($B24=$F$69,+'8. KW and Non-Weather Sensitive'!$E$23,IF($B24=$F$70,+'8. KW and Non-Weather Sensitive'!$P$23,IF($B24=$F$71,+'8. KW and Non-Weather Sensitive'!$Z$23,IF($B24=$F$72,+'8. KW and Non-Weather Sensitive'!$AJ$23,IF($B24=$F$73,+'8. KW and Non-Weather Sensitive'!$AT$23))))))))))</f>
        <v>45095566</v>
      </c>
      <c r="H25" s="441">
        <f>IF($B24=$F$64,+'7. Weather Senstive Class'!$G$24,IF($B24=$F$65,+'7. Weather Senstive Class'!$O$24,IF($B24=$F$66,+'7. Weather Senstive Class'!$W$24,IF($B24=$F$67,+'7. Weather Senstive Class'!$AE$24,IF($B24=$F$68,+'7. Weather Senstive Class'!$AM$24,IF($B24=$F$69,+'8. KW and Non-Weather Sensitive'!$E$24,IF($B24=$F$70,+'8. KW and Non-Weather Sensitive'!$P$24,IF($B24=$F$71,+'8. KW and Non-Weather Sensitive'!$Z$24,IF($B24=$F$72,+'8. KW and Non-Weather Sensitive'!$AJ$24,IF($B24=$F$73,+'8. KW and Non-Weather Sensitive'!$AT$24))))))))))</f>
        <v>44950585</v>
      </c>
      <c r="I25" s="441">
        <f>IF($B24=$F$64,+'7. Weather Senstive Class'!$G$25,IF($B24=$F$65,+'7. Weather Senstive Class'!$O$25,IF($B24=$F$66,+'7. Weather Senstive Class'!$W$25,IF($B24=$F$67,+'7. Weather Senstive Class'!$AE$25,IF($B24=$F$68,+'7. Weather Senstive Class'!$AM$25,IF($B24=$F$69,+'8. KW and Non-Weather Sensitive'!$E$25,IF($B24=$F$70,+'8. KW and Non-Weather Sensitive'!$P$25,IF($B24=$F$71,+'8. KW and Non-Weather Sensitive'!$Z$25,IF($B24=$F$72,+'8. KW and Non-Weather Sensitive'!$AJ$25,IF($B24=$F$73,+'8. KW and Non-Weather Sensitive'!$AT$25))))))))))</f>
        <v>44820170</v>
      </c>
      <c r="J25" s="441">
        <f>IF($B24=$F$64,+'7. Weather Senstive Class'!$G$26,IF($B24=$F$65,+'7. Weather Senstive Class'!$O$26,IF($B24=$F$66,+'7. Weather Senstive Class'!$M$26,IF($B24=$F$67,+'7. Weather Senstive Class'!$AE$26,IF($B24=$F$68,+'7. Weather Senstive Class'!$AM$26,IF($B24=$F$69,+'8. KW and Non-Weather Sensitive'!$E$26,IF($B24=$F$70,+'8. KW and Non-Weather Sensitive'!$P$26,IF($B24=$F$71,+'8. KW and Non-Weather Sensitive'!$Z$26,IF($B24=$F$72,+'8. KW and Non-Weather Sensitive'!$AJ$26,IF($B24=$F$73,+'8. KW and Non-Weather Sensitive'!$AT$26))))))))))</f>
        <v>44536403</v>
      </c>
      <c r="K25" s="441">
        <f>IF($B24=$F$64,+'7. Weather Senstive Class'!$G$27,IF($B24=$F$65,+'7. Weather Senstive Class'!$O$27,IF($B24=$F$66,+'7. Weather Senstive Class'!$W$27,IF($B24=$F$67,+'7. Weather Senstive Class'!$AE$27,IF($B24=$F$68,+'7. Weather Senstive Class'!$AM$27,IF($B24=$F$69,+'8. KW and Non-Weather Sensitive'!$E$27,IF($B24=$F$70,+'8. KW and Non-Weather Sensitive'!$P$27,IF($B24=$F$71,+'8. KW and Non-Weather Sensitive'!$Z$27,IF($B24=$F$72,+'8. KW and Non-Weather Sensitive'!$AJ$27,IF($B24=$F$73,+'8. KW and Non-Weather Sensitive'!$AT$27))))))))))</f>
        <v>43765859</v>
      </c>
      <c r="L25" s="441">
        <f>IF($B24=$F$64,+'7. Weather Senstive Class'!$G$28,IF($B24=$F$65,+'7. Weather Senstive Class'!$O$28,IF($B24=$F$66,+'7. Weather Senstive Class'!$W$28,IF($B24=$F$67,+'7. Weather Senstive Class'!$AE$28,IF($B24=$F$68,+'7. Weather Senstive Class'!$AM$28,IF($B24=$F$69,+'8. KW and Non-Weather Sensitive'!$E$28,IF($B24=$F$70,+'8. KW and Non-Weather Sensitive'!$P$28,IF($B24=$F$71,+'8. KW and Non-Weather Sensitive'!$Z$28,IF($B24=$F$72,+'8. KW and Non-Weather Sensitive'!$AJ$28,IF($B24=$F$73,+'8. KW and Non-Weather Sensitive'!$AT$28))))))))))</f>
        <v>40141946</v>
      </c>
      <c r="M25" s="441">
        <f>IF($B24=$F$64,+'7. Weather Senstive Class'!$G$29,IF($B24=$F$65,+'7. Weather Senstive Class'!$O$29,IF($B24=$F$66,+'7. Weather Senstive Class'!$W$29,IF($B24=$F$67,+'7. Weather Senstive Class'!$AE$29,IF($B24=$F$68,+'7. Weather Senstive Class'!$AM$29,IF($B24=$F$69,+'8. KW and Non-Weather Sensitive'!$E$29,IF($B24=$F$70,+'8. KW and Non-Weather Sensitive'!$P$29,IF($B24=$F$71,+'8. KW and Non-Weather Sensitive'!$Z$29,IF($B24=$F$72,+'8. KW and Non-Weather Sensitive'!$AJ$29,IF($B24=$F$73,+'8. KW and Non-Weather Sensitive'!$AT$29))))))))))</f>
        <v>41367499</v>
      </c>
      <c r="N25" s="441">
        <f>IF($B24=$F$64,+'7. Weather Senstive Class'!$G$30,IF($B24=$F$65,+'7. Weather Senstive Class'!$O$30,IF($B24=$F$66,+'7. Weather Senstive Class'!$W$30,IF($B24=$F$67,+'7. Weather Senstive Class'!$AE$30,IF($B24=$F$68,+'7. Weather Senstive Class'!$AM$30,IF($B24=$F$69,+'8. KW and Non-Weather Sensitive'!$E$30,IF($B24=$F$70,+'8. KW and Non-Weather Sensitive'!$P$30,IF($B24=$F$71,+'8. KW and Non-Weather Sensitive'!$Z$30,IF($B24=$F$72,+'8. KW and Non-Weather Sensitive'!$AJ$30,IF($B24=$F$73,+'8. KW and Non-Weather Sensitive'!$AT$30))))))))))</f>
        <v>42952845</v>
      </c>
      <c r="O25" s="441">
        <f>IF($B24=$F$64,+'7. Weather Senstive Class'!$H$42,IF($B24=$F$65,+'7. Weather Senstive Class'!$P$42,IF($B24=$F$66,+'7. Weather Senstive Class'!$X$42,IF($B24=$F$67,+'7. Weather Senstive Class'!$AF$42,IF($B24=$F$68,+'7. Weather Senstive Class'!$AN$42,IF($B24=$F$69,+'8. KW and Non-Weather Sensitive'!$I$49,IF($B24=$F$70,+'8. KW and Non-Weather Sensitive'!$T$49,IF($B24=$F$71,+'8. KW and Non-Weather Sensitive'!$AD$49,IF($B24=$F$72,+'8. KW and Non-Weather Sensitive'!$AN$49,IF($B24=$F$73,+'8. KW and Non-Weather Sensitive'!$AX$49))))))))))</f>
        <v>43975531.843685612</v>
      </c>
      <c r="P25" s="442">
        <f>IF($B24=$F$64,+'7. Weather Senstive Class'!$H$43,IF($B24=$F$65,+'7. Weather Senstive Class'!$P$43,IF($B24=$F$66,+'7. Weather Senstive Class'!$X$43,IF($B24=$F$67,+'7. Weather Senstive Class'!$AF$43,IF($B24=$F$68,+'7. Weather Senstive Class'!$AN$43,IF($B24=$F$69,+'8. KW and Non-Weather Sensitive'!$I$50,IF($B24=$F$70,+'8. KW and Non-Weather Sensitive'!$T$50,IF($B24=$F$71,+'8. KW and Non-Weather Sensitive'!$AD$50,IF($B24=$F$72,+'8. KW and Non-Weather Sensitive'!$AN$50,IF($B24=$F$73,+'8. KW and Non-Weather Sensitive'!$AX$50))))))))))</f>
        <v>43975531.682519123</v>
      </c>
    </row>
    <row r="26" spans="1:16">
      <c r="B26" s="75"/>
      <c r="C26" s="42"/>
      <c r="D26" s="42" t="s">
        <v>37</v>
      </c>
      <c r="E26" s="345">
        <f>IF(B$24=$F$69,+'8. KW and Non-Weather Sensitive'!$F$21,IF($B24=$F$70,+'8. KW and Non-Weather Sensitive'!$Q$21,IF($B24=$F$71,+'8. KW and Non-Weather Sensitive'!$AA$21,IF($B24=$F$72,+'8. KW and Non-Weather Sensitive'!$AK$21,+IF($B24=$F$73,+'8. KW and Non-Weather Sensitive'!$AU$21,0)))))</f>
        <v>115812.49999999999</v>
      </c>
      <c r="F26" s="345">
        <f>IF($B24=$F$69,+'8. KW and Non-Weather Sensitive'!$F$22,IF($B24=$F$70,+'8. KW and Non-Weather Sensitive'!$Q$22,IF($B24=$F$71,+'8. KW and Non-Weather Sensitive'!$AA$22,IF($B24=$F$72,+'8. KW and Non-Weather Sensitive'!$AK$22,+IF($B24=$F$73,+'8. KW and Non-Weather Sensitive'!$AU$22,0)))))</f>
        <v>114180.1</v>
      </c>
      <c r="G26" s="345">
        <f>IF($B24=$F$69,+'8. KW and Non-Weather Sensitive'!$F$23,IF($B24=$F$70,+'8. KW and Non-Weather Sensitive'!$Q$23,IF($B24=$F$71,+'8. KW and Non-Weather Sensitive'!$AA$23,IF($B24=$F$72,+'8. KW and Non-Weather Sensitive'!$AK$23,+IF($B24=$F$73,+'8. KW and Non-Weather Sensitive'!$AU$23,0)))))</f>
        <v>113921.99999999999</v>
      </c>
      <c r="H26" s="345">
        <f>IF($B24=$F$69,+'8. KW and Non-Weather Sensitive'!$F$24,IF($B24=$F$70,+'8. KW and Non-Weather Sensitive'!$Q$24,IF($B24=$F$71,+'8. KW and Non-Weather Sensitive'!$AA$24,IF($B24=$F$72,+'8. KW and Non-Weather Sensitive'!$AK$24,+IF($B24=$F$73,+'8. KW and Non-Weather Sensitive'!$AU$24,0)))))</f>
        <v>116347.70000000001</v>
      </c>
      <c r="I26" s="345">
        <f>IF($B24=$F$69,+'8. KW and Non-Weather Sensitive'!$F$25,IF($B24=$F$70,+'8. KW and Non-Weather Sensitive'!$Q$25,IF($B24=$F$71,+'8. KW and Non-Weather Sensitive'!$AA$25,IF($B24=$F$72,+'8. KW and Non-Weather Sensitive'!$AK$25,+IF($B24=$F$73,+'8. KW and Non-Weather Sensitive'!$AU$25,0)))))</f>
        <v>114292.40000000001</v>
      </c>
      <c r="J26" s="345">
        <f>IF($B24=$F$69,+'8. KW and Non-Weather Sensitive'!$F$26,IF($B24=$F$70,+'8. KW and Non-Weather Sensitive'!$Q$26,IF($B24=$F$71,+'8. KW and Non-Weather Sensitive'!$AA$26,IF($B24=$F$72,+'8. KW and Non-Weather Sensitive'!$AK$26,+IF($B24=$F$73,+'8. KW and Non-Weather Sensitive'!$AU$26,0)))))</f>
        <v>107393.8</v>
      </c>
      <c r="K26" s="345">
        <f>IF($B24=$F$69,+'8. KW and Non-Weather Sensitive'!$F$27,IF($B24=$F$70,+'8. KW and Non-Weather Sensitive'!$Q$27,IF($B24=$F$71,+'8. KW and Non-Weather Sensitive'!$AA$27,IF($B24=$F$72,+'8. KW and Non-Weather Sensitive'!$AK$27,+IF($B24=$F$73,+'8. KW and Non-Weather Sensitive'!$AU$27,0)))))</f>
        <v>96470.3</v>
      </c>
      <c r="L26" s="345">
        <f>IF($B24=$F$69,+'8. KW and Non-Weather Sensitive'!$F$28,IF($B24=$F$70,+'8. KW and Non-Weather Sensitive'!$Q$28,IF($B24=$F$71,+'8. KW and Non-Weather Sensitive'!$AA$28,IF($B24=$F$72,+'8. KW and Non-Weather Sensitive'!$AK$28,+IF($B24=$F$73,+'8. KW and Non-Weather Sensitive'!$AU$28,0)))))</f>
        <v>91748.83</v>
      </c>
      <c r="M26" s="345">
        <f>IF($B24=$F$69,+'8. KW and Non-Weather Sensitive'!$F$29,IF($B24=$F$70,+'8. KW and Non-Weather Sensitive'!$Q$29,IF($B24=$F$71,+'8. KW and Non-Weather Sensitive'!$AA$29,IF($B24=$F$72,+'8. KW and Non-Weather Sensitive'!$AK$29,+IF($B24=$F$73,+'8. KW and Non-Weather Sensitive'!$AU$29,0)))))</f>
        <v>100012.68</v>
      </c>
      <c r="N26" s="345">
        <f>IF($B24=$F$69,+'8. KW and Non-Weather Sensitive'!$F$30,IF($B24=$F$70,+'8. KW and Non-Weather Sensitive'!$Q$30,IF($B24=$F$71,+'8. KW and Non-Weather Sensitive'!$AA$30,IF($B24=$F$72,+'8. KW and Non-Weather Sensitive'!$AK$30,+IF($B24=$F$73,+'8. KW and Non-Weather Sensitive'!$AU$30,0)))))</f>
        <v>102092.5</v>
      </c>
      <c r="O26" s="345">
        <f>IF($B24=$F$69,+'8. KW and Non-Weather Sensitive'!$J$49,IF($B24=$F$70,+'8. KW and Non-Weather Sensitive'!$U$49,IF($B24=$F$71,+'8. KW and Non-Weather Sensitive'!$AE$49,IF($B24=$F$72,+'8. KW and Non-Weather Sensitive'!$AO$49,+IF($B24=$F$73,+'8. KW and Non-Weather Sensitive'!$AY$49,0)))))</f>
        <v>104523.27394731301</v>
      </c>
      <c r="P26" s="443">
        <f>IF($B24=$F$69,+'8. KW and Non-Weather Sensitive'!$J$50,IF($B24=$F$70,+'8. KW and Non-Weather Sensitive'!$U$50,IF($B24=$F$71,+'8. KW and Non-Weather Sensitive'!$AE$50,IF($B24=$F$72,+'8. KW and Non-Weather Sensitive'!$AO$50,+IF($B24=$F$73,+'8. KW and Non-Weather Sensitive'!$AY$50,0)))))</f>
        <v>104523.27356424431</v>
      </c>
    </row>
    <row r="27" spans="1:16">
      <c r="B27" s="75"/>
      <c r="C27" s="42"/>
      <c r="D27" s="42"/>
      <c r="E27" s="345"/>
      <c r="F27" s="345"/>
      <c r="G27" s="345"/>
      <c r="H27" s="345"/>
      <c r="I27" s="345"/>
      <c r="J27" s="345"/>
      <c r="K27" s="345"/>
      <c r="L27" s="345"/>
      <c r="M27" s="345"/>
      <c r="N27" s="345"/>
      <c r="O27" s="346"/>
      <c r="P27" s="347"/>
    </row>
    <row r="28" spans="1:16">
      <c r="B28" s="630" t="s">
        <v>235</v>
      </c>
      <c r="C28" s="629" t="str">
        <f>IF($B28=$F$64,+$B$64,+IF($B28=$F$65,+$B$65,+IF($B28=$F$66,+$B$66,+IF($B28=$F$66,$B$66,+IF($B28=$F$67,+$B$67,+IF($B28=$F$68,+$B$68,+IF($B28=$F$69,+$B$69,+IF($B28=$F$70,+$B$70,+IF($B28=$F$71,+$B$71,+IF($B28=$F$72,+$B$72,+IF($B28=$F$73,+$B$73)))))))))))</f>
        <v>Streetlighting</v>
      </c>
      <c r="D28" s="42" t="s">
        <v>128</v>
      </c>
      <c r="E28" s="441">
        <f>IF($C28='4. Customer Growth'!$C$15,+'4. Customer Growth'!$C$17,+IF($C28='4. Customer Growth'!$E$15,+'4. Customer Growth'!$E$17,+IF($C28='4. Customer Growth'!$G$15,+'4. Customer Growth'!$G$17,+IF($C28='4. Customer Growth'!$I$15,+'4. Customer Growth'!$I$17,+IF($C28='4. Customer Growth'!$K$15,+'4. Customer Growth'!$K$17,+IF($C28='4. Customer Growth'!$M$15,+'4. Customer Growth'!$M$17,IF($C28='4. Customer Growth'!$O$15,+'4. Customer Growth'!$O$17)))))))</f>
        <v>1190</v>
      </c>
      <c r="F28" s="441">
        <f>IF($C28='4. Customer Growth'!$C$15,+'4. Customer Growth'!$C$18,+IF($C28='4. Customer Growth'!$E$15,+'4. Customer Growth'!$E$18,+IF($C28='4. Customer Growth'!$G$15,+'4. Customer Growth'!$G$18,+IF($C28='4. Customer Growth'!$I$15,+'4. Customer Growth'!$I$18,+IF($C28='4. Customer Growth'!$K$15,+'4. Customer Growth'!$K$18,+IF($C28='4. Customer Growth'!$M$15,+'4. Customer Growth'!$M$18,IF($C28='4. Customer Growth'!$O$15,+'4. Customer Growth'!$O$18)))))))</f>
        <v>1190</v>
      </c>
      <c r="G28" s="441">
        <f>IF($C28='4. Customer Growth'!$C$15,+'4. Customer Growth'!$C$19,+IF($C28='4. Customer Growth'!$E$15,+'4. Customer Growth'!$E$19,+IF($C28='4. Customer Growth'!$G$15,+'4. Customer Growth'!$G$19,+IF($C28='4. Customer Growth'!$I$15,+'4. Customer Growth'!$I$19,+IF($C28='4. Customer Growth'!$K$15,+'4. Customer Growth'!$K$19,+IF($C28='4. Customer Growth'!$M$15,+'4. Customer Growth'!$M$19,IF($C28='4. Customer Growth'!$O$15,+'4. Customer Growth'!$O$19)))))))</f>
        <v>1190</v>
      </c>
      <c r="H28" s="441">
        <f>IF($C28='4. Customer Growth'!$C$15,+'4. Customer Growth'!$C$20,+IF($C28='4. Customer Growth'!$E$15,+'4. Customer Growth'!$E$20,+IF($C28='4. Customer Growth'!$G$15,+'4. Customer Growth'!$G$20,+IF($C28='4. Customer Growth'!$I$15,+'4. Customer Growth'!$I$20,+IF($C28='4. Customer Growth'!$K$15,+'4. Customer Growth'!$K$20,+IF($C28='4. Customer Growth'!$M$15,+'4. Customer Growth'!$M$20,IF($C28='4. Customer Growth'!$O$15,+'4. Customer Growth'!$O$20)))))))</f>
        <v>1197</v>
      </c>
      <c r="I28" s="441">
        <f>IF($C28='4. Customer Growth'!$C$15,+'4. Customer Growth'!$C$21,+IF($C28='4. Customer Growth'!$E$15,+'4. Customer Growth'!$E$21,+IF($C28='4. Customer Growth'!$G$15,+'4. Customer Growth'!$G$21,+IF($C28='4. Customer Growth'!$I$15,+'4. Customer Growth'!$I$21,+IF($C28='4. Customer Growth'!$K$15,+'4. Customer Growth'!$K$21,+IF($C28='4. Customer Growth'!$M$15,+'4. Customer Growth'!$M$21,IF($C28='4. Customer Growth'!$O$15,+'4. Customer Growth'!$O$21)))))))</f>
        <v>1193</v>
      </c>
      <c r="J28" s="441">
        <f>IF($C28='4. Customer Growth'!$C$15,+'4. Customer Growth'!$C$22,+IF($C28='4. Customer Growth'!$E$15,+'4. Customer Growth'!$E$22,+IF($C28='4. Customer Growth'!$G$15,+'4. Customer Growth'!$G$22,+IF($C28='4. Customer Growth'!$I$15,+'4. Customer Growth'!$I$22,+IF($C28='4. Customer Growth'!$K$15,+'4. Customer Growth'!$K$22,+IF($C28='4. Customer Growth'!$M$15,+'4. Customer Growth'!$M$22,IF($C28='4. Customer Growth'!$O$15,+'4. Customer Growth'!$O$22)))))))</f>
        <v>1195</v>
      </c>
      <c r="K28" s="441">
        <f>IF($C28='4. Customer Growth'!$C$15,+'4. Customer Growth'!$C$23,+IF($C28='4. Customer Growth'!$E$15,+'4. Customer Growth'!$E$23,+IF($C28='4. Customer Growth'!$G$15,+'4. Customer Growth'!$G$23,+IF($C28='4. Customer Growth'!$I$15,+'4. Customer Growth'!$I$23,+IF($C28='4. Customer Growth'!$K$15,+'4. Customer Growth'!$K$23,+IF($C28='4. Customer Growth'!$M$15,+'4. Customer Growth'!$M$23,IF($C28='4. Customer Growth'!$O$15,+'4. Customer Growth'!$O$23)))))))</f>
        <v>1195</v>
      </c>
      <c r="L28" s="441">
        <f>IF($C28='4. Customer Growth'!$C$15,+'4. Customer Growth'!$C$24,+IF($C28='4. Customer Growth'!$E$15,+'4. Customer Growth'!$E$24,+IF($C28='4. Customer Growth'!$G$15,+'4. Customer Growth'!$G$24,+IF($C28='4. Customer Growth'!$I$15,+'4. Customer Growth'!$I$24,+IF($C28='4. Customer Growth'!$K$15,+'4. Customer Growth'!$K$24,+IF($C28='4. Customer Growth'!$M$15,+'4. Customer Growth'!$M$24,IF($C28='4. Customer Growth'!$O$15,+'4. Customer Growth'!$O$24)))))))</f>
        <v>1227</v>
      </c>
      <c r="M28" s="441">
        <f>IF($C28='4. Customer Growth'!$C$15,+'4. Customer Growth'!$C$25,+IF($C28='4. Customer Growth'!$E$15,+'4. Customer Growth'!$E$25,+IF($C28='4. Customer Growth'!$G$15,+'4. Customer Growth'!$G$25,+IF($C28='4. Customer Growth'!$I$15,+'4. Customer Growth'!$I$25,+IF($C28='4. Customer Growth'!$K$15,+'4. Customer Growth'!$K$25,+IF($C28='4. Customer Growth'!$M$15,+'4. Customer Growth'!$M$25,IF($C28='4. Customer Growth'!$O$15,+'4. Customer Growth'!$O$25)))))))</f>
        <v>1227</v>
      </c>
      <c r="N28" s="441">
        <f>IF($C28='4. Customer Growth'!$C$15,+'4. Customer Growth'!$C$26,+IF($C28='4. Customer Growth'!$E$15,+'4. Customer Growth'!$E$26,+IF($C28='4. Customer Growth'!$G$15,+'4. Customer Growth'!$G$26,+IF($C28='4. Customer Growth'!$I$15,+'4. Customer Growth'!$I$26,+IF($C28='4. Customer Growth'!$K$15,+'4. Customer Growth'!$K$26,+IF($C28='4. Customer Growth'!$M$15,+'4. Customer Growth'!$M$26,IF($C28='4. Customer Growth'!$O$15,+'4. Customer Growth'!$O$26)))))))</f>
        <v>1197</v>
      </c>
      <c r="O28" s="441">
        <f>IF($C28='4. Customer Growth'!$C$15,+'4. Customer Growth'!$C$42,+IF($C28='4. Customer Growth'!$E$15,+'4. Customer Growth'!$E$42,+IF($C28='4. Customer Growth'!$G$15,+'4. Customer Growth'!$G$42,+IF($C28='4. Customer Growth'!$I$15,+'4. Customer Growth'!$I$42,+IF($C28='4. Customer Growth'!$K$15,+'4. Customer Growth'!$K$42,+IF($C28='4. Customer Growth'!$M$15,+'4. Customer Growth'!$M$42,IF($C28='4. Customer Growth'!$O$15,+'4. Customer Growth'!$O$42)))))))</f>
        <v>1197</v>
      </c>
      <c r="P28" s="442">
        <f>IF($C28='4. Customer Growth'!$C$15,+'4. Customer Growth'!$C$43,+IF($C28='4. Customer Growth'!$E$15,+'4. Customer Growth'!$E$43,+IF($C28='4. Customer Growth'!$G$15,+'4. Customer Growth'!$G$43,+IF($C28='4. Customer Growth'!$I$15,+'4. Customer Growth'!$I$43,+IF($C28='4. Customer Growth'!$K$15,+'4. Customer Growth'!$K$43,+IF($C28='4. Customer Growth'!$M$15,+'4. Customer Growth'!$M$43,IF($C28='4. Customer Growth'!$O$15,+'4. Customer Growth'!$O$43)))))))</f>
        <v>1197</v>
      </c>
    </row>
    <row r="29" spans="1:16">
      <c r="B29" s="75"/>
      <c r="C29" s="42"/>
      <c r="D29" s="42" t="s">
        <v>36</v>
      </c>
      <c r="E29" s="441">
        <f>IF($B28=$F$64,+'7. Weather Senstive Class'!$G$21,IF($B28=$F$65,+'7. Weather Senstive Class'!$O$21,IF($B28=$F$66,+'7. Weather Senstive Class'!$W$21,IF($B28=$F$67,+'7. Weather Senstive Class'!$AE$21,IF($B28=$F$68,+'7. Weather Senstive Class'!$AM$21,IF($B28=$F$69,+'8. KW and Non-Weather Sensitive'!$E$21,IF($B28=$F$70,+'8. KW and Non-Weather Sensitive'!$P$21,IF($B28=$F$71,+'8. KW and Non-Weather Sensitive'!$Z$21,IF($B28=$F$72,+'8. KW and Non-Weather Sensitive'!$AJ$21,IF($B28=$F$73,+'8. KW and Non-Weather Sensitive'!$AT$21))))))))))</f>
        <v>1118710</v>
      </c>
      <c r="F29" s="441">
        <f>IF($B28=$F$64,+'7. Weather Senstive Class'!$G$22,IF($B28=$F$65,+'7. Weather Senstive Class'!$O$22,IF($B28=$F$66,+'7. Weather Senstive Class'!$W$22,IF($B28=$F$67,+'7. Weather Senstive Class'!$AE$22,IF($B28=$F$68,+'7. Weather Senstive Class'!$AM$22,IF($B28=$F$69,+'8. KW and Non-Weather Sensitive'!$E$22,IF($B28=$F$70,+'8. KW and Non-Weather Sensitive'!$P$22,IF($B28=$F$71,+'8. KW and Non-Weather Sensitive'!$Z$22,IF($B28=$F$72,+'8. KW and Non-Weather Sensitive'!$AJ$22,IF($B28=$F$73,+'8. KW and Non-Weather Sensitive'!$AT$22))))))))))</f>
        <v>1121519</v>
      </c>
      <c r="G29" s="441">
        <f>IF($B28=$F$64,+'7. Weather Senstive Class'!$G$23,IF($B28=$F$65,+'7. Weather Senstive Class'!$O$23,IF($B28=$F$66,+'7. Weather Senstive Class'!$W$23,IF($B28=$F$67,+'7. Weather Senstive Class'!$AE$23,IF($B28=$F$68,+'7. Weather Senstive Class'!$AM$23,IF($B28=$F$69,+'8. KW and Non-Weather Sensitive'!$E$23,IF($B28=$F$70,+'8. KW and Non-Weather Sensitive'!$P$23,IF($B28=$F$71,+'8. KW and Non-Weather Sensitive'!$Z$23,IF($B28=$F$72,+'8. KW and Non-Weather Sensitive'!$AJ$23,IF($B28=$F$73,+'8. KW and Non-Weather Sensitive'!$AT$23))))))))))</f>
        <v>1123682</v>
      </c>
      <c r="H29" s="441">
        <f>IF($B28=$F$64,+'7. Weather Senstive Class'!$G$24,IF($B28=$F$65,+'7. Weather Senstive Class'!$O$24,IF($B28=$F$66,+'7. Weather Senstive Class'!$W$24,IF($B28=$F$67,+'7. Weather Senstive Class'!$AE$24,IF($B28=$F$68,+'7. Weather Senstive Class'!$AM$24,IF($B28=$F$69,+'8. KW and Non-Weather Sensitive'!$E$24,IF($B28=$F$70,+'8. KW and Non-Weather Sensitive'!$P$24,IF($B28=$F$71,+'8. KW and Non-Weather Sensitive'!$Z$24,IF($B28=$F$72,+'8. KW and Non-Weather Sensitive'!$AJ$24,IF($B28=$F$73,+'8. KW and Non-Weather Sensitive'!$AT$24))))))))))</f>
        <v>1127383</v>
      </c>
      <c r="I29" s="441">
        <f>IF($B28=$F$64,+'7. Weather Senstive Class'!$G$25,IF($B28=$F$65,+'7. Weather Senstive Class'!$O$25,IF($B28=$F$66,+'7. Weather Senstive Class'!$W$25,IF($B28=$F$67,+'7. Weather Senstive Class'!$AE$25,IF($B28=$F$68,+'7. Weather Senstive Class'!$AM$25,IF($B28=$F$69,+'8. KW and Non-Weather Sensitive'!$E$25,IF($B28=$F$70,+'8. KW and Non-Weather Sensitive'!$P$25,IF($B28=$F$71,+'8. KW and Non-Weather Sensitive'!$Z$25,IF($B28=$F$72,+'8. KW and Non-Weather Sensitive'!$AJ$25,IF($B28=$F$73,+'8. KW and Non-Weather Sensitive'!$AT$25))))))))))</f>
        <v>1123681</v>
      </c>
      <c r="J29" s="441">
        <f>IF($B28=$F$64,+'7. Weather Senstive Class'!$G$26,IF($B28=$F$65,+'7. Weather Senstive Class'!$O$26,IF($B28=$F$66,+'7. Weather Senstive Class'!$M$26,IF($B28=$F$67,+'7. Weather Senstive Class'!$AE$26,IF($B28=$F$68,+'7. Weather Senstive Class'!$AM$26,IF($B28=$F$69,+'8. KW and Non-Weather Sensitive'!$E$26,IF($B28=$F$70,+'8. KW and Non-Weather Sensitive'!$P$26,IF($B28=$F$71,+'8. KW and Non-Weather Sensitive'!$Z$26,IF($B28=$F$72,+'8. KW and Non-Weather Sensitive'!$AJ$26,IF($B28=$F$73,+'8. KW and Non-Weather Sensitive'!$AT$26))))))))))</f>
        <v>1095474</v>
      </c>
      <c r="K29" s="441">
        <f>IF($B28=$F$64,+'7. Weather Senstive Class'!$G$27,IF($B28=$F$65,+'7. Weather Senstive Class'!$O$27,IF($B28=$F$66,+'7. Weather Senstive Class'!$W$27,IF($B28=$F$67,+'7. Weather Senstive Class'!$AE$27,IF($B28=$F$68,+'7. Weather Senstive Class'!$AM$27,IF($B28=$F$69,+'8. KW and Non-Weather Sensitive'!$E$27,IF($B28=$F$70,+'8. KW and Non-Weather Sensitive'!$P$27,IF($B28=$F$71,+'8. KW and Non-Weather Sensitive'!$Z$27,IF($B28=$F$72,+'8. KW and Non-Weather Sensitive'!$AJ$27,IF($B28=$F$73,+'8. KW and Non-Weather Sensitive'!$AT$27))))))))))</f>
        <v>1095439</v>
      </c>
      <c r="L29" s="441">
        <f>IF($B28=$F$64,+'7. Weather Senstive Class'!$G$28,IF($B28=$F$65,+'7. Weather Senstive Class'!$O$28,IF($B28=$F$66,+'7. Weather Senstive Class'!$W$28,IF($B28=$F$67,+'7. Weather Senstive Class'!$AE$28,IF($B28=$F$68,+'7. Weather Senstive Class'!$AM$28,IF($B28=$F$69,+'8. KW and Non-Weather Sensitive'!$E$28,IF($B28=$F$70,+'8. KW and Non-Weather Sensitive'!$P$28,IF($B28=$F$71,+'8. KW and Non-Weather Sensitive'!$Z$28,IF($B28=$F$72,+'8. KW and Non-Weather Sensitive'!$AJ$28,IF($B28=$F$73,+'8. KW and Non-Weather Sensitive'!$AT$28))))))))))</f>
        <v>1073512</v>
      </c>
      <c r="M29" s="441">
        <f>IF($B28=$F$64,+'7. Weather Senstive Class'!$G$29,IF($B28=$F$65,+'7. Weather Senstive Class'!$O$29,IF($B28=$F$66,+'7. Weather Senstive Class'!$W$29,IF($B28=$F$67,+'7. Weather Senstive Class'!$AE$29,IF($B28=$F$68,+'7. Weather Senstive Class'!$AM$29,IF($B28=$F$69,+'8. KW and Non-Weather Sensitive'!$E$29,IF($B28=$F$70,+'8. KW and Non-Weather Sensitive'!$P$29,IF($B28=$F$71,+'8. KW and Non-Weather Sensitive'!$Z$29,IF($B28=$F$72,+'8. KW and Non-Weather Sensitive'!$AJ$29,IF($B28=$F$73,+'8. KW and Non-Weather Sensitive'!$AT$29))))))))))</f>
        <v>332564</v>
      </c>
      <c r="N29" s="441">
        <f>IF($B28=$F$64,+'7. Weather Senstive Class'!$G$30,IF($B28=$F$65,+'7. Weather Senstive Class'!$O$30,IF($B28=$F$66,+'7. Weather Senstive Class'!$W$30,IF($B28=$F$67,+'7. Weather Senstive Class'!$AE$30,IF($B28=$F$68,+'7. Weather Senstive Class'!$AM$30,IF($B28=$F$69,+'8. KW and Non-Weather Sensitive'!$E$30,IF($B28=$F$70,+'8. KW and Non-Weather Sensitive'!$P$30,IF($B28=$F$71,+'8. KW and Non-Weather Sensitive'!$Z$30,IF($B28=$F$72,+'8. KW and Non-Weather Sensitive'!$AJ$30,IF($B28=$F$73,+'8. KW and Non-Weather Sensitive'!$AT$30))))))))))</f>
        <v>388078</v>
      </c>
      <c r="O29" s="441">
        <f>IF($B28=$F$64,+'7. Weather Senstive Class'!$H$42,IF($B28=$F$65,+'7. Weather Senstive Class'!$P$42,IF($B28=$F$66,+'7. Weather Senstive Class'!$X$42,IF($B28=$F$67,+'7. Weather Senstive Class'!$AF$42,IF($B28=$F$68,+'7. Weather Senstive Class'!$AN$42,IF($B28=$F$69,+'8. KW and Non-Weather Sensitive'!$I$49,IF($B28=$F$70,+'8. KW and Non-Weather Sensitive'!$T$49,IF($B28=$F$71,+'8. KW and Non-Weather Sensitive'!$AD$49,IF($B28=$F$72,+'8. KW and Non-Weather Sensitive'!$AN$49,IF($B28=$F$73,+'8. KW and Non-Weather Sensitive'!$AX$49))))))))))</f>
        <v>388077.76585185045</v>
      </c>
      <c r="P29" s="442">
        <f>IF($B28=$F$64,+'7. Weather Senstive Class'!$H$43,IF($B28=$F$65,+'7. Weather Senstive Class'!$P$43,IF($B28=$F$66,+'7. Weather Senstive Class'!$X$43,IF($B28=$F$67,+'7. Weather Senstive Class'!$AF$43,IF($B28=$F$68,+'7. Weather Senstive Class'!$AN$43,IF($B28=$F$69,+'8. KW and Non-Weather Sensitive'!$I$50,IF($B28=$F$70,+'8. KW and Non-Weather Sensitive'!$T$50,IF($B28=$F$71,+'8. KW and Non-Weather Sensitive'!$AD$50,IF($B28=$F$72,+'8. KW and Non-Weather Sensitive'!$AN$50,IF($B28=$F$73,+'8. KW and Non-Weather Sensitive'!$AX$50))))))))))</f>
        <v>388077.94266823668</v>
      </c>
    </row>
    <row r="30" spans="1:16">
      <c r="B30" s="75"/>
      <c r="C30" s="42"/>
      <c r="D30" s="42" t="s">
        <v>37</v>
      </c>
      <c r="E30" s="345">
        <f>IF(B$16=$F$69,+'8. KW and Non-Weather Sensitive'!$F$21,IF($B28=$F$70,+'8. KW and Non-Weather Sensitive'!$Q$21,IF($B28=$F$71,+'8. KW and Non-Weather Sensitive'!$AA$21,IF($B28=$F$72,+'8. KW and Non-Weather Sensitive'!$AK$21,+IF($B28=$F$73,+'8. KW and Non-Weather Sensitive'!$AU$21,0)))))</f>
        <v>3104.3999999999992</v>
      </c>
      <c r="F30" s="345">
        <f>IF($B28=$F$69,+'8. KW and Non-Weather Sensitive'!$F$22,IF($B28=$F$70,+'8. KW and Non-Weather Sensitive'!$Q$22,IF($B28=$F$71,+'8. KW and Non-Weather Sensitive'!$AA$22,IF($B28=$F$72,+'8. KW and Non-Weather Sensitive'!$AK$22,+IF($B28=$F$73,+'8. KW and Non-Weather Sensitive'!$AU$22,0)))))</f>
        <v>3109.900000000001</v>
      </c>
      <c r="G30" s="345">
        <f>IF($B28=$F$69,+'8. KW and Non-Weather Sensitive'!$F$23,IF($B28=$F$70,+'8. KW and Non-Weather Sensitive'!$Q$23,IF($B28=$F$71,+'8. KW and Non-Weather Sensitive'!$AA$23,IF($B28=$F$72,+'8. KW and Non-Weather Sensitive'!$AK$23,+IF($B28=$F$73,+'8. KW and Non-Weather Sensitive'!$AU$23,0)))))</f>
        <v>3117.6000000000008</v>
      </c>
      <c r="H30" s="345">
        <f>IF($B28=$F$69,+'8. KW and Non-Weather Sensitive'!$F$24,IF($B28=$F$70,+'8. KW and Non-Weather Sensitive'!$Q$24,IF($B28=$F$71,+'8. KW and Non-Weather Sensitive'!$AA$24,IF($B28=$F$72,+'8. KW and Non-Weather Sensitive'!$AK$24,+IF($B28=$F$73,+'8. KW and Non-Weather Sensitive'!$AU$24,0)))))</f>
        <v>3137.3000000000006</v>
      </c>
      <c r="I30" s="345">
        <f>IF($B28=$F$69,+'8. KW and Non-Weather Sensitive'!$F$25,IF($B28=$F$70,+'8. KW and Non-Weather Sensitive'!$Q$25,IF($B28=$F$71,+'8. KW and Non-Weather Sensitive'!$AA$25,IF($B28=$F$72,+'8. KW and Non-Weather Sensitive'!$AK$25,+IF($B28=$F$73,+'8. KW and Non-Weather Sensitive'!$AU$25,0)))))</f>
        <v>3117.6000000000008</v>
      </c>
      <c r="J30" s="345">
        <f>IF($B28=$F$69,+'8. KW and Non-Weather Sensitive'!$F$26,IF($B28=$F$70,+'8. KW and Non-Weather Sensitive'!$Q$26,IF($B28=$F$71,+'8. KW and Non-Weather Sensitive'!$AA$26,IF($B28=$F$72,+'8. KW and Non-Weather Sensitive'!$AK$26,+IF($B28=$F$73,+'8. KW and Non-Weather Sensitive'!$AU$26,0)))))</f>
        <v>3038.3999999999996</v>
      </c>
      <c r="K30" s="345">
        <f>IF($B28=$F$69,+'8. KW and Non-Weather Sensitive'!$F$27,IF($B28=$F$70,+'8. KW and Non-Weather Sensitive'!$Q$27,IF($B28=$F$71,+'8. KW and Non-Weather Sensitive'!$AA$27,IF($B28=$F$72,+'8. KW and Non-Weather Sensitive'!$AK$27,+IF($B28=$F$73,+'8. KW and Non-Weather Sensitive'!$AU$27,0)))))</f>
        <v>3038.3999999999996</v>
      </c>
      <c r="L30" s="345">
        <f>IF($B28=$F$69,+'8. KW and Non-Weather Sensitive'!$F$28,IF($B28=$F$70,+'8. KW and Non-Weather Sensitive'!$Q$28,IF($B28=$F$71,+'8. KW and Non-Weather Sensitive'!$AA$28,IF($B28=$F$72,+'8. KW and Non-Weather Sensitive'!$AK$28,+IF($B28=$F$73,+'8. KW and Non-Weather Sensitive'!$AU$28,0)))))</f>
        <v>2981.1</v>
      </c>
      <c r="M30" s="345">
        <f>IF($B28=$F$69,+'8. KW and Non-Weather Sensitive'!$F$29,IF($B28=$F$70,+'8. KW and Non-Weather Sensitive'!$Q$29,IF($B28=$F$71,+'8. KW and Non-Weather Sensitive'!$AA$29,IF($B28=$F$72,+'8. KW and Non-Weather Sensitive'!$AK$29,+IF($B28=$F$73,+'8. KW and Non-Weather Sensitive'!$AU$29,0)))))</f>
        <v>950.30000000000018</v>
      </c>
      <c r="N30" s="345">
        <f>IF($B28=$F$69,+'8. KW and Non-Weather Sensitive'!$F$30,IF($B28=$F$70,+'8. KW and Non-Weather Sensitive'!$Q$30,IF($B28=$F$71,+'8. KW and Non-Weather Sensitive'!$AA$30,IF($B28=$F$72,+'8. KW and Non-Weather Sensitive'!$AK$30,+IF($B28=$F$73,+'8. KW and Non-Weather Sensitive'!$AU$30,0)))))</f>
        <v>1075.3000000000002</v>
      </c>
      <c r="O30" s="345">
        <f>IF($B28=$F$69,+'8. KW and Non-Weather Sensitive'!$J$49,IF($B28=$F$70,+'8. KW and Non-Weather Sensitive'!$U$49,IF($B28=$F$71,+'8. KW and Non-Weather Sensitive'!$AE$49,IF($B28=$F$72,+'8. KW and Non-Weather Sensitive'!$AO$49,+IF($B28=$F$73,+'8. KW and Non-Weather Sensitive'!$AY$49,0)))))</f>
        <v>1075.2993512141757</v>
      </c>
      <c r="P30" s="443">
        <f>IF($B28=$F$69,+'8. KW and Non-Weather Sensitive'!$J$50,IF($B28=$F$70,+'8. KW and Non-Weather Sensitive'!$U$50,IF($B28=$F$71,+'8. KW and Non-Weather Sensitive'!$AE$50,IF($B28=$F$72,+'8. KW and Non-Weather Sensitive'!$AO$50,+IF($B28=$F$73,+'8. KW and Non-Weather Sensitive'!$AY$50,0)))))</f>
        <v>1075.2998411431593</v>
      </c>
    </row>
    <row r="31" spans="1:16">
      <c r="B31" s="75"/>
      <c r="C31" s="42"/>
      <c r="D31" s="42"/>
      <c r="E31" s="345"/>
      <c r="F31" s="345"/>
      <c r="G31" s="345"/>
      <c r="H31" s="345"/>
      <c r="I31" s="345"/>
      <c r="J31" s="345"/>
      <c r="K31" s="345"/>
      <c r="L31" s="345"/>
      <c r="M31" s="345"/>
      <c r="N31" s="345"/>
      <c r="O31" s="346"/>
      <c r="P31" s="347"/>
    </row>
    <row r="32" spans="1:16">
      <c r="B32" s="630" t="s">
        <v>260</v>
      </c>
      <c r="C32" s="629" t="str">
        <f>IF($B32=$F$64,+$B$64,+IF($B32=$F$65,+$B$65,+IF($B32=$F$66,+$B$66,+IF($B32=$F$66,$B$66,+IF($B32=$F$67,+$B$67,+IF($B32=$F$68,+$B$68,+IF($B32=$F$69,+$B$69,+IF($B32=$F$70,+$B$70,+IF($B32=$F$71,+$B$71,+IF($B32=$F$72,+$B$72,+IF($B32=$F$73,+$B$73)))))))))))</f>
        <v>Unmetered Scattered Load</v>
      </c>
      <c r="D32" s="42" t="s">
        <v>128</v>
      </c>
      <c r="E32" s="441">
        <f>IF($C32='4. Customer Growth'!$C$15,+'4. Customer Growth'!$C$17,+IF($C32='4. Customer Growth'!$E$15,+'4. Customer Growth'!$E$17,+IF($C32='4. Customer Growth'!$G$15,+'4. Customer Growth'!$G$17,+IF($C32='4. Customer Growth'!$I$15,+'4. Customer Growth'!$I$17,+IF($C32='4. Customer Growth'!$K$15,+'4. Customer Growth'!$K$17,+IF($C32='4. Customer Growth'!$M$15,+'4. Customer Growth'!$M$17,IF($C32='4. Customer Growth'!$O$15,+'4. Customer Growth'!$O$17)))))))</f>
        <v>33.5</v>
      </c>
      <c r="F32" s="441">
        <f>IF($C32='4. Customer Growth'!$C$15,+'4. Customer Growth'!$C$18,+IF($C32='4. Customer Growth'!$E$15,+'4. Customer Growth'!$E$18,+IF($C32='4. Customer Growth'!$G$15,+'4. Customer Growth'!$G$18,+IF($C32='4. Customer Growth'!$I$15,+'4. Customer Growth'!$I$18,+IF($C32='4. Customer Growth'!$K$15,+'4. Customer Growth'!$K$18,+IF($C32='4. Customer Growth'!$M$15,+'4. Customer Growth'!$M$18,IF($C32='4. Customer Growth'!$O$15,+'4. Customer Growth'!$O$18)))))))</f>
        <v>33</v>
      </c>
      <c r="G32" s="441">
        <f>IF($C32='4. Customer Growth'!$C$15,+'4. Customer Growth'!$C$19,+IF($C32='4. Customer Growth'!$E$15,+'4. Customer Growth'!$E$19,+IF($C32='4. Customer Growth'!$G$15,+'4. Customer Growth'!$G$19,+IF($C32='4. Customer Growth'!$I$15,+'4. Customer Growth'!$I$19,+IF($C32='4. Customer Growth'!$K$15,+'4. Customer Growth'!$K$19,+IF($C32='4. Customer Growth'!$M$15,+'4. Customer Growth'!$M$19,IF($C32='4. Customer Growth'!$O$15,+'4. Customer Growth'!$O$19)))))))</f>
        <v>33</v>
      </c>
      <c r="H32" s="441">
        <f>IF($C32='4. Customer Growth'!$C$15,+'4. Customer Growth'!$C$20,+IF($C32='4. Customer Growth'!$E$15,+'4. Customer Growth'!$E$20,+IF($C32='4. Customer Growth'!$G$15,+'4. Customer Growth'!$G$20,+IF($C32='4. Customer Growth'!$I$15,+'4. Customer Growth'!$I$20,+IF($C32='4. Customer Growth'!$K$15,+'4. Customer Growth'!$K$20,+IF($C32='4. Customer Growth'!$M$15,+'4. Customer Growth'!$M$20,IF($C32='4. Customer Growth'!$O$15,+'4. Customer Growth'!$O$20)))))))</f>
        <v>33.5</v>
      </c>
      <c r="I32" s="441">
        <f>IF($C32='4. Customer Growth'!$C$15,+'4. Customer Growth'!$C$21,+IF($C32='4. Customer Growth'!$E$15,+'4. Customer Growth'!$E$21,+IF($C32='4. Customer Growth'!$G$15,+'4. Customer Growth'!$G$21,+IF($C32='4. Customer Growth'!$I$15,+'4. Customer Growth'!$I$21,+IF($C32='4. Customer Growth'!$K$15,+'4. Customer Growth'!$K$21,+IF($C32='4. Customer Growth'!$M$15,+'4. Customer Growth'!$M$21,IF($C32='4. Customer Growth'!$O$15,+'4. Customer Growth'!$O$21)))))))</f>
        <v>34</v>
      </c>
      <c r="J32" s="441">
        <f>IF($C32='4. Customer Growth'!$C$15,+'4. Customer Growth'!$C$22,+IF($C32='4. Customer Growth'!$E$15,+'4. Customer Growth'!$E$22,+IF($C32='4. Customer Growth'!$G$15,+'4. Customer Growth'!$G$22,+IF($C32='4. Customer Growth'!$I$15,+'4. Customer Growth'!$I$22,+IF($C32='4. Customer Growth'!$K$15,+'4. Customer Growth'!$K$22,+IF($C32='4. Customer Growth'!$M$15,+'4. Customer Growth'!$M$22,IF($C32='4. Customer Growth'!$O$15,+'4. Customer Growth'!$O$22)))))))</f>
        <v>35.5</v>
      </c>
      <c r="K32" s="441">
        <f>IF($C32='4. Customer Growth'!$C$15,+'4. Customer Growth'!$C$23,+IF($C32='4. Customer Growth'!$E$15,+'4. Customer Growth'!$E$23,+IF($C32='4. Customer Growth'!$G$15,+'4. Customer Growth'!$G$23,+IF($C32='4. Customer Growth'!$I$15,+'4. Customer Growth'!$I$23,+IF($C32='4. Customer Growth'!$K$15,+'4. Customer Growth'!$K$23,+IF($C32='4. Customer Growth'!$M$15,+'4. Customer Growth'!$M$23,IF($C32='4. Customer Growth'!$O$15,+'4. Customer Growth'!$O$23)))))))</f>
        <v>37</v>
      </c>
      <c r="L32" s="441">
        <f>IF($C32='4. Customer Growth'!$C$15,+'4. Customer Growth'!$C$24,+IF($C32='4. Customer Growth'!$E$15,+'4. Customer Growth'!$E$24,+IF($C32='4. Customer Growth'!$G$15,+'4. Customer Growth'!$G$24,+IF($C32='4. Customer Growth'!$I$15,+'4. Customer Growth'!$I$24,+IF($C32='4. Customer Growth'!$K$15,+'4. Customer Growth'!$K$24,+IF($C32='4. Customer Growth'!$M$15,+'4. Customer Growth'!$M$24,IF($C32='4. Customer Growth'!$O$15,+'4. Customer Growth'!$O$24)))))))</f>
        <v>37</v>
      </c>
      <c r="M32" s="441">
        <f>IF($C32='4. Customer Growth'!$C$15,+'4. Customer Growth'!$C$25,+IF($C32='4. Customer Growth'!$E$15,+'4. Customer Growth'!$E$25,+IF($C32='4. Customer Growth'!$G$15,+'4. Customer Growth'!$G$25,+IF($C32='4. Customer Growth'!$I$15,+'4. Customer Growth'!$I$25,+IF($C32='4. Customer Growth'!$K$15,+'4. Customer Growth'!$K$25,+IF($C32='4. Customer Growth'!$M$15,+'4. Customer Growth'!$M$25,IF($C32='4. Customer Growth'!$O$15,+'4. Customer Growth'!$O$25)))))))</f>
        <v>37</v>
      </c>
      <c r="N32" s="441">
        <f>IF($C32='4. Customer Growth'!$C$15,+'4. Customer Growth'!$C$26,+IF($C32='4. Customer Growth'!$E$15,+'4. Customer Growth'!$E$26,+IF($C32='4. Customer Growth'!$G$15,+'4. Customer Growth'!$G$26,+IF($C32='4. Customer Growth'!$I$15,+'4. Customer Growth'!$I$26,+IF($C32='4. Customer Growth'!$K$15,+'4. Customer Growth'!$K$26,+IF($C32='4. Customer Growth'!$M$15,+'4. Customer Growth'!$M$26,IF($C32='4. Customer Growth'!$O$15,+'4. Customer Growth'!$O$26)))))))</f>
        <v>37</v>
      </c>
      <c r="O32" s="441">
        <f>IF($C32='4. Customer Growth'!$C$15,+'4. Customer Growth'!$C$42,+IF($C32='4. Customer Growth'!$E$15,+'4. Customer Growth'!$E$42,+IF($C32='4. Customer Growth'!$G$15,+'4. Customer Growth'!$G$42,+IF($C32='4. Customer Growth'!$I$15,+'4. Customer Growth'!$I$42,+IF($C32='4. Customer Growth'!$K$15,+'4. Customer Growth'!$K$42,+IF($C32='4. Customer Growth'!$M$15,+'4. Customer Growth'!$M$42,IF($C32='4. Customer Growth'!$O$15,+'4. Customer Growth'!$O$42)))))))</f>
        <v>37</v>
      </c>
      <c r="P32" s="442">
        <f>IF($C32='4. Customer Growth'!$C$15,+'4. Customer Growth'!$C$43,+IF($C32='4. Customer Growth'!$E$15,+'4. Customer Growth'!$E$43,+IF($C32='4. Customer Growth'!$G$15,+'4. Customer Growth'!$G$43,+IF($C32='4. Customer Growth'!$I$15,+'4. Customer Growth'!$I$43,+IF($C32='4. Customer Growth'!$K$15,+'4. Customer Growth'!$K$43,+IF($C32='4. Customer Growth'!$M$15,+'4. Customer Growth'!$M$43,IF($C32='4. Customer Growth'!$O$15,+'4. Customer Growth'!$O$43)))))))</f>
        <v>37</v>
      </c>
    </row>
    <row r="33" spans="1:16">
      <c r="B33" s="75"/>
      <c r="C33" s="42"/>
      <c r="D33" s="42" t="s">
        <v>36</v>
      </c>
      <c r="E33" s="441">
        <f>IF($B32=$F$64,+'7. Weather Senstive Class'!$G$21,IF($B32=$F$65,+'7. Weather Senstive Class'!$O$21,IF($B32=$F$66,+'7. Weather Senstive Class'!$W$21,IF($B32=$F$67,+'7. Weather Senstive Class'!$AE$21,IF($B32=$F$68,+'7. Weather Senstive Class'!$AM$21,IF($B32=$F$69,+'8. KW and Non-Weather Sensitive'!$E$21,IF($B32=$F$70,+'8. KW and Non-Weather Sensitive'!$P$21,IF($B32=$F$71,+'8. KW and Non-Weather Sensitive'!$Z$21,IF($B32=$F$72,+'8. KW and Non-Weather Sensitive'!$AJ$21,IF($B32=$F$73,+'8. KW and Non-Weather Sensitive'!$AT$21))))))))))</f>
        <v>155619</v>
      </c>
      <c r="F33" s="441">
        <f>IF($B32=$F$64,+'7. Weather Senstive Class'!$G$22,IF($B32=$F$65,+'7. Weather Senstive Class'!$O$22,IF($B32=$F$66,+'7. Weather Senstive Class'!$W$22,IF($B32=$F$67,+'7. Weather Senstive Class'!$AE$22,IF($B32=$F$68,+'7. Weather Senstive Class'!$AM$22,IF($B32=$F$69,+'8. KW and Non-Weather Sensitive'!$E$22,IF($B32=$F$70,+'8. KW and Non-Weather Sensitive'!$P$22,IF($B32=$F$71,+'8. KW and Non-Weather Sensitive'!$Z$22,IF($B32=$F$72,+'8. KW and Non-Weather Sensitive'!$AJ$22,IF($B32=$F$73,+'8. KW and Non-Weather Sensitive'!$AT$22))))))))))</f>
        <v>155019</v>
      </c>
      <c r="G33" s="441">
        <f>IF($B32=$F$64,+'7. Weather Senstive Class'!$G$23,IF($B32=$F$65,+'7. Weather Senstive Class'!$O$23,IF($B32=$F$66,+'7. Weather Senstive Class'!$W$23,IF($B32=$F$67,+'7. Weather Senstive Class'!$AE$23,IF($B32=$F$68,+'7. Weather Senstive Class'!$AM$23,IF($B32=$F$69,+'8. KW and Non-Weather Sensitive'!$E$23,IF($B32=$F$70,+'8. KW and Non-Weather Sensitive'!$P$23,IF($B32=$F$71,+'8. KW and Non-Weather Sensitive'!$Z$23,IF($B32=$F$72,+'8. KW and Non-Weather Sensitive'!$AJ$23,IF($B32=$F$73,+'8. KW and Non-Weather Sensitive'!$AT$23))))))))))</f>
        <v>155364</v>
      </c>
      <c r="H33" s="441">
        <f>IF($B32=$F$64,+'7. Weather Senstive Class'!$G$24,IF($B32=$F$65,+'7. Weather Senstive Class'!$O$24,IF($B32=$F$66,+'7. Weather Senstive Class'!$W$24,IF($B32=$F$67,+'7. Weather Senstive Class'!$AE$24,IF($B32=$F$68,+'7. Weather Senstive Class'!$AM$24,IF($B32=$F$69,+'8. KW and Non-Weather Sensitive'!$E$24,IF($B32=$F$70,+'8. KW and Non-Weather Sensitive'!$P$24,IF($B32=$F$71,+'8. KW and Non-Weather Sensitive'!$Z$24,IF($B32=$F$72,+'8. KW and Non-Weather Sensitive'!$AJ$24,IF($B32=$F$73,+'8. KW and Non-Weather Sensitive'!$AT$24))))))))))</f>
        <v>157514</v>
      </c>
      <c r="I33" s="441">
        <f>IF($B32=$F$64,+'7. Weather Senstive Class'!$G$25,IF($B32=$F$65,+'7. Weather Senstive Class'!$O$25,IF($B32=$F$66,+'7. Weather Senstive Class'!$W$25,IF($B32=$F$67,+'7. Weather Senstive Class'!$AE$25,IF($B32=$F$68,+'7. Weather Senstive Class'!$AM$25,IF($B32=$F$69,+'8. KW and Non-Weather Sensitive'!$E$25,IF($B32=$F$70,+'8. KW and Non-Weather Sensitive'!$P$25,IF($B32=$F$71,+'8. KW and Non-Weather Sensitive'!$Z$25,IF($B32=$F$72,+'8. KW and Non-Weather Sensitive'!$AJ$25,IF($B32=$F$73,+'8. KW and Non-Weather Sensitive'!$AT$25))))))))))</f>
        <v>161875</v>
      </c>
      <c r="J33" s="441">
        <f>IF($B32=$F$64,+'7. Weather Senstive Class'!$G$26,IF($B32=$F$65,+'7. Weather Senstive Class'!$O$26,IF($B32=$F$66,+'7. Weather Senstive Class'!$M$26,IF($B32=$F$67,+'7. Weather Senstive Class'!$AE$26,IF($B32=$F$68,+'7. Weather Senstive Class'!$AM$26,IF($B32=$F$69,+'8. KW and Non-Weather Sensitive'!$E$26,IF($B32=$F$70,+'8. KW and Non-Weather Sensitive'!$P$26,IF($B32=$F$71,+'8. KW and Non-Weather Sensitive'!$Z$26,IF($B32=$F$72,+'8. KW and Non-Weather Sensitive'!$AJ$26,IF($B32=$F$73,+'8. KW and Non-Weather Sensitive'!$AT$26))))))))))</f>
        <v>174874</v>
      </c>
      <c r="K33" s="441">
        <f>IF($B32=$F$64,+'7. Weather Senstive Class'!$G$27,IF($B32=$F$65,+'7. Weather Senstive Class'!$O$27,IF($B32=$F$66,+'7. Weather Senstive Class'!$W$27,IF($B32=$F$67,+'7. Weather Senstive Class'!$AE$27,IF($B32=$F$68,+'7. Weather Senstive Class'!$AM$27,IF($B32=$F$69,+'8. KW and Non-Weather Sensitive'!$E$27,IF($B32=$F$70,+'8. KW and Non-Weather Sensitive'!$P$27,IF($B32=$F$71,+'8. KW and Non-Weather Sensitive'!$Z$27,IF($B32=$F$72,+'8. KW and Non-Weather Sensitive'!$AJ$27,IF($B32=$F$73,+'8. KW and Non-Weather Sensitive'!$AT$27))))))))))</f>
        <v>176820</v>
      </c>
      <c r="L33" s="441">
        <f>IF($B32=$F$64,+'7. Weather Senstive Class'!$G$28,IF($B32=$F$65,+'7. Weather Senstive Class'!$O$28,IF($B32=$F$66,+'7. Weather Senstive Class'!$W$28,IF($B32=$F$67,+'7. Weather Senstive Class'!$AE$28,IF($B32=$F$68,+'7. Weather Senstive Class'!$AM$28,IF($B32=$F$69,+'8. KW and Non-Weather Sensitive'!$E$28,IF($B32=$F$70,+'8. KW and Non-Weather Sensitive'!$P$28,IF($B32=$F$71,+'8. KW and Non-Weather Sensitive'!$Z$28,IF($B32=$F$72,+'8. KW and Non-Weather Sensitive'!$AJ$28,IF($B32=$F$73,+'8. KW and Non-Weather Sensitive'!$AT$28))))))))))</f>
        <v>224089</v>
      </c>
      <c r="M33" s="441">
        <f>IF($B32=$F$64,+'7. Weather Senstive Class'!$G$29,IF($B32=$F$65,+'7. Weather Senstive Class'!$O$29,IF($B32=$F$66,+'7. Weather Senstive Class'!$W$29,IF($B32=$F$67,+'7. Weather Senstive Class'!$AE$29,IF($B32=$F$68,+'7. Weather Senstive Class'!$AM$29,IF($B32=$F$69,+'8. KW and Non-Weather Sensitive'!$E$29,IF($B32=$F$70,+'8. KW and Non-Weather Sensitive'!$P$29,IF($B32=$F$71,+'8. KW and Non-Weather Sensitive'!$Z$29,IF($B32=$F$72,+'8. KW and Non-Weather Sensitive'!$AJ$29,IF($B32=$F$73,+'8. KW and Non-Weather Sensitive'!$AT$29))))))))))</f>
        <v>269522</v>
      </c>
      <c r="N33" s="441">
        <f>IF($B32=$F$64,+'7. Weather Senstive Class'!$G$30,IF($B32=$F$65,+'7. Weather Senstive Class'!$O$30,IF($B32=$F$66,+'7. Weather Senstive Class'!$W$30,IF($B32=$F$67,+'7. Weather Senstive Class'!$AE$30,IF($B32=$F$68,+'7. Weather Senstive Class'!$AM$30,IF($B32=$F$69,+'8. KW and Non-Weather Sensitive'!$E$30,IF($B32=$F$70,+'8. KW and Non-Weather Sensitive'!$P$30,IF($B32=$F$71,+'8. KW and Non-Weather Sensitive'!$Z$30,IF($B32=$F$72,+'8. KW and Non-Weather Sensitive'!$AJ$30,IF($B32=$F$73,+'8. KW and Non-Weather Sensitive'!$AT$30))))))))))</f>
        <v>264699</v>
      </c>
      <c r="O33" s="441">
        <f>IF($B32=$F$64,+'7. Weather Senstive Class'!$H$42,IF($B32=$F$65,+'7. Weather Senstive Class'!$P$42,IF($B32=$F$66,+'7. Weather Senstive Class'!$X$42,IF($B32=$F$67,+'7. Weather Senstive Class'!$AF$42,IF($B32=$F$68,+'7. Weather Senstive Class'!$AN$42,IF($B32=$F$69,+'8. KW and Non-Weather Sensitive'!$I$49,IF($B32=$F$70,+'8. KW and Non-Weather Sensitive'!$T$49,IF($B32=$F$71,+'8. KW and Non-Weather Sensitive'!$AD$49,IF($B32=$F$72,+'8. KW and Non-Weather Sensitive'!$AN$49,IF($B32=$F$73,+'8. KW and Non-Weather Sensitive'!$AX$49))))))))))</f>
        <v>264698.51947345369</v>
      </c>
      <c r="P33" s="442">
        <f>IF($B32=$F$64,+'7. Weather Senstive Class'!$H$43,IF($B32=$F$65,+'7. Weather Senstive Class'!$P$43,IF($B32=$F$66,+'7. Weather Senstive Class'!$X$43,IF($B32=$F$67,+'7. Weather Senstive Class'!$AF$43,IF($B32=$F$68,+'7. Weather Senstive Class'!$AN$43,IF($B32=$F$69,+'8. KW and Non-Weather Sensitive'!$I$50,IF($B32=$F$70,+'8. KW and Non-Weather Sensitive'!$T$50,IF($B32=$F$71,+'8. KW and Non-Weather Sensitive'!$AD$50,IF($B32=$F$72,+'8. KW and Non-Weather Sensitive'!$AN$50,IF($B32=$F$73,+'8. KW and Non-Weather Sensitive'!$AX$50))))))))))</f>
        <v>264699.26880508452</v>
      </c>
    </row>
    <row r="34" spans="1:16">
      <c r="A34" s="663" t="s">
        <v>263</v>
      </c>
      <c r="B34" s="75"/>
      <c r="C34" s="42"/>
      <c r="D34" s="42" t="s">
        <v>37</v>
      </c>
      <c r="E34" s="345">
        <f>IF(B$16=$F$69,+'8. KW and Non-Weather Sensitive'!$F$21,IF($B32=$F$70,+'8. KW and Non-Weather Sensitive'!$Q$21,IF($B32=$F$71,+'8. KW and Non-Weather Sensitive'!$AA$21,IF($B32=$F$72,+'8. KW and Non-Weather Sensitive'!$AK$21,+IF($B32=$F$73,+'8. KW and Non-Weather Sensitive'!$AU$21,0)))))</f>
        <v>0</v>
      </c>
      <c r="F34" s="345">
        <f>IF($B32=$F$69,+'8. KW and Non-Weather Sensitive'!$F$22,IF($B32=$F$70,+'8. KW and Non-Weather Sensitive'!$Q$22,IF($B32=$F$71,+'8. KW and Non-Weather Sensitive'!$AA$22,IF($B32=$F$72,+'8. KW and Non-Weather Sensitive'!$AK$22,+IF($B32=$F$73,+'8. KW and Non-Weather Sensitive'!$AU$22,0)))))</f>
        <v>0</v>
      </c>
      <c r="G34" s="345">
        <f>IF($B32=$F$69,+'8. KW and Non-Weather Sensitive'!$F$23,IF($B32=$F$70,+'8. KW and Non-Weather Sensitive'!$Q$23,IF($B32=$F$71,+'8. KW and Non-Weather Sensitive'!$AA$23,IF($B32=$F$72,+'8. KW and Non-Weather Sensitive'!$AK$23,+IF($B32=$F$73,+'8. KW and Non-Weather Sensitive'!$AU$23,0)))))</f>
        <v>0</v>
      </c>
      <c r="H34" s="345">
        <f>IF($B32=$F$69,+'8. KW and Non-Weather Sensitive'!$F$24,IF($B32=$F$70,+'8. KW and Non-Weather Sensitive'!$Q$24,IF($B32=$F$71,+'8. KW and Non-Weather Sensitive'!$AA$24,IF($B32=$F$72,+'8. KW and Non-Weather Sensitive'!$AK$24,+IF($B32=$F$73,+'8. KW and Non-Weather Sensitive'!$AU$24,0)))))</f>
        <v>0</v>
      </c>
      <c r="I34" s="345">
        <f>IF($B32=$F$69,+'8. KW and Non-Weather Sensitive'!$F$25,IF($B32=$F$70,+'8. KW and Non-Weather Sensitive'!$Q$25,IF($B32=$F$71,+'8. KW and Non-Weather Sensitive'!$AA$25,IF($B32=$F$72,+'8. KW and Non-Weather Sensitive'!$AK$25,+IF($B32=$F$73,+'8. KW and Non-Weather Sensitive'!$AU$25,0)))))</f>
        <v>0</v>
      </c>
      <c r="J34" s="345">
        <f>IF($B32=$F$69,+'8. KW and Non-Weather Sensitive'!$F$26,IF($B32=$F$70,+'8. KW and Non-Weather Sensitive'!$Q$26,IF($B32=$F$71,+'8. KW and Non-Weather Sensitive'!$AA$26,IF($B32=$F$72,+'8. KW and Non-Weather Sensitive'!$AK$26,+IF($B32=$F$73,+'8. KW and Non-Weather Sensitive'!$AU$26,0)))))</f>
        <v>0</v>
      </c>
      <c r="K34" s="345">
        <f>IF($B32=$F$69,+'8. KW and Non-Weather Sensitive'!$F$27,IF($B32=$F$70,+'8. KW and Non-Weather Sensitive'!$Q$27,IF($B32=$F$71,+'8. KW and Non-Weather Sensitive'!$AA$27,IF($B32=$F$72,+'8. KW and Non-Weather Sensitive'!$AK$27,+IF($B32=$F$73,+'8. KW and Non-Weather Sensitive'!$AU$27,0)))))</f>
        <v>0</v>
      </c>
      <c r="L34" s="345">
        <f>IF($B32=$F$69,+'8. KW and Non-Weather Sensitive'!$F$28,IF($B32=$F$70,+'8. KW and Non-Weather Sensitive'!$Q$28,IF($B32=$F$71,+'8. KW and Non-Weather Sensitive'!$AA$28,IF($B32=$F$72,+'8. KW and Non-Weather Sensitive'!$AK$28,+IF($B32=$F$73,+'8. KW and Non-Weather Sensitive'!$AU$28,0)))))</f>
        <v>0</v>
      </c>
      <c r="M34" s="345">
        <f>IF($B32=$F$69,+'8. KW and Non-Weather Sensitive'!$F$29,IF($B32=$F$70,+'8. KW and Non-Weather Sensitive'!$Q$29,IF($B32=$F$71,+'8. KW and Non-Weather Sensitive'!$AA$29,IF($B32=$F$72,+'8. KW and Non-Weather Sensitive'!$AK$29,+IF($B32=$F$73,+'8. KW and Non-Weather Sensitive'!$AU$29,0)))))</f>
        <v>0</v>
      </c>
      <c r="N34" s="345">
        <f>IF($B32=$F$69,+'8. KW and Non-Weather Sensitive'!$F$30,IF($B32=$F$70,+'8. KW and Non-Weather Sensitive'!$Q$30,IF($B32=$F$71,+'8. KW and Non-Weather Sensitive'!$AA$30,IF($B32=$F$72,+'8. KW and Non-Weather Sensitive'!$AK$30,+IF($B32=$F$73,+'8. KW and Non-Weather Sensitive'!$AU$30,0)))))</f>
        <v>0</v>
      </c>
      <c r="O34" s="345">
        <f>IF($B32=$F$69,+'8. KW and Non-Weather Sensitive'!$J$49,IF($B32=$F$70,+'8. KW and Non-Weather Sensitive'!$U$49,IF($B32=$F$71,+'8. KW and Non-Weather Sensitive'!$AE$49,IF($B32=$F$72,+'8. KW and Non-Weather Sensitive'!$AO$49,+IF($B32=$F$73,+'8. KW and Non-Weather Sensitive'!$AY$49,0)))))</f>
        <v>0</v>
      </c>
      <c r="P34" s="443">
        <f>IF($B32=$F$69,+'8. KW and Non-Weather Sensitive'!$J$50,IF($B32=$F$70,+'8. KW and Non-Weather Sensitive'!$U$50,IF($B32=$F$71,+'8. KW and Non-Weather Sensitive'!$AE$50,IF($B32=$F$72,+'8. KW and Non-Weather Sensitive'!$AO$50,+IF($B32=$F$73,+'8. KW and Non-Weather Sensitive'!$AY$50,0)))))</f>
        <v>0</v>
      </c>
    </row>
    <row r="35" spans="1:16">
      <c r="A35" s="663" t="s">
        <v>262</v>
      </c>
      <c r="B35" s="75"/>
      <c r="C35" s="42"/>
      <c r="D35" s="42"/>
      <c r="E35" s="345"/>
      <c r="F35" s="345"/>
      <c r="G35" s="345"/>
      <c r="H35" s="345"/>
      <c r="I35" s="345"/>
      <c r="J35" s="345"/>
      <c r="K35" s="345"/>
      <c r="L35" s="345"/>
      <c r="M35" s="345"/>
      <c r="N35" s="345"/>
      <c r="O35" s="346"/>
      <c r="P35" s="347"/>
    </row>
    <row r="36" spans="1:16">
      <c r="B36" s="630" t="s">
        <v>335</v>
      </c>
      <c r="C36" s="629">
        <f>IF($B36=$F$64,+$B$64,+IF($B36=$F$65,+$B$65,+IF($B36=$F$66,+$B$66,+IF($B36=$F$66,$B$66,+IF($B36=$F$67,+$B$67,+IF($B36=$F$68,+$B$68,+IF($B36=$F$69,+$B$69,+IF($B36=$F$70,+$B$70,+IF($B36=$F$71,+$B$71,+IF($B36=$F$72,+$B$72,+IF($B36=$F$73,+$B$73)))))))))))</f>
        <v>0</v>
      </c>
      <c r="D36" s="42" t="s">
        <v>128</v>
      </c>
      <c r="E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F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G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H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I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J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K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L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M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N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O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P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row>
    <row r="37" spans="1:16">
      <c r="B37" s="75"/>
      <c r="C37" s="42"/>
      <c r="D37" s="42" t="s">
        <v>36</v>
      </c>
      <c r="E37" s="441">
        <f>IF($B36=$F$64,+'7. Weather Senstive Class'!$G$21,IF($B36=$F$65,+'7. Weather Senstive Class'!$O$21,IF($B36=$F$66,+'7. Weather Senstive Class'!$W$21,IF($B36=$F$67,+'7. Weather Senstive Class'!$AE$21,IF($B36=$F$68,+'7. Weather Senstive Class'!$AM$21,IF($B36=$F$69,+'8. KW and Non-Weather Sensitive'!$E$21,IF($B36=$F$70,+'8. KW and Non-Weather Sensitive'!$P$21,IF($B36=$F$71,+'8. KW and Non-Weather Sensitive'!$Z$21,IF($B36=$F$72,+'8. KW and Non-Weather Sensitive'!$AJ$21,IF($B36=$F$73,+'8. KW and Non-Weather Sensitive'!$AT$21))))))))))</f>
        <v>0</v>
      </c>
      <c r="F37" s="441">
        <f>IF($B36=$F$64,+'7. Weather Senstive Class'!$G$22,IF($B36=$F$65,+'7. Weather Senstive Class'!$O$22,IF($B36=$F$66,+'7. Weather Senstive Class'!$W$22,IF($B36=$F$67,+'7. Weather Senstive Class'!$AE$22,IF($B36=$F$68,+'7. Weather Senstive Class'!$AM$22,IF($B36=$F$69,+'8. KW and Non-Weather Sensitive'!$E$22,IF($B36=$F$70,+'8. KW and Non-Weather Sensitive'!$P$22,IF($B36=$F$71,+'8. KW and Non-Weather Sensitive'!$Z$22,IF($B36=$F$72,+'8. KW and Non-Weather Sensitive'!$AJ$22,IF($B36=$F$73,+'8. KW and Non-Weather Sensitive'!$AT$22))))))))))</f>
        <v>0</v>
      </c>
      <c r="G37" s="441">
        <f>IF($B36=$F$64,+'7. Weather Senstive Class'!$G$23,IF($B36=$F$65,+'7. Weather Senstive Class'!$O$23,IF($B36=$F$66,+'7. Weather Senstive Class'!$W$23,IF($B36=$F$67,+'7. Weather Senstive Class'!$AE$23,IF($B36=$F$68,+'7. Weather Senstive Class'!$AM$23,IF($B36=$F$69,+'8. KW and Non-Weather Sensitive'!$E$23,IF($B36=$F$70,+'8. KW and Non-Weather Sensitive'!$P$23,IF($B36=$F$71,+'8. KW and Non-Weather Sensitive'!$Z$23,IF($B36=$F$72,+'8. KW and Non-Weather Sensitive'!$AJ$23,IF($B36=$F$73,+'8. KW and Non-Weather Sensitive'!$AT$23))))))))))</f>
        <v>0</v>
      </c>
      <c r="H37" s="441">
        <f>IF($B36=$F$64,+'7. Weather Senstive Class'!$G$24,IF($B36=$F$65,+'7. Weather Senstive Class'!$O$24,IF($B36=$F$66,+'7. Weather Senstive Class'!$W$24,IF($B36=$F$67,+'7. Weather Senstive Class'!$AE$24,IF($B36=$F$68,+'7. Weather Senstive Class'!$AM$24,IF($B36=$F$69,+'8. KW and Non-Weather Sensitive'!$E$24,IF($B36=$F$70,+'8. KW and Non-Weather Sensitive'!$P$24,IF($B36=$F$71,+'8. KW and Non-Weather Sensitive'!$Z$24,IF($B36=$F$72,+'8. KW and Non-Weather Sensitive'!$AJ$24,IF($B36=$F$73,+'8. KW and Non-Weather Sensitive'!$AT$24))))))))))</f>
        <v>0</v>
      </c>
      <c r="I37" s="441">
        <f>IF($B36=$F$64,+'7. Weather Senstive Class'!$G$25,IF($B36=$F$65,+'7. Weather Senstive Class'!$O$25,IF($B36=$F$66,+'7. Weather Senstive Class'!$W$25,IF($B36=$F$67,+'7. Weather Senstive Class'!$AE$25,IF($B36=$F$68,+'7. Weather Senstive Class'!$AM$25,IF($B36=$F$69,+'8. KW and Non-Weather Sensitive'!$E$25,IF($B36=$F$70,+'8. KW and Non-Weather Sensitive'!$P$25,IF($B36=$F$71,+'8. KW and Non-Weather Sensitive'!$Z$25,IF($B36=$F$72,+'8. KW and Non-Weather Sensitive'!$AJ$25,IF($B36=$F$73,+'8. KW and Non-Weather Sensitive'!$AT$25))))))))))</f>
        <v>0</v>
      </c>
      <c r="J37" s="441">
        <f>IF($B36=$F$64,+'7. Weather Senstive Class'!$G$25,IF($B36=$F$65,+'7. Weather Senstive Class'!$O$25,IF($B36=$F$66,+'7. Weather Senstive Class'!$W$25,IF($B36=$F$67,+'7. Weather Senstive Class'!$AE$25,IF($B36=$F$68,+'7. Weather Senstive Class'!$AM$25,IF($B36=$F$69,+'8. KW and Non-Weather Sensitive'!$E$25,IF($B36=$F$70,+'8. KW and Non-Weather Sensitive'!$P$25,IF($B36=$F$71,+'8. KW and Non-Weather Sensitive'!$Z$25,IF($B36=$F$72,+'8. KW and Non-Weather Sensitive'!$AJ$25,IF($B36=$F$73,+'8. KW and Non-Weather Sensitive'!$AT$25))))))))))</f>
        <v>0</v>
      </c>
      <c r="K37" s="441">
        <f>IF($B36=$F$64,+'7. Weather Senstive Class'!$G$27,IF($B36=$F$65,+'7. Weather Senstive Class'!$O$27,IF($B36=$F$66,+'7. Weather Senstive Class'!$W$27,IF($B36=$F$67,+'7. Weather Senstive Class'!$AE$27,IF($B36=$F$68,+'7. Weather Senstive Class'!$AM$27,IF($B36=$F$69,+'8. KW and Non-Weather Sensitive'!$E$27,IF($B36=$F$70,+'8. KW and Non-Weather Sensitive'!$P$27,IF($B36=$F$71,+'8. KW and Non-Weather Sensitive'!$Z$27,IF($B36=$F$72,+'8. KW and Non-Weather Sensitive'!$AJ$27,IF($B36=$F$73,+'8. KW and Non-Weather Sensitive'!$AT$27))))))))))</f>
        <v>0</v>
      </c>
      <c r="L37" s="441">
        <f>IF($B36=$F$64,+'7. Weather Senstive Class'!$G$28,IF($B36=$F$65,+'7. Weather Senstive Class'!$O$28,IF($B36=$F$66,+'7. Weather Senstive Class'!$W$28,IF($B36=$F$67,+'7. Weather Senstive Class'!$AE$28,IF($B36=$F$68,+'7. Weather Senstive Class'!$AM$28,IF($B36=$F$69,+'8. KW and Non-Weather Sensitive'!$E$28,IF($B36=$F$70,+'8. KW and Non-Weather Sensitive'!$P$28,IF($B36=$F$71,+'8. KW and Non-Weather Sensitive'!$Z$28,IF($B36=$F$72,+'8. KW and Non-Weather Sensitive'!$AJ$28,IF($B36=$F$73,+'8. KW and Non-Weather Sensitive'!$AT$28))))))))))</f>
        <v>0</v>
      </c>
      <c r="M37" s="441">
        <f>IF($B36=$F$64,+'7. Weather Senstive Class'!$G$29,IF($B36=$F$65,+'7. Weather Senstive Class'!$O$29,IF($B36=$F$66,+'7. Weather Senstive Class'!$W$29,IF($B36=$F$67,+'7. Weather Senstive Class'!$AE$29,IF($B36=$F$68,+'7. Weather Senstive Class'!$AM$29,IF($B36=$F$69,+'8. KW and Non-Weather Sensitive'!$E$29,IF($B36=$F$70,+'8. KW and Non-Weather Sensitive'!$P$29,IF($B36=$F$71,+'8. KW and Non-Weather Sensitive'!$Z$29,IF($B36=$F$72,+'8. KW and Non-Weather Sensitive'!$AJ$29,IF($B36=$F$73,+'8. KW and Non-Weather Sensitive'!$AT$29))))))))))</f>
        <v>0</v>
      </c>
      <c r="N37" s="441">
        <f>IF($B36=$F$64,+'7. Weather Senstive Class'!$G$30,IF($B36=$F$65,+'7. Weather Senstive Class'!$O$30,IF($B36=$F$66,+'7. Weather Senstive Class'!$W$30,IF($B36=$F$67,+'7. Weather Senstive Class'!$AE$30,IF($B36=$F$68,+'7. Weather Senstive Class'!$AM$30,IF($B36=$F$69,+'8. KW and Non-Weather Sensitive'!$E$30,IF($B36=$F$70,+'8. KW and Non-Weather Sensitive'!$P$30,IF($B36=$F$71,+'8. KW and Non-Weather Sensitive'!$Z$30,IF($B36=$F$72,+'8. KW and Non-Weather Sensitive'!$AJ$30,IF($B36=$F$73,+'8. KW and Non-Weather Sensitive'!$AT$30))))))))))</f>
        <v>0</v>
      </c>
      <c r="O37" s="441">
        <f>IF($B36=$F$64,+'7. Weather Senstive Class'!$H$42,IF($B36=$F$65,+'7. Weather Senstive Class'!$P$42,IF($B36=$F$66,+'7. Weather Senstive Class'!$X$42,IF($B36=$F$67,+'7. Weather Senstive Class'!$AF$42,IF($B36=$F$68,+'7. Weather Senstive Class'!$AN$42,IF($B36=$F$69,+'8. KW and Non-Weather Sensitive'!$I$49,IF($B36=$F$70,+'8. KW and Non-Weather Sensitive'!$T$49,IF($B36=$F$71,+'8. KW and Non-Weather Sensitive'!$AD$49,IF($B36=$F$72,+'8. KW and Non-Weather Sensitive'!$AN$49,IF($B36=$F$73,+'8. KW and Non-Weather Sensitive'!$AX$49))))))))))</f>
        <v>0</v>
      </c>
      <c r="P37" s="442">
        <f>IF($B36=$F$64,+'7. Weather Senstive Class'!$H$43,IF($B36=$F$65,+'7. Weather Senstive Class'!$P$43,IF($B36=$F$66,+'7. Weather Senstive Class'!$X$43,IF($B36=$F$67,+'7. Weather Senstive Class'!$AF$43,IF($B36=$F$68,+'7. Weather Senstive Class'!$AN$43,IF($B36=$F$69,+'8. KW and Non-Weather Sensitive'!$I$50,IF($B36=$F$70,+'8. KW and Non-Weather Sensitive'!$T$50,IF($B36=$F$71,+'8. KW and Non-Weather Sensitive'!$AD$50,IF($B36=$F$72,+'8. KW and Non-Weather Sensitive'!$AN$50,IF($B36=$F$73,+'8. KW and Non-Weather Sensitive'!$AX$50))))))))))</f>
        <v>0</v>
      </c>
    </row>
    <row r="38" spans="1:16">
      <c r="B38" s="75"/>
      <c r="C38" s="42"/>
      <c r="D38" s="42" t="s">
        <v>37</v>
      </c>
      <c r="E38" s="345">
        <f>IF(B$16=$F$69,+'8. KW and Non-Weather Sensitive'!$F$21,IF($B36=$F$70,+'8. KW and Non-Weather Sensitive'!$Q$21,IF($B36=$F$71,+'8. KW and Non-Weather Sensitive'!$AA$21,IF($B36=$F$72,+'8. KW and Non-Weather Sensitive'!$AK$21,+IF($B36=$F$73,+'8. KW and Non-Weather Sensitive'!$AU$21,0)))))</f>
        <v>0</v>
      </c>
      <c r="F38" s="345">
        <f>IF($B36=$F$69,+'8. KW and Non-Weather Sensitive'!$F$22,IF($B36=$F$70,+'8. KW and Non-Weather Sensitive'!$Q$22,IF($B36=$F$71,+'8. KW and Non-Weather Sensitive'!$AA$22,IF($B36=$F$72,+'8. KW and Non-Weather Sensitive'!$AK$22,+IF($B36=$F$73,+'8. KW and Non-Weather Sensitive'!$AU$22,0)))))</f>
        <v>0</v>
      </c>
      <c r="G38" s="345">
        <f>IF($B36=$F$69,+'8. KW and Non-Weather Sensitive'!$F$23,IF($B36=$F$70,+'8. KW and Non-Weather Sensitive'!$Q$23,IF($B36=$F$71,+'8. KW and Non-Weather Sensitive'!$AA$23,IF($B36=$F$72,+'8. KW and Non-Weather Sensitive'!$AK$23,+IF($B36=$F$73,+'8. KW and Non-Weather Sensitive'!$AU$23,0)))))</f>
        <v>0</v>
      </c>
      <c r="H38" s="345">
        <f>IF($B36=$F$69,+'8. KW and Non-Weather Sensitive'!$F$24,IF($B36=$F$70,+'8. KW and Non-Weather Sensitive'!$Q$24,IF($B36=$F$71,+'8. KW and Non-Weather Sensitive'!$AA$24,IF($B36=$F$72,+'8. KW and Non-Weather Sensitive'!$AK$24,+IF($B36=$F$73,+'8. KW and Non-Weather Sensitive'!$AU$24,0)))))</f>
        <v>0</v>
      </c>
      <c r="I38" s="345">
        <f>IF($B36=$F$69,+'8. KW and Non-Weather Sensitive'!$F$25,IF($B36=$F$70,+'8. KW and Non-Weather Sensitive'!$Q$25,IF($B36=$F$71,+'8. KW and Non-Weather Sensitive'!$AA$25,IF($B36=$F$72,+'8. KW and Non-Weather Sensitive'!$AK$25,+IF($B36=$F$73,+'8. KW and Non-Weather Sensitive'!$AU$25,0)))))</f>
        <v>0</v>
      </c>
      <c r="J38" s="345">
        <f>IF($B36=$F$69,+'8. KW and Non-Weather Sensitive'!$F$26,IF($B36=$F$70,+'8. KW and Non-Weather Sensitive'!$Q$26,IF($B36=$F$71,+'8. KW and Non-Weather Sensitive'!$AA$26,IF($B36=$F$72,+'8. KW and Non-Weather Sensitive'!$AK$26,+IF($B36=$F$73,+'8. KW and Non-Weather Sensitive'!$AU$26,0)))))</f>
        <v>0</v>
      </c>
      <c r="K38" s="345">
        <f>IF($B36=$F$69,+'8. KW and Non-Weather Sensitive'!$F$27,IF($B36=$F$70,+'8. KW and Non-Weather Sensitive'!$Q$27,IF($B36=$F$71,+'8. KW and Non-Weather Sensitive'!$AA$27,IF($B36=$F$72,+'8. KW and Non-Weather Sensitive'!$AK$27,+IF($B36=$F$73,+'8. KW and Non-Weather Sensitive'!$AU$27,0)))))</f>
        <v>0</v>
      </c>
      <c r="L38" s="345">
        <f>IF($B36=$F$69,+'8. KW and Non-Weather Sensitive'!$F$28,IF($B36=$F$70,+'8. KW and Non-Weather Sensitive'!$Q$28,IF($B36=$F$71,+'8. KW and Non-Weather Sensitive'!$AA$28,IF($B36=$F$72,+'8. KW and Non-Weather Sensitive'!$AK$28,+IF($B36=$F$73,+'8. KW and Non-Weather Sensitive'!$AU$28,0)))))</f>
        <v>0</v>
      </c>
      <c r="M38" s="345">
        <f>IF($B36=$F$69,+'8. KW and Non-Weather Sensitive'!$F$29,IF($B36=$F$70,+'8. KW and Non-Weather Sensitive'!$Q$29,IF($B36=$F$71,+'8. KW and Non-Weather Sensitive'!$AA$29,IF($B36=$F$72,+'8. KW and Non-Weather Sensitive'!$AK$29,+IF($B36=$F$73,+'8. KW and Non-Weather Sensitive'!$AU$29,0)))))</f>
        <v>0</v>
      </c>
      <c r="N38" s="345">
        <f>IF($B36=$F$69,+'8. KW and Non-Weather Sensitive'!$F$30,IF($B36=$F$70,+'8. KW and Non-Weather Sensitive'!$Q$30,IF($B36=$F$71,+'8. KW and Non-Weather Sensitive'!$AA$30,IF($B36=$F$72,+'8. KW and Non-Weather Sensitive'!$AK$30,+IF($B36=$F$73,+'8. KW and Non-Weather Sensitive'!$AU$30,0)))))</f>
        <v>0</v>
      </c>
      <c r="O38" s="345">
        <f>IF($B36=$F$69,+'8. KW and Non-Weather Sensitive'!$J$49,IF($B36=$F$70,+'8. KW and Non-Weather Sensitive'!$U$49,IF($B36=$F$71,+'8. KW and Non-Weather Sensitive'!$AE$49,IF($B36=$F$72,+'8. KW and Non-Weather Sensitive'!$AO$49,+IF($B36=$F$73,+'8. KW and Non-Weather Sensitive'!$AY$49,0)))))</f>
        <v>0</v>
      </c>
      <c r="P38" s="443">
        <f>IF($B36=$F$69,+'8. KW and Non-Weather Sensitive'!$J$50,IF($B36=$F$70,+'8. KW and Non-Weather Sensitive'!$U$50,IF($B36=$F$71,+'8. KW and Non-Weather Sensitive'!$AE$50,IF($B36=$F$72,+'8. KW and Non-Weather Sensitive'!$AO$50,+IF($B36=$F$73,+'8. KW and Non-Weather Sensitive'!$AY$50,0)))))</f>
        <v>0</v>
      </c>
    </row>
    <row r="39" spans="1:16">
      <c r="B39" s="75"/>
      <c r="C39" s="42"/>
      <c r="D39" s="42"/>
      <c r="E39" s="345"/>
      <c r="F39" s="345"/>
      <c r="G39" s="345"/>
      <c r="H39" s="345"/>
      <c r="I39" s="345"/>
      <c r="J39" s="345"/>
      <c r="K39" s="345"/>
      <c r="L39" s="345"/>
      <c r="M39" s="345"/>
      <c r="N39" s="345"/>
      <c r="O39" s="346"/>
      <c r="P39" s="347"/>
    </row>
    <row r="40" spans="1:16">
      <c r="B40" s="630" t="s">
        <v>335</v>
      </c>
      <c r="C40" s="629">
        <f>IF($B40=$F$64,+$B$64,+IF($B40=$F$65,+$B$65,+IF($B40=$F$66,+$B$66,+IF($B40=$F$66,$B$66,+IF($B40=$F$67,+$B$67,+IF($B40=$F$68,+$B$68,+IF($B40=$F$69,+$B$69,+IF($B40=$F$70,+$B$70,+IF($B40=$F$71,+$B$71,+IF($B40=$F$72,+$B$72,+IF($B40=$F$73,+$B$73)))))))))))</f>
        <v>0</v>
      </c>
      <c r="D40" s="42" t="s">
        <v>128</v>
      </c>
      <c r="E40" s="444">
        <f>IF($C40='4. Customer Growth'!$C$15,+'4. Customer Growth'!$C$17,+IF($C40='4. Customer Growth'!$E$15,+'4. Customer Growth'!$E$17,+IF($C40='4. Customer Growth'!$G$15,+'4. Customer Growth'!$G$17,+IF($C40='4. Customer Growth'!$I$15,+'4. Customer Growth'!$I$17,+IF($C40='4. Customer Growth'!$K$15,+'4. Customer Growth'!$K$17,+IF($C40='4. Customer Growth'!$M$15,+'4. Customer Growth'!$M$17,IF($C40='4. Customer Growth'!$O$15,+'4. Customer Growth'!$O$17,IF($C40='4. Customer Growth'!$Q$15,+'4. Customer Growth'!$Q$17))))))))</f>
        <v>0</v>
      </c>
      <c r="F40" s="444">
        <f>IF($C40='4. Customer Growth'!$C$15,+'4. Customer Growth'!$C$18,+IF($C40='4. Customer Growth'!$E$15,+'4. Customer Growth'!$E$18,+IF($C40='4. Customer Growth'!$G$15,+'4. Customer Growth'!$G$18,+IF($C40='4. Customer Growth'!$I$15,+'4. Customer Growth'!$I$18,+IF($C40='4. Customer Growth'!$K$15,+'4. Customer Growth'!$K$18,+IF($C40='4. Customer Growth'!$M$15,+'4. Customer Growth'!$M$18,IF($C40='4. Customer Growth'!$O$15,+'4. Customer Growth'!$O$18,IF($C40='4. Customer Growth'!$Q$15,+'4. Customer Growth'!$Q$18))))))))</f>
        <v>0</v>
      </c>
      <c r="G40" s="444">
        <f>IF($C40='4. Customer Growth'!$C$15,+'4. Customer Growth'!$C$19,+IF($C40='4. Customer Growth'!$E$15,+'4. Customer Growth'!$E$19,+IF($C40='4. Customer Growth'!$G$15,+'4. Customer Growth'!$G$19,+IF($C40='4. Customer Growth'!$I$15,+'4. Customer Growth'!$I$19,+IF($C40='4. Customer Growth'!$K$15,+'4. Customer Growth'!$K$19,+IF($C40='4. Customer Growth'!$M$15,+'4. Customer Growth'!$M$19,IF($C40='4. Customer Growth'!$O$15,+'4. Customer Growth'!$O$19,IF($C40='4. Customer Growth'!$Q$15,+'4. Customer Growth'!$Q$19))))))))</f>
        <v>0</v>
      </c>
      <c r="H40" s="444">
        <f>IF($C40='4. Customer Growth'!$C$15,+'4. Customer Growth'!$C$20,+IF($C40='4. Customer Growth'!$E$15,+'4. Customer Growth'!$E$20,+IF($C40='4. Customer Growth'!$G$15,+'4. Customer Growth'!$G$20,+IF($C40='4. Customer Growth'!$I$15,+'4. Customer Growth'!$I$20,+IF($C40='4. Customer Growth'!$K$15,+'4. Customer Growth'!$K$20,+IF($C40='4. Customer Growth'!$M$15,+'4. Customer Growth'!$M$20,IF($C40='4. Customer Growth'!$O$15,+'4. Customer Growth'!$O$20,IF($C40='4. Customer Growth'!$Q$15,+'4. Customer Growth'!$Q$20))))))))</f>
        <v>0</v>
      </c>
      <c r="I40" s="444">
        <f>IF($C40='4. Customer Growth'!$C$15,+'4. Customer Growth'!$C$21,+IF($C40='4. Customer Growth'!$E$15,+'4. Customer Growth'!$E$21,+IF($C40='4. Customer Growth'!$G$15,+'4. Customer Growth'!$G$21,+IF($C40='4. Customer Growth'!$I$15,+'4. Customer Growth'!$I$21,+IF($C40='4. Customer Growth'!$K$15,+'4. Customer Growth'!$K$21,+IF($C40='4. Customer Growth'!$M$15,+'4. Customer Growth'!$M$21,IF($C40='4. Customer Growth'!$O$15,+'4. Customer Growth'!$O$21,IF($C40='4. Customer Growth'!$Q$15,+'4. Customer Growth'!$Q$21))))))))</f>
        <v>0</v>
      </c>
      <c r="J40" s="444">
        <f>IF($C40='4. Customer Growth'!$C$15,+'4. Customer Growth'!$C$22,+IF($C40='4. Customer Growth'!$E$15,+'4. Customer Growth'!$E$22,+IF($C40='4. Customer Growth'!$G$15,+'4. Customer Growth'!$G$22,+IF($C40='4. Customer Growth'!$I$15,+'4. Customer Growth'!$I$22,+IF($C40='4. Customer Growth'!$K$15,+'4. Customer Growth'!$K$22,+IF($C40='4. Customer Growth'!$M$15,+'4. Customer Growth'!$M$22,IF($C40='4. Customer Growth'!$O$15,+'4. Customer Growth'!$O$22,IF($C40='4. Customer Growth'!$Q$15,+'4. Customer Growth'!$Q$22))))))))</f>
        <v>0</v>
      </c>
      <c r="K40" s="444">
        <f>IF($C40='4. Customer Growth'!$C$15,+'4. Customer Growth'!$C$23,+IF($C40='4. Customer Growth'!$E$15,+'4. Customer Growth'!$E$23,+IF($C40='4. Customer Growth'!$G$15,+'4. Customer Growth'!$G$23,+IF($C40='4. Customer Growth'!$I$15,+'4. Customer Growth'!$I$23,+IF($C40='4. Customer Growth'!$K$15,+'4. Customer Growth'!$K$23,+IF($C40='4. Customer Growth'!$M$15,+'4. Customer Growth'!$M$23,IF($C40='4. Customer Growth'!$O$15,+'4. Customer Growth'!$O$23,IF($C40='4. Customer Growth'!$Q$15,+'4. Customer Growth'!$Q$23))))))))</f>
        <v>0</v>
      </c>
      <c r="L40" s="444">
        <f>IF($C40='4. Customer Growth'!$C$15,+'4. Customer Growth'!$C$24,+IF($C40='4. Customer Growth'!$E$15,+'4. Customer Growth'!$E$24,+IF($C40='4. Customer Growth'!$G$15,+'4. Customer Growth'!$G$24,+IF($C40='4. Customer Growth'!$I$15,+'4. Customer Growth'!$I$24,+IF($C40='4. Customer Growth'!$K$15,+'4. Customer Growth'!$K$24,+IF($C40='4. Customer Growth'!$M$15,+'4. Customer Growth'!$M$24,IF($C40='4. Customer Growth'!$O$15,+'4. Customer Growth'!$O$24,IF($C40='4. Customer Growth'!$Q$15,+'4. Customer Growth'!$Q$24))))))))</f>
        <v>0</v>
      </c>
      <c r="M40" s="444">
        <f>IF($C40='4. Customer Growth'!$C$15,+'4. Customer Growth'!$C$25,+IF($C40='4. Customer Growth'!$E$15,+'4. Customer Growth'!$E$25,+IF($C40='4. Customer Growth'!$G$15,+'4. Customer Growth'!$G$25,+IF($C40='4. Customer Growth'!$I$15,+'4. Customer Growth'!$I$25,+IF($C40='4. Customer Growth'!$K$15,+'4. Customer Growth'!$K$25,+IF($C40='4. Customer Growth'!$M$15,+'4. Customer Growth'!$M$25,IF($C40='4. Customer Growth'!$O$15,+'4. Customer Growth'!$O$25,IF($C40='4. Customer Growth'!$Q$15,+'4. Customer Growth'!$Q$25))))))))</f>
        <v>0</v>
      </c>
      <c r="N40" s="444">
        <f>IF($C40='4. Customer Growth'!$C$15,+'4. Customer Growth'!$C$26,+IF($C40='4. Customer Growth'!$E$15,+'4. Customer Growth'!$E$26,+IF($C40='4. Customer Growth'!$G$15,+'4. Customer Growth'!$G$26,+IF($C40='4. Customer Growth'!$I$15,+'4. Customer Growth'!$I$26,+IF($C40='4. Customer Growth'!$K$15,+'4. Customer Growth'!$K$26,+IF($C40='4. Customer Growth'!$M$15,+'4. Customer Growth'!$M$26,IF($C40='4. Customer Growth'!$O$15,+'4. Customer Growth'!$O$26,IF($C40='4. Customer Growth'!$Q$15,+'4. Customer Growth'!$Q$26))))))))</f>
        <v>0</v>
      </c>
      <c r="O40" s="444">
        <f>IF($C40='4. Customer Growth'!$C$15,+'4. Customer Growth'!$C$42,+IF($C40='4. Customer Growth'!$E$15,+'4. Customer Growth'!$E$42,+IF($C40='4. Customer Growth'!$G$15,+'4. Customer Growth'!$G$42,+IF($C40='4. Customer Growth'!$I$15,+'4. Customer Growth'!$I$42,+IF($C40='4. Customer Growth'!$K$15,+'4. Customer Growth'!$K$42,+IF($C40='4. Customer Growth'!$M$15,+'4. Customer Growth'!$M$42,IF($C40='4. Customer Growth'!$O$15,+'4. Customer Growth'!$O$42,IF($C40='4. Customer Growth'!$Q$15,+'4. Customer Growth'!$Q$42))))))))</f>
        <v>0</v>
      </c>
      <c r="P40" s="445">
        <f>IF($C40='4. Customer Growth'!$C$15,+'4. Customer Growth'!$C$43,+IF($C40='4. Customer Growth'!$E$15,+'4. Customer Growth'!$E$43,+IF($C40='4. Customer Growth'!$G$15,+'4. Customer Growth'!$G$43,+IF($C40='4. Customer Growth'!$I$15,+'4. Customer Growth'!$I$43,+IF($C40='4. Customer Growth'!$K$15,+'4. Customer Growth'!$K$43,+IF($C40='4. Customer Growth'!$M$15,+'4. Customer Growth'!$M$43,IF($C40='4. Customer Growth'!$O$15,+'4. Customer Growth'!$O$43,IF($C40='4. Customer Growth'!$Q$15,+'4. Customer Growth'!$Q$43))))))))</f>
        <v>0</v>
      </c>
    </row>
    <row r="41" spans="1:16">
      <c r="B41" s="75"/>
      <c r="C41" s="42"/>
      <c r="D41" s="42" t="s">
        <v>36</v>
      </c>
      <c r="E41" s="441">
        <f>IF($B40=$F$64,+'7. Weather Senstive Class'!$G$21,IF($B40=$F$65,+'7. Weather Senstive Class'!$O$21,IF($B40=$F$66,+'7. Weather Senstive Class'!$W$21,IF($B40=$F$67,+'7. Weather Senstive Class'!$AE$21,IF($B40=$F$68,+'7. Weather Senstive Class'!$AM$21,IF($B40=$F$69,+'8. KW and Non-Weather Sensitive'!$E$21,IF($B40=$F$70,+'8. KW and Non-Weather Sensitive'!$P$21,IF($B40=$F$71,+'8. KW and Non-Weather Sensitive'!$Z$21,IF($B40=$F$72,+'8. KW and Non-Weather Sensitive'!$AJ$21,IF($B40=$F$73,+'8. KW and Non-Weather Sensitive'!$AT$21))))))))))</f>
        <v>0</v>
      </c>
      <c r="F41" s="441">
        <f>IF($B40=$F$64,+'7. Weather Senstive Class'!$G$22,IF($B40=$F$65,+'7. Weather Senstive Class'!$O$22,IF($B40=$F$66,+'7. Weather Senstive Class'!$W$22,IF($B40=$F$67,+'7. Weather Senstive Class'!$AE$22,IF($B40=$F$68,+'7. Weather Senstive Class'!$AM$22,IF($B40=$F$69,+'8. KW and Non-Weather Sensitive'!$E$22,IF($B40=$F$70,+'8. KW and Non-Weather Sensitive'!$P$22,IF($B40=$F$71,+'8. KW and Non-Weather Sensitive'!$Z$22,IF($B40=$F$72,+'8. KW and Non-Weather Sensitive'!$AJ$22,IF($B40=$F$73,+'8. KW and Non-Weather Sensitive'!$AT$22))))))))))</f>
        <v>0</v>
      </c>
      <c r="G41" s="441">
        <f>IF($B40=$F$64,+'7. Weather Senstive Class'!$G$23,IF($B40=$F$65,+'7. Weather Senstive Class'!$O$23,IF($B40=$F$66,+'7. Weather Senstive Class'!$W$23,IF($B40=$F$67,+'7. Weather Senstive Class'!$AE$23,IF($B40=$F$68,+'7. Weather Senstive Class'!$AM$23,IF($B40=$F$69,+'8. KW and Non-Weather Sensitive'!$E$23,IF($B40=$F$70,+'8. KW and Non-Weather Sensitive'!$P$23,IF($B40=$F$71,+'8. KW and Non-Weather Sensitive'!$Z$23,IF($B40=$F$72,+'8. KW and Non-Weather Sensitive'!$AJ$23,IF($B40=$F$73,+'8. KW and Non-Weather Sensitive'!$AT$23))))))))))</f>
        <v>0</v>
      </c>
      <c r="H41" s="441">
        <f>IF($B40=$F$64,+'7. Weather Senstive Class'!$G$24,IF($B40=$F$65,+'7. Weather Senstive Class'!$O$24,IF($B40=$F$66,+'7. Weather Senstive Class'!$W$24,IF($B40=$F$67,+'7. Weather Senstive Class'!$AE$24,IF($B40=$F$68,+'7. Weather Senstive Class'!$AM$24,IF($B40=$F$69,+'8. KW and Non-Weather Sensitive'!$E$24,IF($B40=$F$70,+'8. KW and Non-Weather Sensitive'!$P$24,IF($B40=$F$71,+'8. KW and Non-Weather Sensitive'!$Z$24,IF($B40=$F$72,+'8. KW and Non-Weather Sensitive'!$AJ$24,IF($B40=$F$73,+'8. KW and Non-Weather Sensitive'!$AT$24))))))))))</f>
        <v>0</v>
      </c>
      <c r="I41" s="441">
        <f>IF($B40=$F$64,+'7. Weather Senstive Class'!$G$25,IF($B40=$F$65,+'7. Weather Senstive Class'!$O$25,IF($B40=$F$66,+'7. Weather Senstive Class'!$W$25,IF($B40=$F$67,+'7. Weather Senstive Class'!$AE$25,IF($B40=$F$68,+'7. Weather Senstive Class'!$AM$25,IF($B40=$F$69,+'8. KW and Non-Weather Sensitive'!$E$25,IF($B40=$F$70,+'8. KW and Non-Weather Sensitive'!$P$25,IF($B40=$F$71,+'8. KW and Non-Weather Sensitive'!$Z$25,IF($B40=$F$72,+'8. KW and Non-Weather Sensitive'!$AJ$25,IF($B40=$F$73,+'8. KW and Non-Weather Sensitive'!$AT$25))))))))))</f>
        <v>0</v>
      </c>
      <c r="J41" s="441">
        <f>IF($B40=$F$64,+'7. Weather Senstive Class'!$G$25,IF($B40=$F$65,+'7. Weather Senstive Class'!$O$25,IF($B40=$F$66,+'7. Weather Senstive Class'!$W$25,IF($B40=$F$67,+'7. Weather Senstive Class'!$AE$25,IF($B40=$F$68,+'7. Weather Senstive Class'!$AM$25,IF($B40=$F$69,+'8. KW and Non-Weather Sensitive'!$E$25,IF($B40=$F$70,+'8. KW and Non-Weather Sensitive'!$P$25,IF($B40=$F$71,+'8. KW and Non-Weather Sensitive'!$Z$25,IF($B40=$F$72,+'8. KW and Non-Weather Sensitive'!$AJ$25,IF($B40=$F$73,+'8. KW and Non-Weather Sensitive'!$AT$25))))))))))</f>
        <v>0</v>
      </c>
      <c r="K41" s="441">
        <f>IF($B40=$F$64,+'7. Weather Senstive Class'!$G$27,IF($B40=$F$65,+'7. Weather Senstive Class'!$O$27,IF($B40=$F$66,+'7. Weather Senstive Class'!$W$27,IF($B40=$F$67,+'7. Weather Senstive Class'!$AE$27,IF($B40=$F$68,+'7. Weather Senstive Class'!$AM$27,IF($B40=$F$69,+'8. KW and Non-Weather Sensitive'!$E$27,IF($B40=$F$70,+'8. KW and Non-Weather Sensitive'!$P$27,IF($B40=$F$71,+'8. KW and Non-Weather Sensitive'!$Z$27,IF($B40=$F$72,+'8. KW and Non-Weather Sensitive'!$AJ$27,IF($B40=$F$73,+'8. KW and Non-Weather Sensitive'!$AT$27))))))))))</f>
        <v>0</v>
      </c>
      <c r="L41" s="441">
        <f>IF($B40=$F$64,+'7. Weather Senstive Class'!$G$28,IF($B40=$F$65,+'7. Weather Senstive Class'!$O$28,IF($B40=$F$66,+'7. Weather Senstive Class'!$W$28,IF($B40=$F$67,+'7. Weather Senstive Class'!$AE$28,IF($B40=$F$68,+'7. Weather Senstive Class'!$AM$28,IF($B40=$F$69,+'8. KW and Non-Weather Sensitive'!$E$28,IF($B40=$F$70,+'8. KW and Non-Weather Sensitive'!$P$28,IF($B40=$F$71,+'8. KW and Non-Weather Sensitive'!$Z$28,IF($B40=$F$72,+'8. KW and Non-Weather Sensitive'!$AJ$28,IF($B40=$F$73,+'8. KW and Non-Weather Sensitive'!$AT$28))))))))))</f>
        <v>0</v>
      </c>
      <c r="M41" s="441">
        <f>IF($B40=$F$64,+'7. Weather Senstive Class'!$G$29,IF($B40=$F$65,+'7. Weather Senstive Class'!$O$29,IF($B40=$F$66,+'7. Weather Senstive Class'!$W$29,IF($B40=$F$67,+'7. Weather Senstive Class'!$AE$29,IF($B40=$F$68,+'7. Weather Senstive Class'!$AM$29,IF($B40=$F$69,+'8. KW and Non-Weather Sensitive'!$E$29,IF($B40=$F$70,+'8. KW and Non-Weather Sensitive'!$P$29,IF($B40=$F$71,+'8. KW and Non-Weather Sensitive'!$Z$29,IF($B40=$F$72,+'8. KW and Non-Weather Sensitive'!$AJ$29,IF($B40=$F$73,+'8. KW and Non-Weather Sensitive'!$AT$29))))))))))</f>
        <v>0</v>
      </c>
      <c r="N41" s="441">
        <f>IF($B40=$F$64,+'7. Weather Senstive Class'!$G$30,IF($B40=$F$65,+'7. Weather Senstive Class'!$O$30,IF($B40=$F$66,+'7. Weather Senstive Class'!$W$30,IF($B40=$F$67,+'7. Weather Senstive Class'!$AE$30,IF($B40=$F$68,+'7. Weather Senstive Class'!$AM$30,IF($B40=$F$69,+'8. KW and Non-Weather Sensitive'!$E$30,IF($B40=$F$70,+'8. KW and Non-Weather Sensitive'!$P$30,IF($B40=$F$71,+'8. KW and Non-Weather Sensitive'!$Z$30,IF($B40=$F$72,+'8. KW and Non-Weather Sensitive'!$AJ$30,IF($B40=$F$73,+'8. KW and Non-Weather Sensitive'!$AT$30))))))))))</f>
        <v>0</v>
      </c>
      <c r="O41" s="444">
        <f>IF($B40=$F$64,+'7. Weather Senstive Class'!$H$42,IF($B40=$F$65,+'7. Weather Senstive Class'!$P$42,IF($B40=$F$66,+'7. Weather Senstive Class'!$X$42,IF($B40=$F$67,+'7. Weather Senstive Class'!$AF$42,IF($B40=$F$68,+'7. Weather Senstive Class'!$AN$42,IF($B40=$F$69,+'8. KW and Non-Weather Sensitive'!$I$49,IF($B40=$F$70,+'8. KW and Non-Weather Sensitive'!$T$49,IF($B40=$F$71,+'8. KW and Non-Weather Sensitive'!$AD$49,IF($B40=$F$72,+'8. KW and Non-Weather Sensitive'!$AN$49,IF($B40=$F$73,+'8. KW and Non-Weather Sensitive'!$AX$49))))))))))</f>
        <v>0</v>
      </c>
      <c r="P41" s="445">
        <f>IF($B40=$F$64,+'7. Weather Senstive Class'!$H$43,IF($B40=$F$65,+'7. Weather Senstive Class'!$P$43,IF($B40=$F$66,+'7. Weather Senstive Class'!$X$43,IF($B40=$F$67,+'7. Weather Senstive Class'!$AF$43,IF($B40=$F$68,+'7. Weather Senstive Class'!$AN$43,IF($B40=$F$69,+'8. KW and Non-Weather Sensitive'!$I$50,IF($B40=$F$70,+'8. KW and Non-Weather Sensitive'!$T$50,IF($B40=$F$71,+'8. KW and Non-Weather Sensitive'!$AD$50,IF($B40=$F$72,+'8. KW and Non-Weather Sensitive'!$AN$50,IF($B40=$F$73,+'8. KW and Non-Weather Sensitive'!$AX$50))))))))))</f>
        <v>0</v>
      </c>
    </row>
    <row r="42" spans="1:16">
      <c r="B42" s="75"/>
      <c r="C42" s="42"/>
      <c r="D42" s="42" t="s">
        <v>37</v>
      </c>
      <c r="E42" s="345">
        <f>IF(B$16=$F$69,+'8. KW and Non-Weather Sensitive'!$F$21,IF($B40=$F$70,+'8. KW and Non-Weather Sensitive'!$Q$21,IF($B40=$F$71,+'8. KW and Non-Weather Sensitive'!$AA$21,IF($B40=$F$72,+'8. KW and Non-Weather Sensitive'!$AK$21,+IF($B40=$F$73,+'8. KW and Non-Weather Sensitive'!$AU$21,0)))))</f>
        <v>0</v>
      </c>
      <c r="F42" s="345">
        <f>IF($B40=$F$69,+'8. KW and Non-Weather Sensitive'!$F$22,IF($B40=$F$70,+'8. KW and Non-Weather Sensitive'!$Q$22,IF($B40=$F$71,+'8. KW and Non-Weather Sensitive'!$AA$22,IF($B40=$F$72,+'8. KW and Non-Weather Sensitive'!$AK$22,+IF($B40=$F$73,+'8. KW and Non-Weather Sensitive'!$AU$22,0)))))</f>
        <v>0</v>
      </c>
      <c r="G42" s="345">
        <f>IF($B40=$F$69,+'8. KW and Non-Weather Sensitive'!$F$23,IF($B40=$F$70,+'8. KW and Non-Weather Sensitive'!$Q$23,IF($B40=$F$71,+'8. KW and Non-Weather Sensitive'!$AA$23,IF($B40=$F$72,+'8. KW and Non-Weather Sensitive'!$AK$23,+IF($B40=$F$73,+'8. KW and Non-Weather Sensitive'!$AU$23,0)))))</f>
        <v>0</v>
      </c>
      <c r="H42" s="345">
        <f>IF($B40=$F$69,+'8. KW and Non-Weather Sensitive'!$F$24,IF($B40=$F$70,+'8. KW and Non-Weather Sensitive'!$Q$24,IF($B40=$F$71,+'8. KW and Non-Weather Sensitive'!$AA$24,IF($B40=$F$72,+'8. KW and Non-Weather Sensitive'!$AK$24,+IF($B40=$F$73,+'8. KW and Non-Weather Sensitive'!$AU$24,0)))))</f>
        <v>0</v>
      </c>
      <c r="I42" s="345">
        <f>IF($B40=$F$69,+'8. KW and Non-Weather Sensitive'!$F$25,IF($B40=$F$70,+'8. KW and Non-Weather Sensitive'!$Q$25,IF($B40=$F$71,+'8. KW and Non-Weather Sensitive'!$AA$25,IF($B40=$F$72,+'8. KW and Non-Weather Sensitive'!$AK$25,+IF($B40=$F$73,+'8. KW and Non-Weather Sensitive'!$AU$25,0)))))</f>
        <v>0</v>
      </c>
      <c r="J42" s="345">
        <f>IF($B40=$F$69,+'8. KW and Non-Weather Sensitive'!$F$26,IF($B40=$F$70,+'8. KW and Non-Weather Sensitive'!$Q$26,IF($B40=$F$71,+'8. KW and Non-Weather Sensitive'!$AA$26,IF($B40=$F$72,+'8. KW and Non-Weather Sensitive'!$AK$26,+IF($B40=$F$73,+'8. KW and Non-Weather Sensitive'!$AU$26,0)))))</f>
        <v>0</v>
      </c>
      <c r="K42" s="345">
        <f>IF($B40=$F$69,+'8. KW and Non-Weather Sensitive'!$F$27,IF($B40=$F$70,+'8. KW and Non-Weather Sensitive'!$Q$27,IF($B40=$F$71,+'8. KW and Non-Weather Sensitive'!$AA$27,IF($B40=$F$72,+'8. KW and Non-Weather Sensitive'!$AK$27,+IF($B40=$F$73,+'8. KW and Non-Weather Sensitive'!$AU$27,0)))))</f>
        <v>0</v>
      </c>
      <c r="L42" s="345">
        <f>IF($B40=$F$69,+'8. KW and Non-Weather Sensitive'!$F$28,IF($B40=$F$70,+'8. KW and Non-Weather Sensitive'!$Q$28,IF($B40=$F$71,+'8. KW and Non-Weather Sensitive'!$AA$28,IF($B40=$F$72,+'8. KW and Non-Weather Sensitive'!$AK$28,+IF($B40=$F$73,+'8. KW and Non-Weather Sensitive'!$AU$28,0)))))</f>
        <v>0</v>
      </c>
      <c r="M42" s="345">
        <f>IF($B40=$F$69,+'8. KW and Non-Weather Sensitive'!$F$29,IF($B40=$F$70,+'8. KW and Non-Weather Sensitive'!$Q$29,IF($B40=$F$71,+'8. KW and Non-Weather Sensitive'!$AA$29,IF($B40=$F$72,+'8. KW and Non-Weather Sensitive'!$AK$29,+IF($B40=$F$73,+'8. KW and Non-Weather Sensitive'!$AU$29,0)))))</f>
        <v>0</v>
      </c>
      <c r="N42" s="345">
        <f>IF($B40=$F$69,+'8. KW and Non-Weather Sensitive'!$F$30,IF($B40=$F$70,+'8. KW and Non-Weather Sensitive'!$Q$30,IF($B40=$F$71,+'8. KW and Non-Weather Sensitive'!$AA$30,IF($B40=$F$72,+'8. KW and Non-Weather Sensitive'!$AK$30,+IF($B40=$F$73,+'8. KW and Non-Weather Sensitive'!$AU$30,0)))))</f>
        <v>0</v>
      </c>
      <c r="O42" s="345">
        <f>IF($B40=$F$69,+'8. KW and Non-Weather Sensitive'!$J$49,IF($B40=$F$70,+'8. KW and Non-Weather Sensitive'!$U$49,IF($B40=$F$71,+'8. KW and Non-Weather Sensitive'!$AE$49,IF($B40=$F$72,+'8. KW and Non-Weather Sensitive'!$AO$49,+IF($B40=$F$73,+'8. KW and Non-Weather Sensitive'!$AY$49,0)))))</f>
        <v>0</v>
      </c>
      <c r="P42" s="443">
        <f>IF($B40=$F$69,+'8. KW and Non-Weather Sensitive'!$J$50,IF($B40=$F$70,+'8. KW and Non-Weather Sensitive'!$U$50,IF($B40=$F$71,+'8. KW and Non-Weather Sensitive'!$AE$50,IF($B40=$F$72,+'8. KW and Non-Weather Sensitive'!$AO$50,+IF($B40=$F$73,+'8. KW and Non-Weather Sensitive'!$AY$50,0)))))</f>
        <v>0</v>
      </c>
    </row>
    <row r="43" spans="1:16" hidden="1">
      <c r="B43" s="162">
        <f>'2. Customer Classes'!B21</f>
        <v>0</v>
      </c>
      <c r="C43" s="645"/>
      <c r="D43" s="42" t="s">
        <v>128</v>
      </c>
      <c r="E43" s="348"/>
      <c r="F43" s="348"/>
      <c r="G43" s="348"/>
      <c r="H43" s="348"/>
      <c r="I43" s="348"/>
      <c r="J43" s="348"/>
      <c r="K43" s="348"/>
      <c r="L43" s="348"/>
      <c r="M43" s="348"/>
      <c r="N43" s="348"/>
      <c r="O43" s="349"/>
      <c r="P43" s="350"/>
    </row>
    <row r="44" spans="1:16" hidden="1">
      <c r="B44" s="160"/>
      <c r="C44" s="646"/>
      <c r="D44" s="42" t="s">
        <v>36</v>
      </c>
      <c r="E44" s="348"/>
      <c r="F44" s="348"/>
      <c r="G44" s="348"/>
      <c r="H44" s="348"/>
      <c r="I44" s="348"/>
      <c r="J44" s="348"/>
      <c r="K44" s="348"/>
      <c r="L44" s="348"/>
      <c r="M44" s="348"/>
      <c r="N44" s="348"/>
      <c r="O44" s="349"/>
      <c r="P44" s="350"/>
    </row>
    <row r="45" spans="1:16" hidden="1">
      <c r="B45" s="160"/>
      <c r="C45" s="646"/>
      <c r="D45" s="42" t="s">
        <v>37</v>
      </c>
      <c r="E45" s="348"/>
      <c r="F45" s="348"/>
      <c r="G45" s="348"/>
      <c r="H45" s="348"/>
      <c r="I45" s="348"/>
      <c r="J45" s="348"/>
      <c r="K45" s="348"/>
      <c r="L45" s="348"/>
      <c r="M45" s="348"/>
      <c r="N45" s="348"/>
      <c r="O45" s="349"/>
      <c r="P45" s="350"/>
    </row>
    <row r="46" spans="1:16" hidden="1">
      <c r="B46" s="160"/>
      <c r="C46" s="646"/>
      <c r="D46" s="42"/>
      <c r="E46" s="348"/>
      <c r="F46" s="348"/>
      <c r="G46" s="348"/>
      <c r="H46" s="348"/>
      <c r="I46" s="348"/>
      <c r="J46" s="348"/>
      <c r="K46" s="348"/>
      <c r="L46" s="348"/>
      <c r="M46" s="348"/>
      <c r="N46" s="348"/>
      <c r="O46" s="349"/>
      <c r="P46" s="350"/>
    </row>
    <row r="47" spans="1:16" hidden="1">
      <c r="B47" s="162" t="str">
        <f>'2. Customer Classes'!B22</f>
        <v>other</v>
      </c>
      <c r="C47" s="645"/>
      <c r="D47" s="42" t="s">
        <v>128</v>
      </c>
      <c r="E47" s="348"/>
      <c r="F47" s="348"/>
      <c r="G47" s="348"/>
      <c r="H47" s="348"/>
      <c r="I47" s="348"/>
      <c r="J47" s="348"/>
      <c r="K47" s="348"/>
      <c r="L47" s="348"/>
      <c r="M47" s="348"/>
      <c r="N47" s="348"/>
      <c r="O47" s="349"/>
      <c r="P47" s="350"/>
    </row>
    <row r="48" spans="1:16" hidden="1">
      <c r="B48" s="160"/>
      <c r="C48" s="646"/>
      <c r="D48" s="42" t="s">
        <v>36</v>
      </c>
      <c r="E48" s="348"/>
      <c r="F48" s="348"/>
      <c r="G48" s="348"/>
      <c r="H48" s="348"/>
      <c r="I48" s="348"/>
      <c r="J48" s="348"/>
      <c r="K48" s="348"/>
      <c r="L48" s="348"/>
      <c r="M48" s="348"/>
      <c r="N48" s="348"/>
      <c r="O48" s="349"/>
      <c r="P48" s="350"/>
    </row>
    <row r="49" spans="2:16" hidden="1">
      <c r="B49" s="160"/>
      <c r="C49" s="646"/>
      <c r="D49" s="42" t="s">
        <v>37</v>
      </c>
      <c r="E49" s="348"/>
      <c r="F49" s="348"/>
      <c r="G49" s="348"/>
      <c r="H49" s="348"/>
      <c r="I49" s="348"/>
      <c r="J49" s="348"/>
      <c r="K49" s="348"/>
      <c r="L49" s="348"/>
      <c r="M49" s="348"/>
      <c r="N49" s="348"/>
      <c r="O49" s="349"/>
      <c r="P49" s="350"/>
    </row>
    <row r="50" spans="2:16" hidden="1">
      <c r="B50" s="160"/>
      <c r="C50" s="646"/>
      <c r="D50" s="42"/>
      <c r="E50" s="348"/>
      <c r="F50" s="348"/>
      <c r="G50" s="348"/>
      <c r="H50" s="348"/>
      <c r="I50" s="348"/>
      <c r="J50" s="348"/>
      <c r="K50" s="348"/>
      <c r="L50" s="348"/>
      <c r="M50" s="348"/>
      <c r="N50" s="348"/>
      <c r="O50" s="349"/>
      <c r="P50" s="350"/>
    </row>
    <row r="51" spans="2:16" hidden="1">
      <c r="B51" s="162" t="str">
        <f>'2. Customer Classes'!B23</f>
        <v>other</v>
      </c>
      <c r="C51" s="645"/>
      <c r="D51" s="42" t="s">
        <v>128</v>
      </c>
      <c r="E51" s="348"/>
      <c r="F51" s="348"/>
      <c r="G51" s="348"/>
      <c r="H51" s="348"/>
      <c r="I51" s="348"/>
      <c r="J51" s="348"/>
      <c r="K51" s="348"/>
      <c r="L51" s="348"/>
      <c r="M51" s="348"/>
      <c r="N51" s="348"/>
      <c r="O51" s="349"/>
      <c r="P51" s="350"/>
    </row>
    <row r="52" spans="2:16" hidden="1">
      <c r="B52" s="160"/>
      <c r="C52" s="646"/>
      <c r="D52" s="42" t="s">
        <v>36</v>
      </c>
      <c r="E52" s="345"/>
      <c r="F52" s="345"/>
      <c r="G52" s="345"/>
      <c r="H52" s="345"/>
      <c r="I52" s="345"/>
      <c r="J52" s="345"/>
      <c r="K52" s="345"/>
      <c r="L52" s="345"/>
      <c r="M52" s="345"/>
      <c r="N52" s="345"/>
      <c r="O52" s="346"/>
      <c r="P52" s="347"/>
    </row>
    <row r="53" spans="2:16" hidden="1">
      <c r="B53" s="160"/>
      <c r="C53" s="646"/>
      <c r="D53" s="42" t="s">
        <v>37</v>
      </c>
      <c r="E53" s="348"/>
      <c r="F53" s="348"/>
      <c r="G53" s="348"/>
      <c r="H53" s="348"/>
      <c r="I53" s="348"/>
      <c r="J53" s="348"/>
      <c r="K53" s="348"/>
      <c r="L53" s="348"/>
      <c r="M53" s="348"/>
      <c r="N53" s="348"/>
      <c r="O53" s="349"/>
      <c r="P53" s="350"/>
    </row>
    <row r="54" spans="2:16" ht="13.5" thickBot="1">
      <c r="B54" s="76"/>
      <c r="C54" s="647"/>
      <c r="D54" s="77"/>
      <c r="E54" s="409"/>
      <c r="F54" s="409"/>
      <c r="G54" s="409"/>
      <c r="H54" s="409"/>
      <c r="I54" s="409"/>
      <c r="J54" s="409"/>
      <c r="K54" s="409"/>
      <c r="L54" s="409"/>
      <c r="M54" s="409"/>
      <c r="N54" s="409"/>
      <c r="O54" s="410"/>
      <c r="P54" s="411"/>
    </row>
    <row r="55" spans="2:16">
      <c r="B55" s="403" t="s">
        <v>16</v>
      </c>
      <c r="C55" s="404"/>
      <c r="D55" s="405" t="s">
        <v>128</v>
      </c>
      <c r="E55" s="406">
        <f t="shared" ref="E55:P55" si="0">E16+E20+E24+E28+E32+E36+E40+E43+E47+E51</f>
        <v>5444</v>
      </c>
      <c r="F55" s="406">
        <f t="shared" si="0"/>
        <v>5459.5</v>
      </c>
      <c r="G55" s="406">
        <f t="shared" si="0"/>
        <v>5481</v>
      </c>
      <c r="H55" s="406">
        <f t="shared" si="0"/>
        <v>5503.5</v>
      </c>
      <c r="I55" s="406">
        <f t="shared" si="0"/>
        <v>5516</v>
      </c>
      <c r="J55" s="406">
        <f t="shared" si="0"/>
        <v>5537.5</v>
      </c>
      <c r="K55" s="406">
        <f t="shared" si="0"/>
        <v>5552</v>
      </c>
      <c r="L55" s="406">
        <f t="shared" si="0"/>
        <v>5601.5</v>
      </c>
      <c r="M55" s="406">
        <f t="shared" si="0"/>
        <v>5618.5</v>
      </c>
      <c r="N55" s="406">
        <f t="shared" si="0"/>
        <v>5609.5</v>
      </c>
      <c r="O55" s="406">
        <f t="shared" si="0"/>
        <v>5637</v>
      </c>
      <c r="P55" s="407">
        <f t="shared" si="0"/>
        <v>5656</v>
      </c>
    </row>
    <row r="56" spans="2:16">
      <c r="B56" s="172"/>
      <c r="C56" s="343"/>
      <c r="D56" s="173" t="s">
        <v>36</v>
      </c>
      <c r="E56" s="353">
        <f t="shared" ref="E56:O56" si="1">E17+E21+E25+E29+E33+E37+E41+E44+E48+E52</f>
        <v>86251950.929348975</v>
      </c>
      <c r="F56" s="351">
        <f t="shared" si="1"/>
        <v>85917687.497894406</v>
      </c>
      <c r="G56" s="351">
        <f t="shared" si="1"/>
        <v>86465898.757756919</v>
      </c>
      <c r="H56" s="351">
        <f t="shared" si="1"/>
        <v>86325390.8978578</v>
      </c>
      <c r="I56" s="351">
        <f t="shared" si="1"/>
        <v>85142481.400581777</v>
      </c>
      <c r="J56" s="351">
        <f t="shared" si="1"/>
        <v>87271948.298199669</v>
      </c>
      <c r="K56" s="351">
        <f t="shared" si="1"/>
        <v>86269452.904994532</v>
      </c>
      <c r="L56" s="351">
        <f t="shared" si="1"/>
        <v>85773011.370120063</v>
      </c>
      <c r="M56" s="351">
        <f t="shared" si="1"/>
        <v>84166384.429181844</v>
      </c>
      <c r="N56" s="351">
        <f t="shared" si="1"/>
        <v>85306222.727151141</v>
      </c>
      <c r="O56" s="351">
        <f t="shared" si="1"/>
        <v>87507608.737097219</v>
      </c>
      <c r="P56" s="352">
        <f>P17+P21+P25+P29+P33+P37+P41+P44+P48+P52</f>
        <v>87541331.931979835</v>
      </c>
    </row>
    <row r="57" spans="2:16" ht="13.5" thickBot="1">
      <c r="B57" s="174"/>
      <c r="C57" s="344"/>
      <c r="D57" s="175" t="s">
        <v>37</v>
      </c>
      <c r="E57" s="354">
        <f t="shared" ref="E57:P57" si="2">E18+E22+E26+E30+E34+E38+E42+E45+E49+E53</f>
        <v>118916.89999999998</v>
      </c>
      <c r="F57" s="354">
        <f t="shared" si="2"/>
        <v>117290</v>
      </c>
      <c r="G57" s="354">
        <f t="shared" si="2"/>
        <v>117039.59999999999</v>
      </c>
      <c r="H57" s="354">
        <f t="shared" si="2"/>
        <v>119485.00000000001</v>
      </c>
      <c r="I57" s="354">
        <f t="shared" si="2"/>
        <v>117410.00000000001</v>
      </c>
      <c r="J57" s="354">
        <f t="shared" si="2"/>
        <v>110432.2</v>
      </c>
      <c r="K57" s="354">
        <f t="shared" si="2"/>
        <v>99508.7</v>
      </c>
      <c r="L57" s="354">
        <f t="shared" si="2"/>
        <v>94729.930000000008</v>
      </c>
      <c r="M57" s="354">
        <f t="shared" si="2"/>
        <v>100962.98</v>
      </c>
      <c r="N57" s="354">
        <f t="shared" si="2"/>
        <v>103167.8</v>
      </c>
      <c r="O57" s="354">
        <f t="shared" si="2"/>
        <v>105598.57329852718</v>
      </c>
      <c r="P57" s="355">
        <f t="shared" si="2"/>
        <v>105598.57340538748</v>
      </c>
    </row>
    <row r="63" spans="2:16">
      <c r="B63" s="1013" t="s">
        <v>189</v>
      </c>
      <c r="C63" s="1014"/>
      <c r="D63" s="1014"/>
      <c r="E63" s="1014"/>
      <c r="F63" s="1014"/>
      <c r="G63" s="1014"/>
      <c r="H63" s="1015"/>
    </row>
    <row r="64" spans="2:16">
      <c r="B64" s="302" t="str">
        <f>+'7. Weather Senstive Class'!B19</f>
        <v>Residential</v>
      </c>
      <c r="C64" s="304"/>
      <c r="D64" s="303" t="s">
        <v>188</v>
      </c>
      <c r="E64" s="304" t="s">
        <v>187</v>
      </c>
      <c r="F64" s="304" t="str">
        <f t="shared" ref="F64:F72" si="3">+CONCATENATE(B64,D64,E64)</f>
        <v>Residential-WN</v>
      </c>
      <c r="G64" s="305"/>
      <c r="H64" s="306"/>
    </row>
    <row r="65" spans="2:8">
      <c r="B65" s="307" t="str">
        <f>+'7. Weather Senstive Class'!J19</f>
        <v>General Service &lt; 50 kW</v>
      </c>
      <c r="C65" s="309"/>
      <c r="D65" s="308" t="s">
        <v>188</v>
      </c>
      <c r="E65" s="309" t="s">
        <v>187</v>
      </c>
      <c r="F65" s="309" t="str">
        <f t="shared" si="3"/>
        <v>General Service &lt; 50 kW-WN</v>
      </c>
      <c r="G65" s="310"/>
      <c r="H65" s="311"/>
    </row>
    <row r="66" spans="2:8">
      <c r="B66" s="307">
        <f>+'7. Weather Senstive Class'!R19</f>
        <v>0</v>
      </c>
      <c r="C66" s="309"/>
      <c r="D66" s="308" t="s">
        <v>188</v>
      </c>
      <c r="E66" s="309" t="s">
        <v>187</v>
      </c>
      <c r="F66" s="309" t="str">
        <f t="shared" si="3"/>
        <v>0-WN</v>
      </c>
      <c r="G66" s="310"/>
      <c r="H66" s="311"/>
    </row>
    <row r="67" spans="2:8">
      <c r="B67" s="307">
        <f>+'7. Weather Senstive Class'!Z19</f>
        <v>0</v>
      </c>
      <c r="C67" s="309"/>
      <c r="D67" s="308" t="s">
        <v>188</v>
      </c>
      <c r="E67" s="309" t="s">
        <v>187</v>
      </c>
      <c r="F67" s="309" t="str">
        <f t="shared" si="3"/>
        <v>0-WN</v>
      </c>
      <c r="G67" s="310"/>
      <c r="H67" s="311"/>
    </row>
    <row r="68" spans="2:8">
      <c r="B68" s="307">
        <f>+'7. Weather Senstive Class'!AH19</f>
        <v>0</v>
      </c>
      <c r="C68" s="309"/>
      <c r="D68" s="308" t="s">
        <v>188</v>
      </c>
      <c r="E68" s="309" t="s">
        <v>187</v>
      </c>
      <c r="F68" s="309" t="str">
        <f t="shared" si="3"/>
        <v>0-WN</v>
      </c>
      <c r="G68" s="310"/>
      <c r="H68" s="311"/>
    </row>
    <row r="69" spans="2:8">
      <c r="B69" s="307" t="str">
        <f>+'8. KW and Non-Weather Sensitive'!B18</f>
        <v>General Service &gt; 50 kW - 4999 kW</v>
      </c>
      <c r="C69" s="309"/>
      <c r="D69" s="308" t="s">
        <v>188</v>
      </c>
      <c r="E69" s="309" t="s">
        <v>234</v>
      </c>
      <c r="F69" s="309" t="str">
        <f t="shared" si="3"/>
        <v>General Service &gt; 50 kW - 4999 kW-Non-WN/kW</v>
      </c>
      <c r="G69" s="310"/>
      <c r="H69" s="311"/>
    </row>
    <row r="70" spans="2:8">
      <c r="B70" s="307" t="str">
        <f>+'8. KW and Non-Weather Sensitive'!M18</f>
        <v>Streetlighting</v>
      </c>
      <c r="C70" s="309"/>
      <c r="D70" s="308" t="s">
        <v>188</v>
      </c>
      <c r="E70" s="309" t="s">
        <v>234</v>
      </c>
      <c r="F70" s="309" t="str">
        <f t="shared" si="3"/>
        <v>Streetlighting-Non-WN/kW</v>
      </c>
      <c r="G70" s="310"/>
      <c r="H70" s="311"/>
    </row>
    <row r="71" spans="2:8">
      <c r="B71" s="307" t="str">
        <f>+'8. KW and Non-Weather Sensitive'!W18</f>
        <v>Unmetered Scattered Load</v>
      </c>
      <c r="C71" s="309"/>
      <c r="D71" s="308" t="s">
        <v>188</v>
      </c>
      <c r="E71" s="309" t="s">
        <v>234</v>
      </c>
      <c r="F71" s="309" t="str">
        <f t="shared" si="3"/>
        <v>Unmetered Scattered Load-Non-WN/kW</v>
      </c>
      <c r="G71" s="310"/>
      <c r="H71" s="311"/>
    </row>
    <row r="72" spans="2:8">
      <c r="B72" s="307">
        <f>+'8. KW and Non-Weather Sensitive'!AG18</f>
        <v>0</v>
      </c>
      <c r="C72" s="309"/>
      <c r="D72" s="308" t="s">
        <v>188</v>
      </c>
      <c r="E72" s="309" t="s">
        <v>234</v>
      </c>
      <c r="F72" s="309" t="str">
        <f t="shared" si="3"/>
        <v>0-Non-WN/kW</v>
      </c>
      <c r="G72" s="310"/>
      <c r="H72" s="311"/>
    </row>
    <row r="73" spans="2:8">
      <c r="B73" s="312">
        <f>+'8. KW and Non-Weather Sensitive'!AQ18</f>
        <v>0</v>
      </c>
      <c r="C73" s="314"/>
      <c r="D73" s="313" t="s">
        <v>188</v>
      </c>
      <c r="E73" s="314" t="s">
        <v>234</v>
      </c>
      <c r="F73" s="314" t="str">
        <f t="shared" ref="F73" si="4">+CONCATENATE(B73,D73,E73)</f>
        <v>0-Non-WN/kW</v>
      </c>
      <c r="G73" s="315"/>
      <c r="H73" s="316"/>
    </row>
  </sheetData>
  <mergeCells count="1">
    <mergeCell ref="B63:H63"/>
  </mergeCells>
  <dataValidations count="1">
    <dataValidation type="list" allowBlank="1" showInputMessage="1" showErrorMessage="1" sqref="B16 B40 B20 B24 B28 B32 B36" xr:uid="{00000000-0002-0000-0900-000000000000}">
      <formula1>$F$64:$F$73</formula1>
    </dataValidation>
  </dataValidations>
  <pageMargins left="0.70866141732283472" right="0.70866141732283472" top="0.74803149606299213" bottom="0.74803149606299213" header="0.31496062992125984" footer="0.31496062992125984"/>
  <pageSetup scale="42" orientation="landscape" horizontalDpi="4294967293" verticalDpi="4294967293" r:id="rId1"/>
  <colBreaks count="1" manualBreakCount="1">
    <brk id="17"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15"/>
  <sheetViews>
    <sheetView showGridLines="0" workbookViewId="0">
      <selection activeCell="F29" sqref="F29"/>
    </sheetView>
  </sheetViews>
  <sheetFormatPr defaultColWidth="17.5" defaultRowHeight="12.75"/>
  <cols>
    <col min="1" max="1" width="13.6640625" style="88" customWidth="1"/>
    <col min="2" max="2" width="30.83203125" style="88" bestFit="1" customWidth="1"/>
    <col min="3" max="9" width="19.83203125" style="88" customWidth="1"/>
    <col min="10" max="10" width="17" style="88" bestFit="1" customWidth="1"/>
    <col min="11" max="13" width="17.5" style="88"/>
    <col min="14" max="14" width="21" style="88" bestFit="1" customWidth="1"/>
    <col min="15" max="16384" width="17.5" style="88"/>
  </cols>
  <sheetData>
    <row r="1" spans="1:13">
      <c r="A1" s="626" t="s">
        <v>255</v>
      </c>
    </row>
    <row r="10" spans="1:13" s="87" customFormat="1">
      <c r="H10" s="89"/>
    </row>
    <row r="11" spans="1:13" ht="23.25">
      <c r="B11" s="1030" t="s">
        <v>207</v>
      </c>
      <c r="C11" s="1030"/>
      <c r="D11" s="1030"/>
      <c r="E11" s="1030"/>
      <c r="F11" s="1030"/>
      <c r="G11" s="1030"/>
      <c r="H11" s="1030"/>
      <c r="I11" s="1030"/>
    </row>
    <row r="12" spans="1:13" ht="14.25">
      <c r="B12" s="478"/>
      <c r="C12" s="478"/>
      <c r="D12" s="478"/>
      <c r="E12" s="478"/>
      <c r="F12" s="478"/>
      <c r="G12" s="478"/>
      <c r="H12" s="478"/>
      <c r="I12" s="478"/>
    </row>
    <row r="13" spans="1:13" ht="75" customHeight="1">
      <c r="B13" s="1016" t="s">
        <v>222</v>
      </c>
      <c r="C13" s="1016"/>
      <c r="D13" s="1016"/>
      <c r="E13" s="1016"/>
      <c r="F13" s="1016"/>
      <c r="G13" s="1016"/>
      <c r="H13" s="1016"/>
      <c r="I13" s="1016"/>
      <c r="J13" s="90"/>
      <c r="K13" s="91"/>
      <c r="L13" s="91"/>
      <c r="M13" s="91"/>
    </row>
    <row r="14" spans="1:13" ht="14.25">
      <c r="B14" s="478"/>
      <c r="C14" s="478"/>
      <c r="D14" s="478"/>
      <c r="E14" s="478"/>
      <c r="F14" s="478"/>
      <c r="G14" s="478"/>
      <c r="H14" s="478"/>
      <c r="I14" s="478"/>
      <c r="K14" s="91"/>
      <c r="L14" s="91"/>
      <c r="M14" s="91"/>
    </row>
    <row r="15" spans="1:13" ht="23.25">
      <c r="B15" s="1017" t="s">
        <v>208</v>
      </c>
      <c r="C15" s="1017"/>
      <c r="D15" s="1017"/>
      <c r="E15" s="1017"/>
      <c r="F15" s="1017"/>
      <c r="G15" s="1017"/>
      <c r="H15" s="1017"/>
      <c r="I15" s="1017"/>
    </row>
    <row r="16" spans="1:13" ht="15" thickBot="1">
      <c r="B16" s="479"/>
      <c r="C16" s="480"/>
      <c r="D16" s="480"/>
      <c r="E16" s="480"/>
      <c r="F16" s="480"/>
      <c r="G16" s="480"/>
      <c r="H16" s="478"/>
      <c r="I16" s="478"/>
    </row>
    <row r="17" spans="2:9" ht="15">
      <c r="B17" s="1024" t="s">
        <v>49</v>
      </c>
      <c r="C17" s="1025"/>
      <c r="D17" s="1025"/>
      <c r="E17" s="1025"/>
      <c r="F17" s="1025"/>
      <c r="G17" s="1026"/>
      <c r="H17" s="478"/>
      <c r="I17" s="478"/>
    </row>
    <row r="18" spans="2:9" ht="12.75" customHeight="1">
      <c r="B18" s="1021"/>
      <c r="C18" s="1022"/>
      <c r="D18" s="1022"/>
      <c r="E18" s="1022"/>
      <c r="F18" s="1022"/>
      <c r="G18" s="1023"/>
      <c r="H18" s="478"/>
      <c r="I18" s="478"/>
    </row>
    <row r="19" spans="2:9" ht="15">
      <c r="B19" s="481"/>
      <c r="C19" s="482">
        <v>2011</v>
      </c>
      <c r="D19" s="482">
        <v>2012</v>
      </c>
      <c r="E19" s="482">
        <v>2013</v>
      </c>
      <c r="F19" s="482">
        <v>2014</v>
      </c>
      <c r="G19" s="483" t="s">
        <v>16</v>
      </c>
      <c r="H19" s="478"/>
      <c r="I19" s="478"/>
    </row>
    <row r="20" spans="2:9" ht="14.25">
      <c r="B20" s="484" t="s">
        <v>50</v>
      </c>
      <c r="C20" s="619" t="e">
        <f>C26/$G$30</f>
        <v>#DIV/0!</v>
      </c>
      <c r="D20" s="485" t="e">
        <f>D26/$G$30</f>
        <v>#DIV/0!</v>
      </c>
      <c r="E20" s="485" t="e">
        <f>E26/$G$30</f>
        <v>#DIV/0!</v>
      </c>
      <c r="F20" s="486" t="e">
        <f>F26/$G$30</f>
        <v>#DIV/0!</v>
      </c>
      <c r="G20" s="487" t="e">
        <f>SUM(C20:F20)</f>
        <v>#DIV/0!</v>
      </c>
      <c r="H20" s="478"/>
      <c r="I20" s="478"/>
    </row>
    <row r="21" spans="2:9" ht="14.25">
      <c r="B21" s="484" t="s">
        <v>51</v>
      </c>
      <c r="C21" s="478"/>
      <c r="D21" s="485" t="e">
        <f>D27/$G$30</f>
        <v>#DIV/0!</v>
      </c>
      <c r="E21" s="485" t="e">
        <f>E27/$G$30</f>
        <v>#DIV/0!</v>
      </c>
      <c r="F21" s="486" t="e">
        <f>F27/$G$30</f>
        <v>#DIV/0!</v>
      </c>
      <c r="G21" s="487" t="e">
        <f t="shared" ref="G21:G23" si="0">SUM(C21:F21)</f>
        <v>#DIV/0!</v>
      </c>
      <c r="H21" s="478"/>
      <c r="I21" s="478"/>
    </row>
    <row r="22" spans="2:9" ht="14.25">
      <c r="B22" s="484" t="s">
        <v>52</v>
      </c>
      <c r="C22" s="478"/>
      <c r="D22" s="478"/>
      <c r="E22" s="485" t="e">
        <f>E28/$G$30</f>
        <v>#DIV/0!</v>
      </c>
      <c r="F22" s="486" t="e">
        <f>F28/$G$30</f>
        <v>#DIV/0!</v>
      </c>
      <c r="G22" s="487" t="e">
        <f t="shared" si="0"/>
        <v>#DIV/0!</v>
      </c>
      <c r="H22" s="478"/>
      <c r="I22" s="478"/>
    </row>
    <row r="23" spans="2:9" ht="15" thickBot="1">
      <c r="B23" s="488" t="s">
        <v>53</v>
      </c>
      <c r="C23" s="489"/>
      <c r="D23" s="489"/>
      <c r="E23" s="489"/>
      <c r="F23" s="490" t="e">
        <f>F29/$G$30</f>
        <v>#DIV/0!</v>
      </c>
      <c r="G23" s="491" t="e">
        <f t="shared" si="0"/>
        <v>#DIV/0!</v>
      </c>
      <c r="H23" s="478"/>
      <c r="I23" s="478"/>
    </row>
    <row r="24" spans="2:9" ht="12.75" customHeight="1" thickTop="1">
      <c r="B24" s="492" t="s">
        <v>54</v>
      </c>
      <c r="C24" s="493" t="e">
        <f>SUM(C20:C23)</f>
        <v>#DIV/0!</v>
      </c>
      <c r="D24" s="493" t="e">
        <f t="shared" ref="D24:F24" si="1">SUM(D20:D23)</f>
        <v>#DIV/0!</v>
      </c>
      <c r="E24" s="493" t="e">
        <f t="shared" si="1"/>
        <v>#DIV/0!</v>
      </c>
      <c r="F24" s="494" t="e">
        <f t="shared" si="1"/>
        <v>#DIV/0!</v>
      </c>
      <c r="G24" s="495" t="e">
        <f>SUM(C24:F24)</f>
        <v>#DIV/0!</v>
      </c>
      <c r="H24" s="478"/>
      <c r="I24" s="478"/>
    </row>
    <row r="25" spans="2:9" ht="12.75" customHeight="1">
      <c r="B25" s="1027" t="s">
        <v>36</v>
      </c>
      <c r="C25" s="1028"/>
      <c r="D25" s="1028"/>
      <c r="E25" s="1028"/>
      <c r="F25" s="1028"/>
      <c r="G25" s="1029"/>
      <c r="H25" s="478"/>
      <c r="I25" s="478"/>
    </row>
    <row r="26" spans="2:9" ht="14.25">
      <c r="B26" s="484" t="s">
        <v>50</v>
      </c>
      <c r="C26" s="496"/>
      <c r="D26" s="496"/>
      <c r="E26" s="496"/>
      <c r="F26" s="497"/>
      <c r="G26" s="498">
        <f>SUM(C26:F26)</f>
        <v>0</v>
      </c>
      <c r="H26" s="478"/>
      <c r="I26" s="478"/>
    </row>
    <row r="27" spans="2:9" ht="14.25">
      <c r="B27" s="484" t="s">
        <v>51</v>
      </c>
      <c r="C27" s="499"/>
      <c r="D27" s="500"/>
      <c r="E27" s="500"/>
      <c r="F27" s="501"/>
      <c r="G27" s="498">
        <f t="shared" ref="G27:G29" si="2">SUM(C27:F27)</f>
        <v>0</v>
      </c>
      <c r="H27" s="478"/>
      <c r="I27" s="478"/>
    </row>
    <row r="28" spans="2:9" ht="14.25">
      <c r="B28" s="484" t="s">
        <v>52</v>
      </c>
      <c r="C28" s="499"/>
      <c r="D28" s="499"/>
      <c r="E28" s="500"/>
      <c r="F28" s="501"/>
      <c r="G28" s="498">
        <f t="shared" si="2"/>
        <v>0</v>
      </c>
      <c r="H28" s="478"/>
      <c r="I28" s="478"/>
    </row>
    <row r="29" spans="2:9" ht="15" thickBot="1">
      <c r="B29" s="488" t="s">
        <v>53</v>
      </c>
      <c r="C29" s="502"/>
      <c r="D29" s="502"/>
      <c r="E29" s="502"/>
      <c r="F29" s="503"/>
      <c r="G29" s="498">
        <f t="shared" si="2"/>
        <v>0</v>
      </c>
      <c r="H29" s="478"/>
      <c r="I29" s="478"/>
    </row>
    <row r="30" spans="2:9" ht="16.5" thickTop="1" thickBot="1">
      <c r="B30" s="505" t="s">
        <v>54</v>
      </c>
      <c r="C30" s="506">
        <f>SUM(C26:C29)</f>
        <v>0</v>
      </c>
      <c r="D30" s="506">
        <f t="shared" ref="D30:F30" si="3">SUM(D26:D29)</f>
        <v>0</v>
      </c>
      <c r="E30" s="506">
        <f t="shared" si="3"/>
        <v>0</v>
      </c>
      <c r="F30" s="507">
        <f t="shared" si="3"/>
        <v>0</v>
      </c>
      <c r="G30" s="508">
        <f>SUM(G26:G29)</f>
        <v>0</v>
      </c>
      <c r="H30" s="478"/>
      <c r="I30" s="478"/>
    </row>
    <row r="31" spans="2:9" ht="15">
      <c r="B31" s="509"/>
      <c r="C31" s="510"/>
      <c r="D31" s="510"/>
      <c r="E31" s="510"/>
      <c r="F31" s="510"/>
      <c r="G31" s="510"/>
      <c r="H31" s="478"/>
      <c r="I31" s="478"/>
    </row>
    <row r="32" spans="2:9" ht="23.25">
      <c r="B32" s="1017" t="s">
        <v>192</v>
      </c>
      <c r="C32" s="1017"/>
      <c r="D32" s="1017"/>
      <c r="E32" s="1017"/>
      <c r="F32" s="1017"/>
      <c r="G32" s="1017"/>
      <c r="H32" s="478"/>
      <c r="I32" s="478"/>
    </row>
    <row r="33" spans="2:9" ht="15">
      <c r="B33" s="509"/>
      <c r="C33" s="510"/>
      <c r="D33" s="510"/>
      <c r="E33" s="510"/>
      <c r="F33" s="510"/>
      <c r="G33" s="510"/>
      <c r="H33" s="478"/>
      <c r="I33" s="478"/>
    </row>
    <row r="34" spans="2:9" ht="86.25" customHeight="1">
      <c r="B34" s="1016" t="s">
        <v>193</v>
      </c>
      <c r="C34" s="1016"/>
      <c r="D34" s="1016"/>
      <c r="E34" s="1016"/>
      <c r="F34" s="1016"/>
      <c r="G34" s="1016"/>
      <c r="H34" s="1016"/>
      <c r="I34" s="1016"/>
    </row>
    <row r="35" spans="2:9" ht="15.75" thickBot="1">
      <c r="B35" s="509"/>
      <c r="C35" s="510"/>
      <c r="D35" s="510"/>
      <c r="E35" s="510"/>
      <c r="F35" s="510"/>
      <c r="G35" s="510"/>
      <c r="H35" s="478"/>
      <c r="I35" s="478"/>
    </row>
    <row r="36" spans="2:9" ht="15">
      <c r="B36" s="1018" t="s">
        <v>194</v>
      </c>
      <c r="C36" s="1019"/>
      <c r="D36" s="1019"/>
      <c r="E36" s="1019"/>
      <c r="F36" s="1019"/>
      <c r="G36" s="1019"/>
      <c r="H36" s="1019"/>
      <c r="I36" s="1020"/>
    </row>
    <row r="37" spans="2:9" ht="14.25">
      <c r="B37" s="1046"/>
      <c r="C37" s="1047"/>
      <c r="D37" s="1047"/>
      <c r="E37" s="1047"/>
      <c r="F37" s="1047"/>
      <c r="G37" s="1047"/>
      <c r="H37" s="1047"/>
      <c r="I37" s="1048"/>
    </row>
    <row r="38" spans="2:9" ht="15">
      <c r="B38" s="511"/>
      <c r="C38" s="512">
        <v>2015</v>
      </c>
      <c r="D38" s="512">
        <v>2016</v>
      </c>
      <c r="E38" s="512">
        <v>2017</v>
      </c>
      <c r="F38" s="512">
        <v>2018</v>
      </c>
      <c r="G38" s="512">
        <v>2019</v>
      </c>
      <c r="H38" s="512">
        <v>2020</v>
      </c>
      <c r="I38" s="513" t="s">
        <v>16</v>
      </c>
    </row>
    <row r="39" spans="2:9" ht="15" customHeight="1">
      <c r="B39" s="1032" t="s">
        <v>195</v>
      </c>
      <c r="C39" s="1033"/>
      <c r="D39" s="1033"/>
      <c r="E39" s="1033"/>
      <c r="F39" s="1033"/>
      <c r="G39" s="1033"/>
      <c r="H39" s="1033"/>
      <c r="I39" s="1034"/>
    </row>
    <row r="40" spans="2:9" ht="14.25">
      <c r="B40" s="484" t="s">
        <v>196</v>
      </c>
      <c r="C40" s="485" t="e">
        <f>C48/$I$54</f>
        <v>#DIV/0!</v>
      </c>
      <c r="D40" s="514"/>
      <c r="E40" s="514"/>
      <c r="F40" s="514"/>
      <c r="G40" s="514"/>
      <c r="H40" s="515"/>
      <c r="I40" s="487" t="e">
        <f>SUM(C40:H40)</f>
        <v>#DIV/0!</v>
      </c>
    </row>
    <row r="41" spans="2:9" ht="15" customHeight="1">
      <c r="B41" s="484" t="s">
        <v>197</v>
      </c>
      <c r="C41" s="478"/>
      <c r="D41" s="485" t="e">
        <f>D49/$I$54</f>
        <v>#DIV/0!</v>
      </c>
      <c r="E41" s="514"/>
      <c r="F41" s="514"/>
      <c r="G41" s="514"/>
      <c r="H41" s="515"/>
      <c r="I41" s="487" t="e">
        <f>SUM(C41:H41)</f>
        <v>#DIV/0!</v>
      </c>
    </row>
    <row r="42" spans="2:9" ht="14.25">
      <c r="B42" s="484" t="s">
        <v>198</v>
      </c>
      <c r="C42" s="478"/>
      <c r="D42" s="478"/>
      <c r="E42" s="485" t="e">
        <f>E50/$I$54</f>
        <v>#DIV/0!</v>
      </c>
      <c r="F42" s="514"/>
      <c r="G42" s="514"/>
      <c r="H42" s="515"/>
      <c r="I42" s="487" t="e">
        <f>SUM(C42:H42)</f>
        <v>#DIV/0!</v>
      </c>
    </row>
    <row r="43" spans="2:9" ht="14.25">
      <c r="B43" s="484" t="s">
        <v>199</v>
      </c>
      <c r="C43" s="478"/>
      <c r="D43" s="478"/>
      <c r="E43" s="485"/>
      <c r="F43" s="485" t="e">
        <f>F51/$I$54</f>
        <v>#DIV/0!</v>
      </c>
      <c r="G43" s="514"/>
      <c r="H43" s="515"/>
      <c r="I43" s="487" t="e">
        <f>SUM(F43:H43)</f>
        <v>#DIV/0!</v>
      </c>
    </row>
    <row r="44" spans="2:9" ht="14.25">
      <c r="B44" s="484" t="s">
        <v>200</v>
      </c>
      <c r="C44" s="478"/>
      <c r="D44" s="478"/>
      <c r="E44" s="485"/>
      <c r="F44" s="485"/>
      <c r="G44" s="485" t="e">
        <f>G52/$I$54</f>
        <v>#DIV/0!</v>
      </c>
      <c r="H44" s="515"/>
      <c r="I44" s="487" t="e">
        <f>SUM(G44:H44)</f>
        <v>#DIV/0!</v>
      </c>
    </row>
    <row r="45" spans="2:9" ht="15" thickBot="1">
      <c r="B45" s="488" t="s">
        <v>201</v>
      </c>
      <c r="C45" s="489"/>
      <c r="D45" s="489"/>
      <c r="E45" s="489"/>
      <c r="F45" s="489"/>
      <c r="G45" s="489"/>
      <c r="H45" s="490" t="e">
        <f>H53/$I$54</f>
        <v>#DIV/0!</v>
      </c>
      <c r="I45" s="491" t="e">
        <f>SUM(C45:H45)</f>
        <v>#DIV/0!</v>
      </c>
    </row>
    <row r="46" spans="2:9" ht="15.75" thickTop="1">
      <c r="B46" s="516" t="s">
        <v>54</v>
      </c>
      <c r="C46" s="517" t="e">
        <f>SUM(C40:C45)</f>
        <v>#DIV/0!</v>
      </c>
      <c r="D46" s="517" t="e">
        <f>SUM(D40:D45)</f>
        <v>#DIV/0!</v>
      </c>
      <c r="E46" s="517" t="e">
        <f>SUM(E40:E45)</f>
        <v>#DIV/0!</v>
      </c>
      <c r="F46" s="517" t="e">
        <f>SUM(F40:F43)</f>
        <v>#DIV/0!</v>
      </c>
      <c r="G46" s="517" t="e">
        <f>SUM(G40:G44)</f>
        <v>#DIV/0!</v>
      </c>
      <c r="H46" s="518" t="e">
        <f>SUM(H40:H45)</f>
        <v>#DIV/0!</v>
      </c>
      <c r="I46" s="519" t="e">
        <f>SUM(C46:H46)</f>
        <v>#DIV/0!</v>
      </c>
    </row>
    <row r="47" spans="2:9" ht="15">
      <c r="B47" s="1027" t="s">
        <v>36</v>
      </c>
      <c r="C47" s="1028"/>
      <c r="D47" s="1028"/>
      <c r="E47" s="1028"/>
      <c r="F47" s="1028"/>
      <c r="G47" s="1028"/>
      <c r="H47" s="1028"/>
      <c r="I47" s="1029"/>
    </row>
    <row r="48" spans="2:9" ht="15" customHeight="1">
      <c r="B48" s="484" t="str">
        <f t="shared" ref="B48:B53" si="4">B40</f>
        <v>2015 CDM Programs</v>
      </c>
      <c r="C48" s="496"/>
      <c r="D48" s="520"/>
      <c r="E48" s="514"/>
      <c r="F48" s="520"/>
      <c r="G48" s="520"/>
      <c r="H48" s="521"/>
      <c r="I48" s="498">
        <f>SUM(C48:H48)</f>
        <v>0</v>
      </c>
    </row>
    <row r="49" spans="2:9" ht="14.25">
      <c r="B49" s="484" t="str">
        <f t="shared" si="4"/>
        <v>2016 CDM Programs</v>
      </c>
      <c r="C49" s="499"/>
      <c r="D49" s="500"/>
      <c r="E49" s="522"/>
      <c r="F49" s="522"/>
      <c r="G49" s="522"/>
      <c r="H49" s="523"/>
      <c r="I49" s="498">
        <f>SUM(C49:H49)</f>
        <v>0</v>
      </c>
    </row>
    <row r="50" spans="2:9" ht="14.25">
      <c r="B50" s="484" t="str">
        <f t="shared" si="4"/>
        <v>2017 CDM Programs</v>
      </c>
      <c r="C50" s="499"/>
      <c r="D50" s="499"/>
      <c r="E50" s="500"/>
      <c r="F50" s="522"/>
      <c r="G50" s="522"/>
      <c r="H50" s="523"/>
      <c r="I50" s="498">
        <f>SUM(C50:H50)</f>
        <v>0</v>
      </c>
    </row>
    <row r="51" spans="2:9" ht="14.25">
      <c r="B51" s="484" t="str">
        <f t="shared" si="4"/>
        <v>2018 CDM Programs</v>
      </c>
      <c r="C51" s="499"/>
      <c r="D51" s="499"/>
      <c r="E51" s="524"/>
      <c r="F51" s="496"/>
      <c r="G51" s="520"/>
      <c r="H51" s="521"/>
      <c r="I51" s="498">
        <f>SUM(F51:H51)</f>
        <v>0</v>
      </c>
    </row>
    <row r="52" spans="2:9" ht="14.25">
      <c r="B52" s="484" t="str">
        <f t="shared" si="4"/>
        <v>2019 CDM Programs</v>
      </c>
      <c r="C52" s="499"/>
      <c r="D52" s="499"/>
      <c r="E52" s="524"/>
      <c r="F52" s="524"/>
      <c r="G52" s="496"/>
      <c r="H52" s="521"/>
      <c r="I52" s="498">
        <f>SUM(G52:H52)</f>
        <v>0</v>
      </c>
    </row>
    <row r="53" spans="2:9" ht="16.5" customHeight="1" thickBot="1">
      <c r="B53" s="488" t="str">
        <f t="shared" si="4"/>
        <v>2020 CDM Programs</v>
      </c>
      <c r="C53" s="502"/>
      <c r="D53" s="502"/>
      <c r="E53" s="502"/>
      <c r="F53" s="502"/>
      <c r="G53" s="502"/>
      <c r="H53" s="525"/>
      <c r="I53" s="504">
        <f>SUM(C53:H53)</f>
        <v>0</v>
      </c>
    </row>
    <row r="54" spans="2:9" ht="16.5" thickTop="1" thickBot="1">
      <c r="B54" s="505" t="s">
        <v>54</v>
      </c>
      <c r="C54" s="506">
        <f>SUM(C48:C53)</f>
        <v>0</v>
      </c>
      <c r="D54" s="506">
        <f t="shared" ref="D54:E54" si="5">SUM(D48:D53)</f>
        <v>0</v>
      </c>
      <c r="E54" s="506">
        <f t="shared" si="5"/>
        <v>0</v>
      </c>
      <c r="F54" s="506">
        <f>SUM(F48:F51)</f>
        <v>0</v>
      </c>
      <c r="G54" s="506">
        <f>SUM(G48:G52)</f>
        <v>0</v>
      </c>
      <c r="H54" s="507">
        <f>SUM(H48:H53)</f>
        <v>0</v>
      </c>
      <c r="I54" s="508">
        <f>B37</f>
        <v>0</v>
      </c>
    </row>
    <row r="55" spans="2:9" ht="15">
      <c r="B55" s="509"/>
      <c r="C55" s="510"/>
      <c r="D55" s="510"/>
      <c r="E55" s="510"/>
      <c r="F55" s="510"/>
      <c r="G55" s="510"/>
      <c r="H55" s="478"/>
      <c r="I55" s="478"/>
    </row>
    <row r="56" spans="2:9" ht="23.25">
      <c r="B56" s="1035" t="s">
        <v>202</v>
      </c>
      <c r="C56" s="1035"/>
      <c r="D56" s="1035"/>
      <c r="E56" s="1035"/>
      <c r="F56" s="1035"/>
      <c r="G56" s="1035"/>
      <c r="H56" s="1035"/>
      <c r="I56" s="1035"/>
    </row>
    <row r="57" spans="2:9" ht="15">
      <c r="B57" s="509"/>
      <c r="C57" s="510"/>
      <c r="D57" s="510"/>
      <c r="E57" s="510"/>
      <c r="F57" s="510"/>
      <c r="G57" s="510"/>
      <c r="H57" s="478"/>
      <c r="I57" s="478"/>
    </row>
    <row r="58" spans="2:9" ht="60" customHeight="1">
      <c r="B58" s="1016" t="s">
        <v>203</v>
      </c>
      <c r="C58" s="1016"/>
      <c r="D58" s="1016"/>
      <c r="E58" s="1016"/>
      <c r="F58" s="1016"/>
      <c r="G58" s="1016"/>
      <c r="H58" s="1016"/>
      <c r="I58" s="1016"/>
    </row>
    <row r="59" spans="2:9" ht="15" customHeight="1">
      <c r="B59" s="1016" t="s">
        <v>204</v>
      </c>
      <c r="C59" s="1016"/>
      <c r="D59" s="1016"/>
      <c r="E59" s="1016"/>
      <c r="F59" s="1016"/>
      <c r="G59" s="1016"/>
      <c r="H59" s="1016"/>
      <c r="I59" s="1016"/>
    </row>
    <row r="60" spans="2:9" ht="15" thickBot="1">
      <c r="B60" s="526"/>
      <c r="C60" s="526"/>
      <c r="D60" s="526"/>
      <c r="E60" s="526"/>
      <c r="F60" s="526"/>
      <c r="G60" s="526"/>
      <c r="H60" s="478"/>
      <c r="I60" s="478"/>
    </row>
    <row r="61" spans="2:9" ht="15">
      <c r="B61" s="1037" t="s">
        <v>69</v>
      </c>
      <c r="C61" s="1038"/>
      <c r="D61" s="1038"/>
      <c r="E61" s="1038"/>
      <c r="F61" s="1038"/>
      <c r="G61" s="1039"/>
      <c r="H61" s="478"/>
      <c r="I61" s="478"/>
    </row>
    <row r="62" spans="2:9" ht="15">
      <c r="B62" s="527"/>
      <c r="C62" s="528"/>
      <c r="D62" s="528"/>
      <c r="E62" s="528"/>
      <c r="F62" s="528"/>
      <c r="G62" s="529"/>
      <c r="H62" s="478"/>
      <c r="I62" s="478"/>
    </row>
    <row r="63" spans="2:9" ht="15">
      <c r="B63" s="1040" t="s">
        <v>70</v>
      </c>
      <c r="C63" s="1041"/>
      <c r="D63" s="1041"/>
      <c r="E63" s="1041"/>
      <c r="F63" s="1041"/>
      <c r="G63" s="530" t="s">
        <v>71</v>
      </c>
      <c r="H63" s="478"/>
      <c r="I63" s="478"/>
    </row>
    <row r="64" spans="2:9" ht="15">
      <c r="B64" s="531"/>
      <c r="C64" s="532"/>
      <c r="D64" s="532"/>
      <c r="E64" s="532"/>
      <c r="F64" s="532"/>
      <c r="G64" s="533"/>
      <c r="H64" s="478"/>
      <c r="I64" s="478"/>
    </row>
    <row r="65" spans="2:9" ht="45">
      <c r="B65" s="534"/>
      <c r="C65" s="535"/>
      <c r="D65" s="528" t="s">
        <v>55</v>
      </c>
      <c r="E65" s="528" t="s">
        <v>56</v>
      </c>
      <c r="F65" s="528" t="s">
        <v>57</v>
      </c>
      <c r="G65" s="536" t="s">
        <v>72</v>
      </c>
      <c r="H65" s="478"/>
      <c r="I65" s="478"/>
    </row>
    <row r="66" spans="2:9" ht="15" customHeight="1">
      <c r="B66" s="1042" t="s">
        <v>73</v>
      </c>
      <c r="C66" s="1043"/>
      <c r="D66" s="537" t="s">
        <v>36</v>
      </c>
      <c r="E66" s="537" t="s">
        <v>36</v>
      </c>
      <c r="F66" s="537" t="s">
        <v>36</v>
      </c>
      <c r="G66" s="538" t="s">
        <v>74</v>
      </c>
      <c r="H66" s="478"/>
      <c r="I66" s="478"/>
    </row>
    <row r="67" spans="2:9" ht="15">
      <c r="B67" s="539" t="s">
        <v>75</v>
      </c>
      <c r="C67" s="540"/>
      <c r="D67" s="541"/>
      <c r="E67" s="541"/>
      <c r="F67" s="542"/>
      <c r="G67" s="543"/>
      <c r="H67" s="478"/>
      <c r="I67" s="478"/>
    </row>
    <row r="68" spans="2:9" ht="15">
      <c r="B68" s="539" t="s">
        <v>76</v>
      </c>
      <c r="C68" s="540"/>
      <c r="D68" s="541"/>
      <c r="E68" s="541"/>
      <c r="F68" s="542"/>
      <c r="G68" s="543"/>
      <c r="H68" s="478"/>
      <c r="I68" s="478"/>
    </row>
    <row r="69" spans="2:9" ht="15">
      <c r="B69" s="539" t="s">
        <v>77</v>
      </c>
      <c r="C69" s="540"/>
      <c r="D69" s="541"/>
      <c r="E69" s="541"/>
      <c r="F69" s="542"/>
      <c r="G69" s="543"/>
      <c r="H69" s="478"/>
      <c r="I69" s="478"/>
    </row>
    <row r="70" spans="2:9" ht="15.75" thickBot="1">
      <c r="B70" s="544" t="s">
        <v>205</v>
      </c>
      <c r="C70" s="545"/>
      <c r="D70" s="546"/>
      <c r="E70" s="546"/>
      <c r="F70" s="542"/>
      <c r="G70" s="543"/>
      <c r="H70" s="478"/>
      <c r="I70" s="478"/>
    </row>
    <row r="71" spans="2:9" ht="16.5" customHeight="1" thickTop="1" thickBot="1">
      <c r="B71" s="1044" t="s">
        <v>206</v>
      </c>
      <c r="C71" s="1045"/>
      <c r="D71" s="547">
        <f>SUM(D67:D70)</f>
        <v>0</v>
      </c>
      <c r="E71" s="547">
        <f>SUM(E67:E70)</f>
        <v>0</v>
      </c>
      <c r="F71" s="547">
        <f>D71-E71</f>
        <v>0</v>
      </c>
      <c r="G71" s="548">
        <f>IF(E71=0,0,IF(G63="net",0,F71/E71))</f>
        <v>0</v>
      </c>
      <c r="H71" s="478"/>
      <c r="I71" s="478"/>
    </row>
    <row r="72" spans="2:9" ht="15">
      <c r="B72" s="549"/>
      <c r="C72" s="549"/>
      <c r="D72" s="478"/>
      <c r="E72" s="478"/>
      <c r="F72" s="478"/>
      <c r="G72" s="550"/>
      <c r="H72" s="478"/>
      <c r="I72" s="478"/>
    </row>
    <row r="73" spans="2:9" ht="38.25" customHeight="1">
      <c r="B73" s="1016" t="s">
        <v>78</v>
      </c>
      <c r="C73" s="1016"/>
      <c r="D73" s="1016"/>
      <c r="E73" s="1016"/>
      <c r="F73" s="1016"/>
      <c r="G73" s="1016"/>
      <c r="H73" s="1016"/>
      <c r="I73" s="1016"/>
    </row>
    <row r="74" spans="2:9" ht="33.75" customHeight="1">
      <c r="B74" s="1016" t="s">
        <v>79</v>
      </c>
      <c r="C74" s="1016"/>
      <c r="D74" s="1016"/>
      <c r="E74" s="1016"/>
      <c r="F74" s="1016"/>
      <c r="G74" s="1016"/>
      <c r="H74" s="1016"/>
      <c r="I74" s="1016"/>
    </row>
    <row r="75" spans="2:9" ht="15">
      <c r="B75" s="549"/>
      <c r="C75" s="549"/>
      <c r="D75" s="478"/>
      <c r="E75" s="478"/>
      <c r="F75" s="478"/>
      <c r="G75" s="550"/>
      <c r="H75" s="478"/>
      <c r="I75" s="478"/>
    </row>
    <row r="76" spans="2:9" ht="15.75" customHeight="1" thickBot="1">
      <c r="B76" s="1036" t="s">
        <v>80</v>
      </c>
      <c r="C76" s="1036"/>
      <c r="D76" s="1036"/>
      <c r="E76" s="1036"/>
      <c r="F76" s="1036"/>
      <c r="G76" s="1036"/>
      <c r="H76" s="478"/>
      <c r="I76" s="478"/>
    </row>
    <row r="77" spans="2:9" ht="15">
      <c r="B77" s="551"/>
      <c r="C77" s="552">
        <v>2011</v>
      </c>
      <c r="D77" s="552">
        <v>2012</v>
      </c>
      <c r="E77" s="552">
        <v>2013</v>
      </c>
      <c r="F77" s="552">
        <v>2014</v>
      </c>
      <c r="G77" s="553">
        <v>2015</v>
      </c>
      <c r="H77" s="554"/>
      <c r="I77" s="478"/>
    </row>
    <row r="78" spans="2:9" ht="60">
      <c r="B78" s="555" t="s">
        <v>81</v>
      </c>
      <c r="C78" s="556">
        <v>0</v>
      </c>
      <c r="D78" s="556">
        <v>0</v>
      </c>
      <c r="E78" s="556">
        <v>0</v>
      </c>
      <c r="F78" s="556">
        <v>0.5</v>
      </c>
      <c r="G78" s="556">
        <v>1</v>
      </c>
      <c r="H78" s="557" t="s">
        <v>209</v>
      </c>
      <c r="I78" s="478"/>
    </row>
    <row r="79" spans="2:9" ht="271.5" thickBot="1">
      <c r="B79" s="558" t="s">
        <v>82</v>
      </c>
      <c r="C79" s="559" t="s">
        <v>210</v>
      </c>
      <c r="D79" s="559" t="s">
        <v>211</v>
      </c>
      <c r="E79" s="559" t="s">
        <v>212</v>
      </c>
      <c r="F79" s="559" t="s">
        <v>213</v>
      </c>
      <c r="G79" s="559" t="s">
        <v>214</v>
      </c>
      <c r="H79" s="548"/>
      <c r="I79" s="478"/>
    </row>
    <row r="80" spans="2:9" ht="14.25">
      <c r="B80" s="560"/>
      <c r="C80" s="561"/>
      <c r="D80" s="561"/>
      <c r="E80" s="561"/>
      <c r="F80" s="561"/>
      <c r="G80" s="561"/>
      <c r="H80" s="550"/>
      <c r="I80" s="478"/>
    </row>
    <row r="81" spans="2:11" ht="23.25">
      <c r="B81" s="1031" t="s">
        <v>215</v>
      </c>
      <c r="C81" s="1031"/>
      <c r="D81" s="1031"/>
      <c r="E81" s="1031"/>
      <c r="F81" s="1031"/>
      <c r="G81" s="1031"/>
      <c r="H81" s="1031"/>
      <c r="I81" s="1031"/>
    </row>
    <row r="82" spans="2:11" ht="18.75">
      <c r="B82" s="562"/>
      <c r="C82" s="562"/>
      <c r="D82" s="562"/>
      <c r="E82" s="562"/>
      <c r="F82" s="562"/>
      <c r="G82" s="562"/>
      <c r="H82" s="562"/>
      <c r="I82" s="562"/>
    </row>
    <row r="83" spans="2:11" ht="34.5" customHeight="1">
      <c r="B83" s="1016" t="s">
        <v>216</v>
      </c>
      <c r="C83" s="1016"/>
      <c r="D83" s="1016"/>
      <c r="E83" s="1016"/>
      <c r="F83" s="1016"/>
      <c r="G83" s="1016"/>
      <c r="H83" s="1016"/>
      <c r="I83" s="1016"/>
    </row>
    <row r="84" spans="2:11" ht="15.75" thickBot="1">
      <c r="B84" s="549"/>
      <c r="C84" s="549"/>
      <c r="D84" s="478"/>
      <c r="E84" s="478"/>
      <c r="F84" s="478"/>
      <c r="G84" s="550"/>
      <c r="H84" s="478"/>
      <c r="I84" s="478"/>
    </row>
    <row r="85" spans="2:11" ht="15">
      <c r="B85" s="563"/>
      <c r="C85" s="716">
        <v>2011</v>
      </c>
      <c r="D85" s="717">
        <v>2012</v>
      </c>
      <c r="E85" s="717">
        <v>2013</v>
      </c>
      <c r="F85" s="717">
        <v>2014</v>
      </c>
      <c r="G85" s="718">
        <v>2015</v>
      </c>
      <c r="H85" s="719">
        <v>2016</v>
      </c>
      <c r="I85" s="720" t="s">
        <v>157</v>
      </c>
    </row>
    <row r="86" spans="2:11" ht="15">
      <c r="B86" s="564"/>
      <c r="C86" s="721" t="s">
        <v>36</v>
      </c>
      <c r="D86" s="722"/>
      <c r="E86" s="722"/>
      <c r="F86" s="722"/>
      <c r="G86" s="722"/>
      <c r="H86" s="723"/>
      <c r="I86" s="724"/>
    </row>
    <row r="87" spans="2:11" ht="42.75">
      <c r="B87" s="565" t="s">
        <v>83</v>
      </c>
      <c r="C87" s="566">
        <f>F26</f>
        <v>0</v>
      </c>
      <c r="D87" s="566">
        <f>F27</f>
        <v>0</v>
      </c>
      <c r="E87" s="566">
        <f>F28</f>
        <v>0</v>
      </c>
      <c r="F87" s="566">
        <f>F29</f>
        <v>0</v>
      </c>
      <c r="G87" s="566"/>
      <c r="H87" s="712"/>
      <c r="I87" s="567"/>
    </row>
    <row r="88" spans="2:11" ht="14.25">
      <c r="B88" s="565"/>
      <c r="C88" s="566"/>
      <c r="D88" s="566"/>
      <c r="E88" s="566"/>
      <c r="F88" s="566"/>
      <c r="G88" s="566"/>
      <c r="H88" s="712"/>
      <c r="I88" s="567"/>
    </row>
    <row r="89" spans="2:11" ht="57">
      <c r="B89" s="568" t="s">
        <v>217</v>
      </c>
      <c r="C89" s="569"/>
      <c r="D89" s="570">
        <f>C89</f>
        <v>0</v>
      </c>
      <c r="E89" s="570">
        <f>C89</f>
        <v>0</v>
      </c>
      <c r="F89" s="570">
        <f>C89</f>
        <v>0</v>
      </c>
      <c r="G89" s="570"/>
      <c r="H89" s="715"/>
      <c r="I89" s="571"/>
    </row>
    <row r="90" spans="2:11" ht="14.25">
      <c r="B90" s="572"/>
      <c r="C90" s="573"/>
      <c r="D90" s="573"/>
      <c r="E90" s="573"/>
      <c r="F90" s="573"/>
      <c r="G90" s="573"/>
      <c r="H90" s="713"/>
      <c r="I90" s="725"/>
    </row>
    <row r="91" spans="2:11" ht="43.5" thickBot="1">
      <c r="B91" s="574" t="s">
        <v>218</v>
      </c>
      <c r="C91" s="575"/>
      <c r="D91" s="576"/>
      <c r="E91" s="576"/>
      <c r="F91" s="576"/>
      <c r="G91" s="576">
        <f>C48</f>
        <v>0</v>
      </c>
      <c r="H91" s="576">
        <f>G91</f>
        <v>0</v>
      </c>
      <c r="I91" s="577">
        <f>SUM(C91:G91)</f>
        <v>0</v>
      </c>
    </row>
    <row r="92" spans="2:11" ht="15.75" thickTop="1" thickBot="1">
      <c r="B92" s="578"/>
      <c r="C92" s="579"/>
      <c r="D92" s="579"/>
      <c r="E92" s="579"/>
      <c r="F92" s="579"/>
      <c r="G92" s="579"/>
      <c r="H92" s="714"/>
      <c r="I92" s="580"/>
    </row>
    <row r="93" spans="2:11" ht="15.75" thickTop="1">
      <c r="B93" s="710" t="s">
        <v>268</v>
      </c>
      <c r="C93" s="727">
        <v>4.41E-2</v>
      </c>
      <c r="D93" s="566"/>
      <c r="E93" s="566"/>
      <c r="F93" s="566"/>
      <c r="G93" s="566"/>
      <c r="H93" s="712"/>
      <c r="I93" s="567"/>
    </row>
    <row r="94" spans="2:11" ht="14.25">
      <c r="B94" s="565"/>
      <c r="C94" s="566"/>
      <c r="D94" s="566"/>
      <c r="E94" s="566"/>
      <c r="F94" s="566"/>
      <c r="G94" s="566"/>
      <c r="H94" s="712"/>
      <c r="I94" s="567"/>
    </row>
    <row r="95" spans="2:11" ht="42.75">
      <c r="B95" s="568" t="s">
        <v>219</v>
      </c>
      <c r="C95" s="708">
        <v>0</v>
      </c>
      <c r="D95" s="709">
        <f>D87*(1+G71)*D78</f>
        <v>0</v>
      </c>
      <c r="E95" s="709"/>
      <c r="F95" s="709">
        <f>F87*(1+G71)*F78*(1+C93)</f>
        <v>0</v>
      </c>
      <c r="G95" s="709">
        <f>G91*(1+G71)*G78*(1+C93)</f>
        <v>0</v>
      </c>
      <c r="H95" s="709">
        <f>H91*(1+G71)*0.5*(1+C93)</f>
        <v>0</v>
      </c>
      <c r="I95" s="711">
        <f>SUM(C95:H95)</f>
        <v>0</v>
      </c>
      <c r="K95" s="356" t="s">
        <v>221</v>
      </c>
    </row>
    <row r="96" spans="2:11" ht="14.25">
      <c r="B96" s="572"/>
      <c r="C96" s="581"/>
      <c r="D96" s="581"/>
      <c r="E96" s="581"/>
      <c r="F96" s="581"/>
      <c r="G96" s="726"/>
      <c r="H96" s="581"/>
      <c r="I96" s="582"/>
    </row>
    <row r="97" spans="1:15">
      <c r="B97" s="327"/>
      <c r="C97" s="327"/>
      <c r="D97" s="328"/>
      <c r="E97" s="328"/>
      <c r="F97" s="328"/>
      <c r="G97" s="328"/>
      <c r="H97" s="326"/>
    </row>
    <row r="98" spans="1:15">
      <c r="B98" s="327"/>
      <c r="C98" s="327"/>
      <c r="D98" s="328"/>
      <c r="E98" s="328"/>
      <c r="F98" s="328"/>
      <c r="G98" s="328"/>
      <c r="H98" s="326"/>
    </row>
    <row r="99" spans="1:15" ht="15">
      <c r="A99" s="93"/>
    </row>
    <row r="100" spans="1:15" ht="14.25">
      <c r="A100" s="92"/>
    </row>
    <row r="101" spans="1:15" ht="14.25">
      <c r="A101" s="92"/>
    </row>
    <row r="102" spans="1:15" ht="14.25">
      <c r="A102" s="92"/>
    </row>
    <row r="103" spans="1:15" ht="14.25">
      <c r="A103" s="92"/>
      <c r="N103" s="183"/>
      <c r="O103" s="190"/>
    </row>
    <row r="104" spans="1:15" ht="14.25">
      <c r="A104" s="92"/>
    </row>
    <row r="105" spans="1:15" ht="14.25">
      <c r="A105" s="92"/>
    </row>
    <row r="106" spans="1:15" ht="14.25">
      <c r="A106" s="92"/>
    </row>
    <row r="107" spans="1:15" ht="14.25">
      <c r="A107" s="92"/>
    </row>
    <row r="108" spans="1:15" ht="14.25">
      <c r="A108" s="92"/>
    </row>
    <row r="109" spans="1:15" ht="14.25">
      <c r="A109" s="92"/>
    </row>
    <row r="110" spans="1:15" ht="14.25">
      <c r="A110" s="92"/>
    </row>
    <row r="111" spans="1:15" ht="14.25">
      <c r="A111" s="92"/>
    </row>
    <row r="112" spans="1:15" ht="14.25">
      <c r="A112" s="92"/>
    </row>
    <row r="113" spans="1:14" ht="14.25">
      <c r="A113" s="92"/>
    </row>
    <row r="115" spans="1:14">
      <c r="N115" s="182"/>
    </row>
  </sheetData>
  <mergeCells count="24">
    <mergeCell ref="B11:I11"/>
    <mergeCell ref="B13:I13"/>
    <mergeCell ref="B83:I83"/>
    <mergeCell ref="B81:I81"/>
    <mergeCell ref="B74:I74"/>
    <mergeCell ref="B39:I39"/>
    <mergeCell ref="B47:I47"/>
    <mergeCell ref="B56:I56"/>
    <mergeCell ref="B76:G76"/>
    <mergeCell ref="B61:G61"/>
    <mergeCell ref="B63:F63"/>
    <mergeCell ref="B66:C66"/>
    <mergeCell ref="B71:C71"/>
    <mergeCell ref="B73:I73"/>
    <mergeCell ref="B37:I37"/>
    <mergeCell ref="B58:I58"/>
    <mergeCell ref="B59:I59"/>
    <mergeCell ref="B32:G32"/>
    <mergeCell ref="B15:I15"/>
    <mergeCell ref="B36:I36"/>
    <mergeCell ref="B34:I34"/>
    <mergeCell ref="B18:G18"/>
    <mergeCell ref="B17:G17"/>
    <mergeCell ref="B25:G25"/>
  </mergeCells>
  <dataValidations count="2">
    <dataValidation type="list" allowBlank="1" showInputMessage="1" showErrorMessage="1" sqref="G63" xr:uid="{00000000-0002-0000-0A00-000000000000}">
      <formula1>"net,gross"</formula1>
    </dataValidation>
    <dataValidation type="list" allowBlank="1" showInputMessage="1" showErrorMessage="1" sqref="C78:G78" xr:uid="{00000000-0002-0000-0A00-000001000000}">
      <formula1>"0, 0.5, 1"</formula1>
    </dataValidation>
  </dataValidations>
  <pageMargins left="0.23622047244094491" right="0.23622047244094491" top="0.74803149606299213" bottom="0.74803149606299213" header="0.31496062992125984" footer="0.31496062992125984"/>
  <pageSetup scale="50" orientation="portrait" horizontalDpi="4294967294" verticalDpi="4294967294"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N129"/>
  <sheetViews>
    <sheetView showGridLines="0" topLeftCell="A49" workbookViewId="0">
      <selection activeCell="A52" sqref="A52:H52"/>
    </sheetView>
  </sheetViews>
  <sheetFormatPr defaultRowHeight="15"/>
  <cols>
    <col min="1" max="1" width="36" style="735" customWidth="1"/>
    <col min="2" max="5" width="17.6640625" style="735" customWidth="1"/>
    <col min="6" max="6" width="20" style="735" bestFit="1" customWidth="1"/>
    <col min="7" max="7" width="17.6640625" style="735" customWidth="1"/>
    <col min="8" max="8" width="18.5" style="735" bestFit="1" customWidth="1"/>
    <col min="9" max="9" width="17" style="735" bestFit="1" customWidth="1"/>
    <col min="10" max="12" width="10.6640625" style="735" hidden="1" customWidth="1"/>
    <col min="13" max="13" width="0" style="735" hidden="1" customWidth="1"/>
    <col min="14" max="14" width="7" style="735" bestFit="1" customWidth="1"/>
    <col min="15" max="16384" width="9.33203125" style="735"/>
  </cols>
  <sheetData>
    <row r="1" spans="1:10" s="732" customFormat="1" ht="12.75" customHeight="1">
      <c r="G1" s="733" t="s">
        <v>270</v>
      </c>
      <c r="H1" s="734" t="str">
        <f>EBNUMBER</f>
        <v>EB-2016-0089</v>
      </c>
      <c r="I1" s="735"/>
      <c r="J1" s="734"/>
    </row>
    <row r="2" spans="1:10" s="732" customFormat="1" ht="12.75" customHeight="1">
      <c r="G2" s="733" t="s">
        <v>271</v>
      </c>
      <c r="H2" s="736">
        <v>3</v>
      </c>
      <c r="I2" s="735"/>
      <c r="J2" s="737"/>
    </row>
    <row r="3" spans="1:10" s="732" customFormat="1" ht="12.75" customHeight="1">
      <c r="G3" s="733" t="s">
        <v>272</v>
      </c>
      <c r="H3" s="736">
        <v>2</v>
      </c>
      <c r="I3" s="735"/>
      <c r="J3" s="737"/>
    </row>
    <row r="4" spans="1:10" s="732" customFormat="1" ht="12.75" customHeight="1">
      <c r="G4" s="733" t="s">
        <v>273</v>
      </c>
      <c r="H4" s="736">
        <v>1</v>
      </c>
      <c r="I4" s="735"/>
      <c r="J4" s="737"/>
    </row>
    <row r="5" spans="1:10" s="732" customFormat="1" ht="12.75" customHeight="1">
      <c r="G5" s="733" t="s">
        <v>274</v>
      </c>
      <c r="H5" s="738" t="s">
        <v>275</v>
      </c>
      <c r="I5" s="735"/>
      <c r="J5" s="734"/>
    </row>
    <row r="6" spans="1:10" s="732" customFormat="1" ht="12.75" customHeight="1">
      <c r="G6" s="733"/>
      <c r="H6" s="734"/>
      <c r="I6" s="735"/>
      <c r="J6" s="734"/>
    </row>
    <row r="7" spans="1:10" s="732" customFormat="1" ht="12.75" customHeight="1">
      <c r="G7" s="733" t="s">
        <v>276</v>
      </c>
      <c r="H7" s="739">
        <v>42489</v>
      </c>
      <c r="I7" s="735"/>
      <c r="J7" s="734"/>
    </row>
    <row r="8" spans="1:10" s="732" customFormat="1" ht="12.75">
      <c r="G8" s="740"/>
    </row>
    <row r="9" spans="1:10" s="732" customFormat="1" ht="18">
      <c r="A9" s="1085" t="s">
        <v>277</v>
      </c>
      <c r="B9" s="1085"/>
      <c r="C9" s="1085"/>
      <c r="D9" s="1085"/>
      <c r="E9" s="1085"/>
      <c r="F9" s="1085"/>
      <c r="G9" s="1085"/>
      <c r="H9" s="1085"/>
    </row>
    <row r="10" spans="1:10" s="732" customFormat="1" ht="18">
      <c r="A10" s="1085" t="s">
        <v>278</v>
      </c>
      <c r="B10" s="1085"/>
      <c r="C10" s="1085"/>
      <c r="D10" s="1085"/>
      <c r="E10" s="1085"/>
      <c r="F10" s="1085"/>
      <c r="G10" s="1085"/>
      <c r="H10" s="1085"/>
    </row>
    <row r="11" spans="1:10" ht="12" customHeight="1"/>
    <row r="12" spans="1:10" ht="57" customHeight="1">
      <c r="A12" s="1050" t="s">
        <v>279</v>
      </c>
      <c r="B12" s="1050"/>
      <c r="C12" s="1050"/>
      <c r="D12" s="1050"/>
      <c r="E12" s="1050"/>
      <c r="F12" s="1050"/>
      <c r="G12" s="1050"/>
      <c r="H12" s="1050"/>
    </row>
    <row r="13" spans="1:10" ht="12" customHeight="1"/>
    <row r="14" spans="1:10" ht="77.25" customHeight="1">
      <c r="A14" s="1050" t="s">
        <v>280</v>
      </c>
      <c r="B14" s="1050"/>
      <c r="C14" s="1050"/>
      <c r="D14" s="1050"/>
      <c r="E14" s="1050"/>
      <c r="F14" s="1050"/>
      <c r="G14" s="1050"/>
      <c r="H14" s="1050"/>
    </row>
    <row r="15" spans="1:10" ht="12" customHeight="1"/>
    <row r="16" spans="1:10" ht="77.25" customHeight="1">
      <c r="A16" s="1050" t="s">
        <v>281</v>
      </c>
      <c r="B16" s="1050"/>
      <c r="C16" s="1050"/>
      <c r="D16" s="1050"/>
      <c r="E16" s="1050"/>
      <c r="F16" s="1050"/>
      <c r="G16" s="1050"/>
      <c r="H16" s="1050"/>
    </row>
    <row r="17" spans="1:8" ht="12" customHeight="1"/>
    <row r="18" spans="1:8" ht="61.5" customHeight="1">
      <c r="A18" s="1050" t="s">
        <v>282</v>
      </c>
      <c r="B18" s="1050"/>
      <c r="C18" s="1050"/>
      <c r="D18" s="1050"/>
      <c r="E18" s="1050"/>
      <c r="F18" s="1050"/>
      <c r="G18" s="1050"/>
      <c r="H18" s="1050"/>
    </row>
    <row r="19" spans="1:8" ht="12" customHeight="1"/>
    <row r="20" spans="1:8" ht="18.75">
      <c r="A20" s="1075" t="s">
        <v>208</v>
      </c>
      <c r="B20" s="1075"/>
      <c r="C20" s="1075"/>
      <c r="D20" s="1075"/>
      <c r="E20" s="1075"/>
      <c r="F20" s="1075"/>
      <c r="G20" s="1075"/>
      <c r="H20" s="1075"/>
    </row>
    <row r="21" spans="1:8" ht="12" customHeight="1"/>
    <row r="22" spans="1:8">
      <c r="A22" s="1086" t="s">
        <v>283</v>
      </c>
      <c r="B22" s="1086"/>
      <c r="C22" s="1086"/>
      <c r="D22" s="1086"/>
      <c r="E22" s="1086"/>
      <c r="F22" s="1086"/>
      <c r="G22" s="1086"/>
      <c r="H22" s="1086"/>
    </row>
    <row r="24" spans="1:8" ht="28.5" customHeight="1">
      <c r="A24" s="1064" t="s">
        <v>284</v>
      </c>
      <c r="B24" s="1064"/>
      <c r="C24" s="1064"/>
      <c r="D24" s="1064"/>
      <c r="E24" s="1064"/>
      <c r="F24" s="1064"/>
      <c r="G24" s="1064"/>
      <c r="H24" s="1064"/>
    </row>
    <row r="25" spans="1:8" ht="12" customHeight="1"/>
    <row r="26" spans="1:8" ht="28.5" customHeight="1">
      <c r="A26" s="1064" t="s">
        <v>285</v>
      </c>
      <c r="B26" s="1064"/>
      <c r="C26" s="1064"/>
      <c r="D26" s="1064"/>
      <c r="E26" s="1064"/>
      <c r="F26" s="1064"/>
      <c r="G26" s="1064"/>
      <c r="H26" s="1064"/>
    </row>
    <row r="27" spans="1:8" ht="12" customHeight="1">
      <c r="A27" s="741"/>
      <c r="B27" s="742"/>
      <c r="C27" s="742"/>
      <c r="D27" s="742"/>
      <c r="E27" s="742"/>
      <c r="F27" s="742"/>
    </row>
    <row r="28" spans="1:8" ht="46.5" customHeight="1">
      <c r="A28" s="1064" t="s">
        <v>286</v>
      </c>
      <c r="B28" s="1064"/>
      <c r="C28" s="1064"/>
      <c r="D28" s="1064"/>
      <c r="E28" s="1064"/>
      <c r="F28" s="1064"/>
      <c r="G28" s="1064"/>
      <c r="H28" s="1064"/>
    </row>
    <row r="29" spans="1:8" ht="12" customHeight="1">
      <c r="A29" s="741"/>
      <c r="B29" s="742"/>
      <c r="C29" s="742"/>
      <c r="D29" s="742"/>
      <c r="E29" s="742"/>
      <c r="F29" s="742"/>
    </row>
    <row r="30" spans="1:8" ht="57.75" customHeight="1">
      <c r="A30" s="1064" t="s">
        <v>287</v>
      </c>
      <c r="B30" s="1064"/>
      <c r="C30" s="1064"/>
      <c r="D30" s="1064"/>
      <c r="E30" s="1064"/>
      <c r="F30" s="1064"/>
      <c r="G30" s="1064"/>
      <c r="H30" s="1064"/>
    </row>
    <row r="31" spans="1:8" ht="12" customHeight="1">
      <c r="A31" s="1064"/>
      <c r="B31" s="1064"/>
      <c r="C31" s="1064"/>
      <c r="D31" s="1064"/>
      <c r="E31" s="1064"/>
      <c r="F31" s="1064"/>
      <c r="G31" s="1064"/>
      <c r="H31" s="1064"/>
    </row>
    <row r="32" spans="1:8" ht="12" customHeight="1" thickBot="1">
      <c r="A32" s="743"/>
      <c r="B32" s="742"/>
      <c r="C32" s="742"/>
      <c r="D32" s="742"/>
      <c r="E32" s="742"/>
      <c r="F32" s="742"/>
    </row>
    <row r="33" spans="1:14">
      <c r="A33" s="1052" t="s">
        <v>49</v>
      </c>
      <c r="B33" s="1053"/>
      <c r="C33" s="1053"/>
      <c r="D33" s="1053"/>
      <c r="E33" s="1053"/>
      <c r="F33" s="1054"/>
      <c r="G33" s="1065" t="s">
        <v>288</v>
      </c>
      <c r="H33" s="1066"/>
    </row>
    <row r="34" spans="1:14">
      <c r="A34" s="1069">
        <v>13600000</v>
      </c>
      <c r="B34" s="1070"/>
      <c r="C34" s="1070"/>
      <c r="D34" s="1070"/>
      <c r="E34" s="1070"/>
      <c r="F34" s="1071"/>
      <c r="G34" s="1067"/>
      <c r="H34" s="1068"/>
    </row>
    <row r="35" spans="1:14">
      <c r="A35" s="744"/>
      <c r="B35" s="745">
        <v>2011</v>
      </c>
      <c r="C35" s="745">
        <v>2012</v>
      </c>
      <c r="D35" s="745">
        <v>2013</v>
      </c>
      <c r="E35" s="745">
        <v>2014</v>
      </c>
      <c r="F35" s="746" t="s">
        <v>16</v>
      </c>
      <c r="G35" s="747">
        <v>2015</v>
      </c>
      <c r="H35" s="748">
        <v>2016</v>
      </c>
      <c r="K35" s="735">
        <f>B35</f>
        <v>2011</v>
      </c>
      <c r="L35" s="735">
        <f>C35</f>
        <v>2012</v>
      </c>
      <c r="M35" s="735">
        <f>D35</f>
        <v>2013</v>
      </c>
      <c r="N35" s="735">
        <f>E35</f>
        <v>2014</v>
      </c>
    </row>
    <row r="36" spans="1:14">
      <c r="A36" s="749" t="s">
        <v>50</v>
      </c>
      <c r="B36" s="750" t="e">
        <f>B42/$F$46</f>
        <v>#DIV/0!</v>
      </c>
      <c r="C36" s="750" t="e">
        <f t="shared" ref="C36:E39" si="0">C42/$F$46</f>
        <v>#DIV/0!</v>
      </c>
      <c r="D36" s="750" t="e">
        <f t="shared" si="0"/>
        <v>#DIV/0!</v>
      </c>
      <c r="E36" s="751" t="e">
        <f t="shared" si="0"/>
        <v>#DIV/0!</v>
      </c>
      <c r="F36" s="752" t="e">
        <f>SUM(B36:E36)</f>
        <v>#DIV/0!</v>
      </c>
      <c r="G36" s="749"/>
      <c r="H36" s="753"/>
      <c r="J36" s="735" t="str">
        <f>A36</f>
        <v>2011 CDM Programs</v>
      </c>
      <c r="K36" s="754">
        <f>50%</f>
        <v>0.5</v>
      </c>
      <c r="L36" s="755">
        <v>1</v>
      </c>
      <c r="M36" s="756">
        <v>1</v>
      </c>
      <c r="N36" s="756">
        <v>1</v>
      </c>
    </row>
    <row r="37" spans="1:14">
      <c r="A37" s="749" t="s">
        <v>51</v>
      </c>
      <c r="C37" s="750" t="e">
        <f t="shared" si="0"/>
        <v>#DIV/0!</v>
      </c>
      <c r="D37" s="750" t="e">
        <f t="shared" si="0"/>
        <v>#DIV/0!</v>
      </c>
      <c r="E37" s="751" t="e">
        <f t="shared" si="0"/>
        <v>#DIV/0!</v>
      </c>
      <c r="F37" s="752" t="e">
        <f>SUM(B37:E37)</f>
        <v>#DIV/0!</v>
      </c>
      <c r="G37" s="749"/>
      <c r="H37" s="753"/>
      <c r="J37" s="735" t="str">
        <f>A37</f>
        <v>2012 CDM Programs</v>
      </c>
      <c r="L37" s="755">
        <v>0.5</v>
      </c>
      <c r="M37" s="756">
        <v>1</v>
      </c>
      <c r="N37" s="756">
        <v>1</v>
      </c>
    </row>
    <row r="38" spans="1:14">
      <c r="A38" s="749" t="s">
        <v>52</v>
      </c>
      <c r="D38" s="750" t="e">
        <f t="shared" si="0"/>
        <v>#DIV/0!</v>
      </c>
      <c r="E38" s="751" t="e">
        <f t="shared" si="0"/>
        <v>#DIV/0!</v>
      </c>
      <c r="F38" s="752" t="e">
        <f>SUM(B38:E38)</f>
        <v>#DIV/0!</v>
      </c>
      <c r="G38" s="749"/>
      <c r="H38" s="753"/>
      <c r="J38" s="735" t="str">
        <f>A38</f>
        <v>2013 CDM Programs</v>
      </c>
      <c r="M38" s="756">
        <v>0.5</v>
      </c>
      <c r="N38" s="756">
        <v>1</v>
      </c>
    </row>
    <row r="39" spans="1:14" ht="15.75" thickBot="1">
      <c r="A39" s="757" t="s">
        <v>53</v>
      </c>
      <c r="B39" s="758"/>
      <c r="C39" s="758"/>
      <c r="D39" s="758"/>
      <c r="E39" s="759" t="e">
        <f t="shared" si="0"/>
        <v>#DIV/0!</v>
      </c>
      <c r="F39" s="760" t="e">
        <f>SUM(B39:E39)</f>
        <v>#DIV/0!</v>
      </c>
      <c r="G39" s="749"/>
      <c r="H39" s="753"/>
      <c r="J39" s="735" t="str">
        <f>A39</f>
        <v>2014 CDM Programs</v>
      </c>
      <c r="N39" s="756">
        <v>0.5</v>
      </c>
    </row>
    <row r="40" spans="1:14" ht="15.75" thickTop="1">
      <c r="A40" s="747" t="s">
        <v>54</v>
      </c>
      <c r="B40" s="761" t="e">
        <f>SUM(B36:B39)</f>
        <v>#DIV/0!</v>
      </c>
      <c r="C40" s="761" t="e">
        <f>SUM(C36:C39)</f>
        <v>#DIV/0!</v>
      </c>
      <c r="D40" s="761" t="e">
        <f>SUM(D36:D39)</f>
        <v>#DIV/0!</v>
      </c>
      <c r="E40" s="762" t="e">
        <f>SUM(E36:E39)</f>
        <v>#DIV/0!</v>
      </c>
      <c r="F40" s="763" t="e">
        <f>SUM(B40:E40)</f>
        <v>#DIV/0!</v>
      </c>
      <c r="G40" s="749"/>
      <c r="H40" s="753"/>
    </row>
    <row r="41" spans="1:14" ht="12" customHeight="1">
      <c r="A41" s="1072" t="s">
        <v>36</v>
      </c>
      <c r="B41" s="1073"/>
      <c r="C41" s="1073"/>
      <c r="D41" s="1073"/>
      <c r="E41" s="1073"/>
      <c r="F41" s="1074"/>
      <c r="G41" s="749"/>
      <c r="H41" s="753"/>
    </row>
    <row r="42" spans="1:14">
      <c r="A42" s="749" t="s">
        <v>50</v>
      </c>
      <c r="B42" s="764">
        <f>'10. CDM Adjustment'!C26</f>
        <v>0</v>
      </c>
      <c r="C42" s="764">
        <f>'10. CDM Adjustment'!D26</f>
        <v>0</v>
      </c>
      <c r="D42" s="764">
        <f>'10. CDM Adjustment'!E26</f>
        <v>0</v>
      </c>
      <c r="E42" s="764">
        <f>'10. CDM Adjustment'!F26</f>
        <v>0</v>
      </c>
      <c r="F42" s="765">
        <f>SUM(B42:E42)</f>
        <v>0</v>
      </c>
      <c r="G42" s="749"/>
      <c r="H42" s="753"/>
    </row>
    <row r="43" spans="1:14">
      <c r="A43" s="749" t="s">
        <v>51</v>
      </c>
      <c r="B43" s="764"/>
      <c r="C43" s="764">
        <f>'10. CDM Adjustment'!D27</f>
        <v>0</v>
      </c>
      <c r="D43" s="764">
        <f>'10. CDM Adjustment'!E27</f>
        <v>0</v>
      </c>
      <c r="E43" s="764">
        <f>'10. CDM Adjustment'!F27</f>
        <v>0</v>
      </c>
      <c r="F43" s="765">
        <f>SUM(B43:E43)</f>
        <v>0</v>
      </c>
      <c r="G43" s="749"/>
      <c r="H43" s="753"/>
    </row>
    <row r="44" spans="1:14">
      <c r="A44" s="749" t="s">
        <v>52</v>
      </c>
      <c r="B44" s="766"/>
      <c r="C44" s="766"/>
      <c r="D44" s="764">
        <f>'10. CDM Adjustment'!E28</f>
        <v>0</v>
      </c>
      <c r="E44" s="764">
        <f>'10. CDM Adjustment'!F28</f>
        <v>0</v>
      </c>
      <c r="F44" s="765">
        <f>SUM(B44:E44)</f>
        <v>0</v>
      </c>
      <c r="G44" s="749"/>
      <c r="H44" s="753"/>
    </row>
    <row r="45" spans="1:14" ht="15.75" thickBot="1">
      <c r="A45" s="757" t="s">
        <v>53</v>
      </c>
      <c r="B45" s="767"/>
      <c r="C45" s="767"/>
      <c r="D45" s="764">
        <f>'10. CDM Adjustment'!E29</f>
        <v>0</v>
      </c>
      <c r="E45" s="764">
        <f>'10. CDM Adjustment'!F29</f>
        <v>0</v>
      </c>
      <c r="F45" s="768">
        <f>SUM(B45:E45)</f>
        <v>0</v>
      </c>
      <c r="G45" s="769"/>
      <c r="H45" s="770"/>
    </row>
    <row r="46" spans="1:14" ht="16.5" thickTop="1" thickBot="1">
      <c r="A46" s="771" t="s">
        <v>54</v>
      </c>
      <c r="B46" s="772">
        <f>SUM(B42:B45)</f>
        <v>0</v>
      </c>
      <c r="C46" s="772">
        <f>SUM(C42:C45)</f>
        <v>0</v>
      </c>
      <c r="D46" s="772">
        <f>SUM(D42:D45)</f>
        <v>0</v>
      </c>
      <c r="E46" s="773">
        <f>SUM(E42:E45)</f>
        <v>0</v>
      </c>
      <c r="F46" s="774">
        <f>SUM(F42:F45)</f>
        <v>0</v>
      </c>
      <c r="G46" s="775"/>
      <c r="H46" s="776"/>
    </row>
    <row r="47" spans="1:14" ht="12" customHeight="1">
      <c r="A47" s="777"/>
      <c r="B47" s="778"/>
      <c r="C47" s="778"/>
      <c r="D47" s="778"/>
      <c r="E47" s="778"/>
      <c r="F47" s="778"/>
    </row>
    <row r="48" spans="1:14" ht="18.75">
      <c r="A48" s="1075" t="s">
        <v>289</v>
      </c>
      <c r="B48" s="1075"/>
      <c r="C48" s="1075"/>
      <c r="D48" s="1075"/>
      <c r="E48" s="1075"/>
      <c r="F48" s="1075"/>
    </row>
    <row r="49" spans="1:8">
      <c r="A49" s="777"/>
      <c r="B49" s="778"/>
      <c r="C49" s="778"/>
      <c r="D49" s="778"/>
      <c r="E49" s="778"/>
      <c r="F49" s="778"/>
    </row>
    <row r="50" spans="1:8" ht="96.75" customHeight="1">
      <c r="A50" s="1050" t="s">
        <v>290</v>
      </c>
      <c r="B50" s="1050"/>
      <c r="C50" s="1050"/>
      <c r="D50" s="1050"/>
      <c r="E50" s="1050"/>
      <c r="F50" s="1050"/>
      <c r="G50" s="1050"/>
      <c r="H50" s="1050"/>
    </row>
    <row r="51" spans="1:8" ht="15.75" thickBot="1">
      <c r="A51" s="777"/>
      <c r="B51" s="778"/>
      <c r="C51" s="778"/>
      <c r="D51" s="778"/>
      <c r="E51" s="778"/>
      <c r="F51" s="778"/>
    </row>
    <row r="52" spans="1:8">
      <c r="A52" s="1076" t="s">
        <v>194</v>
      </c>
      <c r="B52" s="1077"/>
      <c r="C52" s="1077"/>
      <c r="D52" s="1077"/>
      <c r="E52" s="1077"/>
      <c r="F52" s="1077"/>
      <c r="G52" s="1077"/>
      <c r="H52" s="1078"/>
    </row>
    <row r="53" spans="1:8">
      <c r="A53" s="1079"/>
      <c r="B53" s="1080"/>
      <c r="C53" s="1080"/>
      <c r="D53" s="1080"/>
      <c r="E53" s="1080"/>
      <c r="F53" s="1080"/>
      <c r="G53" s="1080"/>
      <c r="H53" s="1081"/>
    </row>
    <row r="54" spans="1:8">
      <c r="A54" s="779"/>
      <c r="B54" s="780">
        <v>2015</v>
      </c>
      <c r="C54" s="780">
        <v>2016</v>
      </c>
      <c r="D54" s="780">
        <v>2017</v>
      </c>
      <c r="E54" s="780">
        <v>2018</v>
      </c>
      <c r="F54" s="780">
        <v>2019</v>
      </c>
      <c r="G54" s="780">
        <v>2020</v>
      </c>
      <c r="H54" s="781" t="s">
        <v>16</v>
      </c>
    </row>
    <row r="55" spans="1:8">
      <c r="A55" s="1082" t="s">
        <v>195</v>
      </c>
      <c r="B55" s="1083"/>
      <c r="C55" s="1083"/>
      <c r="D55" s="1083"/>
      <c r="E55" s="1083"/>
      <c r="F55" s="1083"/>
      <c r="G55" s="1083"/>
      <c r="H55" s="1084"/>
    </row>
    <row r="56" spans="1:8">
      <c r="A56" s="749" t="s">
        <v>196</v>
      </c>
      <c r="B56" s="750" t="e">
        <f>B64/$H$70</f>
        <v>#DIV/0!</v>
      </c>
      <c r="C56" s="782"/>
      <c r="D56" s="782"/>
      <c r="E56" s="782"/>
      <c r="F56" s="782"/>
      <c r="G56" s="783"/>
      <c r="H56" s="752" t="e">
        <f>SUM(B56:G56)</f>
        <v>#DIV/0!</v>
      </c>
    </row>
    <row r="57" spans="1:8">
      <c r="A57" s="749" t="s">
        <v>197</v>
      </c>
      <c r="C57" s="750" t="e">
        <f>C65/$H$70</f>
        <v>#DIV/0!</v>
      </c>
      <c r="D57" s="782"/>
      <c r="E57" s="782"/>
      <c r="F57" s="782"/>
      <c r="G57" s="783"/>
      <c r="H57" s="752" t="e">
        <f>SUM(B57:G57)</f>
        <v>#DIV/0!</v>
      </c>
    </row>
    <row r="58" spans="1:8">
      <c r="A58" s="749" t="s">
        <v>198</v>
      </c>
      <c r="D58" s="750" t="e">
        <f>D66/$H$70</f>
        <v>#DIV/0!</v>
      </c>
      <c r="E58" s="782"/>
      <c r="F58" s="782"/>
      <c r="G58" s="783"/>
      <c r="H58" s="752" t="e">
        <f>SUM(B58:G58)</f>
        <v>#DIV/0!</v>
      </c>
    </row>
    <row r="59" spans="1:8">
      <c r="A59" s="749" t="s">
        <v>199</v>
      </c>
      <c r="D59" s="750"/>
      <c r="E59" s="750" t="e">
        <f>E67/$H$70</f>
        <v>#DIV/0!</v>
      </c>
      <c r="F59" s="782"/>
      <c r="G59" s="783"/>
      <c r="H59" s="752" t="e">
        <f>SUM(E59:G59)</f>
        <v>#DIV/0!</v>
      </c>
    </row>
    <row r="60" spans="1:8">
      <c r="A60" s="749" t="s">
        <v>200</v>
      </c>
      <c r="D60" s="750"/>
      <c r="E60" s="750"/>
      <c r="F60" s="750" t="e">
        <f>F68/$H$70</f>
        <v>#DIV/0!</v>
      </c>
      <c r="G60" s="783"/>
      <c r="H60" s="752" t="e">
        <f>SUM(F60:G60)</f>
        <v>#DIV/0!</v>
      </c>
    </row>
    <row r="61" spans="1:8" ht="15.75" thickBot="1">
      <c r="A61" s="757" t="s">
        <v>201</v>
      </c>
      <c r="B61" s="758"/>
      <c r="C61" s="758"/>
      <c r="D61" s="758"/>
      <c r="E61" s="758"/>
      <c r="F61" s="758"/>
      <c r="G61" s="759" t="e">
        <f>G69/$H$70</f>
        <v>#DIV/0!</v>
      </c>
      <c r="H61" s="760" t="e">
        <f>SUM(B61:G61)</f>
        <v>#DIV/0!</v>
      </c>
    </row>
    <row r="62" spans="1:8" ht="15.75" thickTop="1">
      <c r="A62" s="784" t="s">
        <v>54</v>
      </c>
      <c r="B62" s="785" t="e">
        <f>SUM(B56:B61)</f>
        <v>#DIV/0!</v>
      </c>
      <c r="C62" s="785" t="e">
        <f>SUM(C56:C61)</f>
        <v>#DIV/0!</v>
      </c>
      <c r="D62" s="785" t="e">
        <f>SUM(D56:D61)</f>
        <v>#DIV/0!</v>
      </c>
      <c r="E62" s="785" t="e">
        <f>SUM(E56:E59)</f>
        <v>#DIV/0!</v>
      </c>
      <c r="F62" s="785" t="e">
        <f>SUM(F56:F60)</f>
        <v>#DIV/0!</v>
      </c>
      <c r="G62" s="786" t="e">
        <f>SUM(G56:G61)</f>
        <v>#DIV/0!</v>
      </c>
      <c r="H62" s="787" t="e">
        <f>SUM(B62:G62)</f>
        <v>#DIV/0!</v>
      </c>
    </row>
    <row r="63" spans="1:8" ht="12" customHeight="1">
      <c r="A63" s="1072" t="s">
        <v>36</v>
      </c>
      <c r="B63" s="1073"/>
      <c r="C63" s="1073"/>
      <c r="D63" s="1073"/>
      <c r="E63" s="1073"/>
      <c r="F63" s="1073"/>
      <c r="G63" s="1073"/>
      <c r="H63" s="1074"/>
    </row>
    <row r="64" spans="1:8">
      <c r="A64" s="749" t="str">
        <f t="shared" ref="A64:A69" si="1">A56</f>
        <v>2015 CDM Programs</v>
      </c>
      <c r="B64" s="764"/>
      <c r="C64" s="764"/>
      <c r="D64" s="782"/>
      <c r="E64" s="788"/>
      <c r="F64" s="788"/>
      <c r="G64" s="789"/>
      <c r="H64" s="765">
        <f>SUM(B64:G64)</f>
        <v>0</v>
      </c>
    </row>
    <row r="65" spans="1:8">
      <c r="A65" s="749" t="str">
        <f t="shared" si="1"/>
        <v>2016 CDM Programs</v>
      </c>
      <c r="B65" s="766"/>
      <c r="C65" s="790"/>
      <c r="D65" s="791"/>
      <c r="E65" s="791"/>
      <c r="F65" s="791"/>
      <c r="G65" s="792"/>
      <c r="H65" s="765">
        <f>SUM(B65:G65)</f>
        <v>0</v>
      </c>
    </row>
    <row r="66" spans="1:8">
      <c r="A66" s="749" t="str">
        <f t="shared" si="1"/>
        <v>2017 CDM Programs</v>
      </c>
      <c r="B66" s="766"/>
      <c r="C66" s="766"/>
      <c r="D66" s="790"/>
      <c r="E66" s="791"/>
      <c r="F66" s="791"/>
      <c r="G66" s="792"/>
      <c r="H66" s="765">
        <f>SUM(B66:G66)</f>
        <v>0</v>
      </c>
    </row>
    <row r="67" spans="1:8">
      <c r="A67" s="749" t="str">
        <f t="shared" si="1"/>
        <v>2018 CDM Programs</v>
      </c>
      <c r="B67" s="766"/>
      <c r="C67" s="766"/>
      <c r="D67" s="793"/>
      <c r="E67" s="764">
        <f>D66</f>
        <v>0</v>
      </c>
      <c r="F67" s="788"/>
      <c r="G67" s="789"/>
      <c r="H67" s="765">
        <f>SUM(E67:G67)</f>
        <v>0</v>
      </c>
    </row>
    <row r="68" spans="1:8">
      <c r="A68" s="749" t="str">
        <f t="shared" si="1"/>
        <v>2019 CDM Programs</v>
      </c>
      <c r="B68" s="766"/>
      <c r="C68" s="766"/>
      <c r="D68" s="793"/>
      <c r="E68" s="793"/>
      <c r="F68" s="764">
        <f>E67</f>
        <v>0</v>
      </c>
      <c r="G68" s="789"/>
      <c r="H68" s="765">
        <f>SUM(F68:G68)</f>
        <v>0</v>
      </c>
    </row>
    <row r="69" spans="1:8" ht="15.75" thickBot="1">
      <c r="A69" s="757" t="str">
        <f t="shared" si="1"/>
        <v>2020 CDM Programs</v>
      </c>
      <c r="B69" s="767"/>
      <c r="C69" s="767"/>
      <c r="D69" s="767"/>
      <c r="E69" s="767"/>
      <c r="F69" s="767"/>
      <c r="G69" s="794">
        <f>F68</f>
        <v>0</v>
      </c>
      <c r="H69" s="768">
        <f>SUM(B69:G69)</f>
        <v>0</v>
      </c>
    </row>
    <row r="70" spans="1:8" ht="16.5" thickTop="1" thickBot="1">
      <c r="A70" s="771" t="s">
        <v>54</v>
      </c>
      <c r="B70" s="772">
        <f>SUM(B64:B69)</f>
        <v>0</v>
      </c>
      <c r="C70" s="772">
        <f>SUM(C64:C69)</f>
        <v>0</v>
      </c>
      <c r="D70" s="772">
        <f>SUM(D64:D69)</f>
        <v>0</v>
      </c>
      <c r="E70" s="772">
        <f>SUM(E64:E67)</f>
        <v>0</v>
      </c>
      <c r="F70" s="772">
        <f>SUM(F64:F68)</f>
        <v>0</v>
      </c>
      <c r="G70" s="773">
        <f>SUM(G64:G69)</f>
        <v>0</v>
      </c>
      <c r="H70" s="774">
        <f>A53</f>
        <v>0</v>
      </c>
    </row>
    <row r="71" spans="1:8" ht="12" customHeight="1">
      <c r="A71" s="777"/>
      <c r="B71" s="778"/>
      <c r="C71" s="778"/>
      <c r="D71" s="778"/>
      <c r="E71" s="778"/>
      <c r="F71" s="778"/>
    </row>
    <row r="72" spans="1:8" ht="18.75">
      <c r="A72" s="1063" t="s">
        <v>291</v>
      </c>
      <c r="B72" s="1063"/>
      <c r="C72" s="1063"/>
      <c r="D72" s="1063"/>
      <c r="E72" s="1063"/>
      <c r="F72" s="1063"/>
      <c r="G72" s="1063"/>
      <c r="H72" s="1063"/>
    </row>
    <row r="73" spans="1:8" ht="12" customHeight="1">
      <c r="A73" s="777"/>
      <c r="B73" s="778"/>
      <c r="C73" s="778"/>
      <c r="D73" s="778"/>
      <c r="E73" s="778"/>
      <c r="F73" s="778"/>
    </row>
    <row r="74" spans="1:8" ht="75" customHeight="1">
      <c r="A74" s="1050" t="s">
        <v>203</v>
      </c>
      <c r="B74" s="1050"/>
      <c r="C74" s="1050"/>
      <c r="D74" s="1050"/>
      <c r="E74" s="1050"/>
      <c r="F74" s="1050"/>
      <c r="G74" s="1050"/>
      <c r="H74" s="1050"/>
    </row>
    <row r="75" spans="1:8" ht="12" customHeight="1">
      <c r="A75" s="777"/>
      <c r="B75" s="778"/>
      <c r="C75" s="778"/>
      <c r="D75" s="778"/>
      <c r="E75" s="778"/>
      <c r="F75" s="778"/>
    </row>
    <row r="76" spans="1:8" ht="47.25" customHeight="1">
      <c r="A76" s="1050" t="s">
        <v>292</v>
      </c>
      <c r="B76" s="1050"/>
      <c r="C76" s="1050"/>
      <c r="D76" s="1050"/>
      <c r="E76" s="1050"/>
      <c r="F76" s="1050"/>
      <c r="G76" s="1050"/>
      <c r="H76" s="1050"/>
    </row>
    <row r="77" spans="1:8" ht="12" customHeight="1" thickBot="1">
      <c r="A77" s="795"/>
      <c r="B77" s="795"/>
      <c r="C77" s="795"/>
      <c r="D77" s="795"/>
      <c r="E77" s="795"/>
      <c r="F77" s="795"/>
    </row>
    <row r="78" spans="1:8">
      <c r="A78" s="1052" t="s">
        <v>69</v>
      </c>
      <c r="B78" s="1053"/>
      <c r="C78" s="1053"/>
      <c r="D78" s="1053"/>
      <c r="E78" s="1053"/>
      <c r="F78" s="1054"/>
    </row>
    <row r="79" spans="1:8" ht="12" customHeight="1">
      <c r="A79" s="796"/>
      <c r="B79" s="797"/>
      <c r="C79" s="797"/>
      <c r="D79" s="797"/>
      <c r="E79" s="797"/>
      <c r="F79" s="798"/>
    </row>
    <row r="80" spans="1:8">
      <c r="A80" s="1055" t="s">
        <v>70</v>
      </c>
      <c r="B80" s="1056"/>
      <c r="C80" s="1056"/>
      <c r="D80" s="1056"/>
      <c r="E80" s="1056"/>
      <c r="F80" s="799" t="s">
        <v>71</v>
      </c>
    </row>
    <row r="81" spans="1:9" ht="12" customHeight="1">
      <c r="A81" s="800"/>
      <c r="B81" s="801"/>
      <c r="C81" s="801"/>
      <c r="D81" s="801"/>
      <c r="E81" s="801"/>
      <c r="F81" s="802"/>
    </row>
    <row r="82" spans="1:9" ht="32.25" customHeight="1">
      <c r="A82" s="803"/>
      <c r="B82" s="804"/>
      <c r="C82" s="797" t="s">
        <v>55</v>
      </c>
      <c r="D82" s="797" t="s">
        <v>56</v>
      </c>
      <c r="E82" s="797" t="s">
        <v>57</v>
      </c>
      <c r="F82" s="805" t="s">
        <v>72</v>
      </c>
    </row>
    <row r="83" spans="1:9" ht="15" customHeight="1">
      <c r="A83" s="1057" t="s">
        <v>73</v>
      </c>
      <c r="B83" s="1058"/>
      <c r="C83" s="806" t="s">
        <v>36</v>
      </c>
      <c r="D83" s="806" t="s">
        <v>36</v>
      </c>
      <c r="E83" s="806" t="s">
        <v>36</v>
      </c>
      <c r="F83" s="807" t="s">
        <v>74</v>
      </c>
    </row>
    <row r="84" spans="1:9">
      <c r="A84" s="808" t="s">
        <v>75</v>
      </c>
      <c r="B84" s="809"/>
      <c r="C84" s="810"/>
      <c r="D84" s="810"/>
      <c r="E84" s="811"/>
      <c r="F84" s="812"/>
    </row>
    <row r="85" spans="1:9">
      <c r="A85" s="808" t="s">
        <v>76</v>
      </c>
      <c r="B85" s="809"/>
      <c r="C85" s="813"/>
      <c r="D85" s="813"/>
      <c r="E85" s="811"/>
      <c r="F85" s="812"/>
    </row>
    <row r="86" spans="1:9">
      <c r="A86" s="808" t="s">
        <v>77</v>
      </c>
      <c r="B86" s="809"/>
      <c r="C86" s="810"/>
      <c r="D86" s="810"/>
      <c r="E86" s="811"/>
      <c r="F86" s="812"/>
    </row>
    <row r="87" spans="1:9">
      <c r="A87" s="808" t="s">
        <v>205</v>
      </c>
      <c r="B87" s="809"/>
      <c r="C87" s="810"/>
      <c r="D87" s="810"/>
      <c r="E87" s="811"/>
      <c r="F87" s="812"/>
    </row>
    <row r="88" spans="1:9" ht="15.75" thickBot="1">
      <c r="A88" s="814" t="s">
        <v>293</v>
      </c>
      <c r="B88" s="815"/>
      <c r="C88" s="816"/>
      <c r="D88" s="816"/>
      <c r="E88" s="811"/>
      <c r="F88" s="812"/>
    </row>
    <row r="89" spans="1:9" ht="29.25" customHeight="1" thickTop="1" thickBot="1">
      <c r="A89" s="1059" t="s">
        <v>294</v>
      </c>
      <c r="B89" s="1060"/>
      <c r="C89" s="817">
        <f>SUM(C84:C88)</f>
        <v>0</v>
      </c>
      <c r="D89" s="817">
        <f>SUM(D84:D88)</f>
        <v>0</v>
      </c>
      <c r="E89" s="817">
        <f>C89-D89</f>
        <v>0</v>
      </c>
      <c r="F89" s="818">
        <f>IF(D89=0,0,IF(F80="net",0,E89/D89))</f>
        <v>0</v>
      </c>
    </row>
    <row r="90" spans="1:9" ht="13.5" customHeight="1">
      <c r="A90" s="819"/>
      <c r="B90" s="819"/>
      <c r="F90" s="820"/>
    </row>
    <row r="91" spans="1:9" ht="29.25" customHeight="1">
      <c r="A91" s="1050" t="s">
        <v>78</v>
      </c>
      <c r="B91" s="1050"/>
      <c r="C91" s="1050"/>
      <c r="D91" s="1050"/>
      <c r="E91" s="1050"/>
      <c r="F91" s="1050"/>
      <c r="G91" s="1050"/>
      <c r="H91" s="1050"/>
    </row>
    <row r="92" spans="1:9" ht="12" customHeight="1">
      <c r="A92" s="821"/>
      <c r="B92" s="821"/>
      <c r="C92" s="821"/>
      <c r="D92" s="821"/>
      <c r="E92" s="821"/>
      <c r="F92" s="821"/>
      <c r="G92" s="821"/>
      <c r="H92" s="821"/>
    </row>
    <row r="93" spans="1:9" ht="41.25" customHeight="1">
      <c r="A93" s="1050" t="s">
        <v>295</v>
      </c>
      <c r="B93" s="1050"/>
      <c r="C93" s="1050"/>
      <c r="D93" s="1050"/>
      <c r="E93" s="1050"/>
      <c r="F93" s="1050"/>
      <c r="G93" s="1050"/>
      <c r="H93" s="1050"/>
    </row>
    <row r="94" spans="1:9" ht="12" customHeight="1">
      <c r="A94" s="819"/>
      <c r="B94" s="819"/>
      <c r="F94" s="820"/>
    </row>
    <row r="95" spans="1:9" ht="15.75" customHeight="1" thickBot="1">
      <c r="A95" s="1061" t="s">
        <v>80</v>
      </c>
      <c r="B95" s="1061"/>
      <c r="C95" s="1061"/>
      <c r="D95" s="1061"/>
      <c r="E95" s="1061"/>
      <c r="F95" s="1061"/>
    </row>
    <row r="96" spans="1:9" ht="16.5" customHeight="1">
      <c r="A96" s="822"/>
      <c r="B96" s="823">
        <v>2011</v>
      </c>
      <c r="C96" s="823">
        <v>2012</v>
      </c>
      <c r="D96" s="823">
        <v>2013</v>
      </c>
      <c r="E96" s="823">
        <v>2014</v>
      </c>
      <c r="F96" s="824">
        <v>2015</v>
      </c>
      <c r="G96" s="824">
        <v>2016</v>
      </c>
      <c r="H96" s="824">
        <v>2017</v>
      </c>
      <c r="I96" s="825"/>
    </row>
    <row r="97" spans="1:9" ht="62.25" customHeight="1">
      <c r="A97" s="826" t="s">
        <v>81</v>
      </c>
      <c r="B97" s="827">
        <v>0</v>
      </c>
      <c r="C97" s="827">
        <v>0</v>
      </c>
      <c r="D97" s="827">
        <v>0</v>
      </c>
      <c r="E97" s="827">
        <v>0</v>
      </c>
      <c r="F97" s="827">
        <v>0</v>
      </c>
      <c r="G97" s="827">
        <v>1</v>
      </c>
      <c r="H97" s="827">
        <v>0.5</v>
      </c>
      <c r="I97" s="828" t="s">
        <v>209</v>
      </c>
    </row>
    <row r="98" spans="1:9" ht="288.75" customHeight="1" thickBot="1">
      <c r="A98" s="829" t="s">
        <v>82</v>
      </c>
      <c r="B98" s="830" t="s">
        <v>210</v>
      </c>
      <c r="C98" s="830" t="s">
        <v>211</v>
      </c>
      <c r="D98" s="831" t="s">
        <v>296</v>
      </c>
      <c r="E98" s="831" t="s">
        <v>297</v>
      </c>
      <c r="F98" s="831" t="s">
        <v>297</v>
      </c>
      <c r="G98" s="830" t="s">
        <v>298</v>
      </c>
      <c r="H98" s="830" t="s">
        <v>299</v>
      </c>
      <c r="I98" s="818"/>
    </row>
    <row r="99" spans="1:9" ht="12" customHeight="1">
      <c r="A99" s="832"/>
      <c r="B99" s="833"/>
      <c r="C99" s="833"/>
      <c r="D99" s="833"/>
      <c r="E99" s="833"/>
      <c r="F99" s="833"/>
      <c r="G99" s="820"/>
    </row>
    <row r="100" spans="1:9" ht="19.5" customHeight="1">
      <c r="A100" s="1062" t="s">
        <v>215</v>
      </c>
      <c r="B100" s="1062"/>
      <c r="C100" s="1062"/>
      <c r="D100" s="1062"/>
      <c r="E100" s="1062"/>
      <c r="F100" s="1062"/>
      <c r="G100" s="1062"/>
      <c r="H100" s="1062"/>
    </row>
    <row r="101" spans="1:9" ht="13.5" customHeight="1">
      <c r="A101" s="834"/>
      <c r="B101" s="834"/>
      <c r="C101" s="834"/>
      <c r="D101" s="834"/>
      <c r="E101" s="834"/>
      <c r="F101" s="834"/>
      <c r="G101" s="834"/>
      <c r="H101" s="834"/>
    </row>
    <row r="102" spans="1:9" ht="75.75" customHeight="1">
      <c r="A102" s="1050" t="s">
        <v>300</v>
      </c>
      <c r="B102" s="1050"/>
      <c r="C102" s="1050"/>
      <c r="D102" s="1050"/>
      <c r="E102" s="1050"/>
      <c r="F102" s="1050"/>
      <c r="G102" s="1050"/>
      <c r="H102" s="1050"/>
    </row>
    <row r="103" spans="1:9" ht="12" customHeight="1">
      <c r="A103" s="819"/>
      <c r="B103" s="833"/>
      <c r="C103" s="833"/>
      <c r="D103" s="833"/>
      <c r="E103" s="833"/>
      <c r="F103" s="820"/>
    </row>
    <row r="104" spans="1:9" ht="57.75" customHeight="1">
      <c r="A104" s="1050" t="s">
        <v>301</v>
      </c>
      <c r="B104" s="1050"/>
      <c r="C104" s="1050"/>
      <c r="D104" s="1050"/>
      <c r="E104" s="1050"/>
      <c r="F104" s="1050"/>
      <c r="G104" s="1050"/>
      <c r="H104" s="1050"/>
    </row>
    <row r="105" spans="1:9" ht="12" customHeight="1"/>
    <row r="106" spans="1:9">
      <c r="A106" s="1049" t="s">
        <v>302</v>
      </c>
      <c r="B106" s="1049"/>
      <c r="C106" s="1049"/>
      <c r="D106" s="1049"/>
      <c r="E106" s="1049"/>
      <c r="F106" s="1049"/>
      <c r="G106" s="1049"/>
      <c r="H106" s="1049"/>
    </row>
    <row r="108" spans="1:9" ht="29.25" customHeight="1">
      <c r="A108" s="1050" t="s">
        <v>303</v>
      </c>
      <c r="B108" s="1050"/>
      <c r="C108" s="1050"/>
      <c r="D108" s="1050"/>
      <c r="E108" s="1050"/>
      <c r="F108" s="1050"/>
      <c r="G108" s="1050"/>
      <c r="H108" s="1050"/>
    </row>
    <row r="109" spans="1:9" ht="12" customHeight="1"/>
    <row r="110" spans="1:9" ht="46.5" customHeight="1">
      <c r="A110" s="1050" t="s">
        <v>304</v>
      </c>
      <c r="B110" s="1050"/>
      <c r="C110" s="1050"/>
      <c r="D110" s="1050"/>
      <c r="E110" s="1050"/>
      <c r="F110" s="1050"/>
      <c r="G110" s="1050"/>
      <c r="H110" s="1050"/>
    </row>
    <row r="111" spans="1:9" ht="12" customHeight="1"/>
    <row r="112" spans="1:9" ht="30" customHeight="1">
      <c r="A112" s="1050" t="s">
        <v>216</v>
      </c>
      <c r="B112" s="1050"/>
      <c r="C112" s="1050"/>
      <c r="D112" s="1050"/>
      <c r="E112" s="1050"/>
      <c r="F112" s="1050"/>
      <c r="G112" s="1050"/>
      <c r="H112" s="1050"/>
    </row>
    <row r="113" spans="1:9" ht="13.5" customHeight="1" thickBot="1">
      <c r="A113" s="819"/>
      <c r="B113" s="819"/>
      <c r="F113" s="820"/>
    </row>
    <row r="114" spans="1:9">
      <c r="A114" s="835"/>
      <c r="B114" s="836">
        <v>2011</v>
      </c>
      <c r="C114" s="837">
        <v>2012</v>
      </c>
      <c r="D114" s="837">
        <v>2013</v>
      </c>
      <c r="E114" s="837">
        <v>2014</v>
      </c>
      <c r="F114" s="837">
        <v>2015</v>
      </c>
      <c r="G114" s="838">
        <v>2016</v>
      </c>
      <c r="H114" s="838">
        <v>2017</v>
      </c>
      <c r="I114" s="839" t="s">
        <v>305</v>
      </c>
    </row>
    <row r="115" spans="1:9">
      <c r="A115" s="840"/>
      <c r="B115" s="841" t="s">
        <v>36</v>
      </c>
      <c r="C115" s="842"/>
      <c r="D115" s="842"/>
      <c r="E115" s="842"/>
      <c r="F115" s="842"/>
      <c r="G115" s="842"/>
      <c r="H115" s="842"/>
      <c r="I115" s="843"/>
    </row>
    <row r="116" spans="1:9" ht="30">
      <c r="A116" s="844" t="s">
        <v>83</v>
      </c>
      <c r="B116" s="845">
        <f>E42</f>
        <v>0</v>
      </c>
      <c r="C116" s="845">
        <f>E43</f>
        <v>0</v>
      </c>
      <c r="D116" s="845">
        <f>E44</f>
        <v>0</v>
      </c>
      <c r="E116" s="845">
        <f>E45</f>
        <v>0</v>
      </c>
      <c r="F116" s="845"/>
      <c r="G116" s="845"/>
      <c r="H116" s="846"/>
      <c r="I116" s="847"/>
    </row>
    <row r="117" spans="1:9" ht="12" customHeight="1">
      <c r="A117" s="844"/>
      <c r="B117" s="845"/>
      <c r="C117" s="845"/>
      <c r="D117" s="845"/>
      <c r="E117" s="845"/>
      <c r="F117" s="845"/>
      <c r="G117" s="845"/>
      <c r="H117" s="846"/>
      <c r="I117" s="847"/>
    </row>
    <row r="118" spans="1:9" ht="75">
      <c r="A118" s="848" t="s">
        <v>306</v>
      </c>
      <c r="B118" s="849"/>
      <c r="C118" s="850"/>
      <c r="D118" s="845">
        <f>B118</f>
        <v>0</v>
      </c>
      <c r="E118" s="845">
        <f>B118</f>
        <v>0</v>
      </c>
      <c r="F118" s="845"/>
      <c r="G118" s="845"/>
      <c r="H118" s="846"/>
      <c r="I118" s="847"/>
    </row>
    <row r="119" spans="1:9" ht="12" customHeight="1">
      <c r="A119" s="851"/>
      <c r="B119" s="852"/>
      <c r="C119" s="852"/>
      <c r="D119" s="852"/>
      <c r="E119" s="852"/>
      <c r="F119" s="852"/>
      <c r="G119" s="852"/>
      <c r="H119" s="853"/>
      <c r="I119" s="854"/>
    </row>
    <row r="120" spans="1:9" ht="30.75" thickBot="1">
      <c r="A120" s="855" t="s">
        <v>307</v>
      </c>
      <c r="B120" s="845"/>
      <c r="C120" s="845"/>
      <c r="D120" s="845"/>
      <c r="E120" s="845">
        <f>H45</f>
        <v>0</v>
      </c>
      <c r="F120" s="845">
        <f>B64</f>
        <v>0</v>
      </c>
      <c r="G120" s="845">
        <f>C65</f>
        <v>0</v>
      </c>
      <c r="H120" s="846">
        <f>D66</f>
        <v>0</v>
      </c>
      <c r="I120" s="847">
        <f>SUM(B120:H120)</f>
        <v>0</v>
      </c>
    </row>
    <row r="121" spans="1:9" ht="12" customHeight="1" thickTop="1" thickBot="1">
      <c r="A121" s="856"/>
      <c r="B121" s="852"/>
      <c r="C121" s="852"/>
      <c r="D121" s="852"/>
      <c r="E121" s="852"/>
      <c r="F121" s="852"/>
      <c r="G121" s="852"/>
      <c r="H121" s="853"/>
      <c r="I121" s="854"/>
    </row>
    <row r="122" spans="1:9" ht="30.75" thickTop="1">
      <c r="A122" s="848" t="s">
        <v>308</v>
      </c>
      <c r="B122" s="857">
        <f>B116*(1+F89)*B97</f>
        <v>0</v>
      </c>
      <c r="C122" s="857">
        <f>C116*(1+F89)*C97</f>
        <v>0</v>
      </c>
      <c r="D122" s="857">
        <f>D116*(1+F89)*D97</f>
        <v>0</v>
      </c>
      <c r="E122" s="857">
        <f>E116*(1+F89)*E97</f>
        <v>0</v>
      </c>
      <c r="F122" s="857">
        <f>F120*(1+F89)*F97</f>
        <v>0</v>
      </c>
      <c r="G122" s="857">
        <f>G120*(1+F89)*G97</f>
        <v>0</v>
      </c>
      <c r="H122" s="858">
        <f>H120*(1+F89)*H97</f>
        <v>0</v>
      </c>
      <c r="I122" s="859">
        <f>SUM(B122:H122)</f>
        <v>0</v>
      </c>
    </row>
    <row r="123" spans="1:9" ht="12" customHeight="1">
      <c r="A123" s="851"/>
      <c r="B123" s="860"/>
      <c r="C123" s="860"/>
      <c r="D123" s="860"/>
      <c r="E123" s="860"/>
      <c r="F123" s="860"/>
      <c r="G123" s="860"/>
      <c r="H123" s="861"/>
      <c r="I123" s="862"/>
    </row>
    <row r="124" spans="1:9">
      <c r="A124" s="844" t="s">
        <v>268</v>
      </c>
      <c r="B124" s="863">
        <v>4.41E-2</v>
      </c>
      <c r="C124" s="857" t="s">
        <v>309</v>
      </c>
      <c r="D124" s="864"/>
      <c r="E124" s="857"/>
      <c r="F124" s="857"/>
      <c r="G124" s="857"/>
      <c r="H124" s="858"/>
      <c r="I124" s="865"/>
    </row>
    <row r="125" spans="1:9" ht="45.75" thickBot="1">
      <c r="A125" s="866" t="s">
        <v>310</v>
      </c>
      <c r="B125" s="857">
        <f t="shared" ref="B125:H125" si="2">B122*(1+$B124)</f>
        <v>0</v>
      </c>
      <c r="C125" s="857">
        <f t="shared" si="2"/>
        <v>0</v>
      </c>
      <c r="D125" s="857">
        <f t="shared" si="2"/>
        <v>0</v>
      </c>
      <c r="E125" s="857">
        <f t="shared" si="2"/>
        <v>0</v>
      </c>
      <c r="F125" s="857">
        <f t="shared" si="2"/>
        <v>0</v>
      </c>
      <c r="G125" s="857">
        <f t="shared" si="2"/>
        <v>0</v>
      </c>
      <c r="H125" s="858">
        <f t="shared" si="2"/>
        <v>0</v>
      </c>
      <c r="I125" s="867">
        <f>SUM(B125:H125)</f>
        <v>0</v>
      </c>
    </row>
    <row r="126" spans="1:9" ht="12" customHeight="1">
      <c r="A126" s="868"/>
      <c r="B126" s="869"/>
      <c r="C126" s="869"/>
      <c r="D126" s="869"/>
      <c r="E126" s="869"/>
      <c r="F126" s="869"/>
      <c r="G126" s="869"/>
      <c r="H126" s="869"/>
    </row>
    <row r="127" spans="1:9" ht="31.5" customHeight="1">
      <c r="A127" s="1051" t="s">
        <v>311</v>
      </c>
      <c r="B127" s="1051"/>
      <c r="C127" s="1051"/>
      <c r="D127" s="1051"/>
      <c r="E127" s="1051"/>
      <c r="F127" s="1051"/>
      <c r="G127" s="1051"/>
      <c r="H127" s="1051"/>
    </row>
    <row r="129" spans="1:1">
      <c r="A129" s="777"/>
    </row>
  </sheetData>
  <mergeCells count="41">
    <mergeCell ref="A30:H30"/>
    <mergeCell ref="A9:H9"/>
    <mergeCell ref="A10:H10"/>
    <mergeCell ref="A12:H12"/>
    <mergeCell ref="A14:H14"/>
    <mergeCell ref="A16:H16"/>
    <mergeCell ref="A18:H18"/>
    <mergeCell ref="A20:H20"/>
    <mergeCell ref="A22:H22"/>
    <mergeCell ref="A24:H24"/>
    <mergeCell ref="A26:H26"/>
    <mergeCell ref="A28:H28"/>
    <mergeCell ref="A72:H72"/>
    <mergeCell ref="A31:H31"/>
    <mergeCell ref="A33:F33"/>
    <mergeCell ref="G33:H34"/>
    <mergeCell ref="A34:F34"/>
    <mergeCell ref="A41:F41"/>
    <mergeCell ref="A48:F48"/>
    <mergeCell ref="A50:H50"/>
    <mergeCell ref="A52:H52"/>
    <mergeCell ref="A53:H53"/>
    <mergeCell ref="A55:H55"/>
    <mergeCell ref="A63:H63"/>
    <mergeCell ref="A104:H104"/>
    <mergeCell ref="A74:H74"/>
    <mergeCell ref="A76:H76"/>
    <mergeCell ref="A78:F78"/>
    <mergeCell ref="A80:E80"/>
    <mergeCell ref="A83:B83"/>
    <mergeCell ref="A89:B89"/>
    <mergeCell ref="A91:H91"/>
    <mergeCell ref="A93:H93"/>
    <mergeCell ref="A95:F95"/>
    <mergeCell ref="A100:H100"/>
    <mergeCell ref="A102:H102"/>
    <mergeCell ref="A106:H106"/>
    <mergeCell ref="A108:H108"/>
    <mergeCell ref="A110:H110"/>
    <mergeCell ref="A112:H112"/>
    <mergeCell ref="A127:H127"/>
  </mergeCells>
  <conditionalFormatting sqref="F46">
    <cfRule type="expression" dxfId="0" priority="1">
      <formula>$F$46&lt;$A$34</formula>
    </cfRule>
  </conditionalFormatting>
  <dataValidations count="2">
    <dataValidation type="list" allowBlank="1" showInputMessage="1" showErrorMessage="1" sqref="F80" xr:uid="{00000000-0002-0000-0B00-000000000000}">
      <formula1>"net,gross"</formula1>
    </dataValidation>
    <dataValidation type="list" allowBlank="1" showInputMessage="1" showErrorMessage="1" sqref="B97:H97" xr:uid="{00000000-0002-0000-0B00-000001000000}">
      <formula1>"0, 0.5, 1"</formula1>
    </dataValidation>
  </dataValidation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53"/>
  <sheetViews>
    <sheetView showGridLines="0" topLeftCell="A12" workbookViewId="0">
      <selection activeCell="L34" sqref="L34"/>
    </sheetView>
  </sheetViews>
  <sheetFormatPr defaultRowHeight="12.75"/>
  <cols>
    <col min="1" max="1" width="13.6640625" customWidth="1"/>
    <col min="2" max="2" width="54.83203125" bestFit="1" customWidth="1"/>
    <col min="4" max="4" width="5.6640625" bestFit="1" customWidth="1"/>
    <col min="5" max="7" width="17.6640625" hidden="1" customWidth="1"/>
    <col min="8" max="9" width="17.6640625" bestFit="1" customWidth="1"/>
    <col min="10" max="10" width="5.5" customWidth="1"/>
    <col min="11" max="15" width="17.33203125" customWidth="1"/>
  </cols>
  <sheetData>
    <row r="1" spans="1:2">
      <c r="A1" s="626" t="s">
        <v>255</v>
      </c>
    </row>
    <row r="11" spans="1:2" ht="23.25">
      <c r="B11" s="114" t="s">
        <v>220</v>
      </c>
    </row>
    <row r="12" spans="1:2" ht="15">
      <c r="B12" s="45" t="s">
        <v>63</v>
      </c>
    </row>
    <row r="13" spans="1:2" ht="14.25">
      <c r="B13" s="85" t="s">
        <v>252</v>
      </c>
    </row>
    <row r="14" spans="1:2" ht="14.25">
      <c r="B14" s="85" t="s">
        <v>253</v>
      </c>
    </row>
    <row r="15" spans="1:2" ht="14.25">
      <c r="B15" s="85" t="s">
        <v>254</v>
      </c>
    </row>
    <row r="17" spans="2:15">
      <c r="B17" s="109" t="s">
        <v>223</v>
      </c>
      <c r="C17" s="109"/>
      <c r="D17" s="87"/>
      <c r="E17" s="87"/>
      <c r="F17" s="87"/>
      <c r="G17" s="87"/>
      <c r="H17" s="87"/>
      <c r="I17" s="87"/>
      <c r="J17" s="87"/>
      <c r="K17" s="87"/>
      <c r="L17" s="87"/>
      <c r="M17" s="87"/>
    </row>
    <row r="18" spans="2:15" ht="13.5" thickBot="1">
      <c r="B18" s="87"/>
      <c r="C18" s="87"/>
      <c r="D18" s="87"/>
      <c r="E18" s="87"/>
      <c r="F18" s="87"/>
      <c r="G18" s="87"/>
      <c r="H18" s="87"/>
      <c r="I18" s="87"/>
      <c r="J18" s="87"/>
      <c r="K18" s="87"/>
      <c r="L18" s="87"/>
      <c r="M18" s="87"/>
    </row>
    <row r="19" spans="2:15" ht="27.75" customHeight="1" thickBot="1">
      <c r="B19" s="698" t="s">
        <v>36</v>
      </c>
      <c r="C19" s="699"/>
      <c r="D19" s="700" t="s">
        <v>33</v>
      </c>
      <c r="E19" s="701">
        <f>'1. LDC Info'!$F$25-3</f>
        <v>2020</v>
      </c>
      <c r="F19" s="701">
        <f>'1. LDC Info'!$F$25-2</f>
        <v>2021</v>
      </c>
      <c r="G19" s="700">
        <f>'1. LDC Info'!$F$25-1</f>
        <v>2022</v>
      </c>
      <c r="H19" s="702" t="str">
        <f>'1. LDC Info'!F25</f>
        <v>2023</v>
      </c>
      <c r="I19" s="703" t="str">
        <f>'1. LDC Info'!F27</f>
        <v>2024</v>
      </c>
      <c r="J19" s="87"/>
      <c r="K19" s="704" t="s">
        <v>59</v>
      </c>
      <c r="L19" s="705" t="s">
        <v>60</v>
      </c>
      <c r="M19" s="706" t="s">
        <v>224</v>
      </c>
      <c r="N19" s="705" t="s">
        <v>226</v>
      </c>
      <c r="O19" s="707" t="s">
        <v>227</v>
      </c>
    </row>
    <row r="20" spans="2:15">
      <c r="B20" s="361" t="str">
        <f>+'9. Weather Adj LF'!C16</f>
        <v>Residential</v>
      </c>
      <c r="C20" s="362"/>
      <c r="D20" s="363" t="s">
        <v>36</v>
      </c>
      <c r="E20" s="388">
        <f>+'9. Weather Adj LF'!L17</f>
        <v>31810146.089001425</v>
      </c>
      <c r="F20" s="388">
        <f>+'9. Weather Adj LF'!M17</f>
        <v>31083781.549592119</v>
      </c>
      <c r="G20" s="388">
        <f>+'9. Weather Adj LF'!N17</f>
        <v>30406494.540865913</v>
      </c>
      <c r="H20" s="388">
        <f>+'9. Weather Adj LF'!O17</f>
        <v>31265957.992890347</v>
      </c>
      <c r="I20" s="389">
        <f>+'9. Weather Adj LF'!P17</f>
        <v>31290546.630048562</v>
      </c>
      <c r="J20" s="87"/>
      <c r="K20" s="374">
        <f>I20/$I$34</f>
        <v>0.35743740630267667</v>
      </c>
      <c r="L20" s="375"/>
      <c r="M20" s="728">
        <f>I20-L20</f>
        <v>31290546.630048562</v>
      </c>
      <c r="N20" s="382">
        <v>0</v>
      </c>
      <c r="O20" s="376">
        <f>+M20-N20</f>
        <v>31290546.630048562</v>
      </c>
    </row>
    <row r="21" spans="2:15">
      <c r="B21" s="97"/>
      <c r="C21" s="186"/>
      <c r="D21" s="110"/>
      <c r="E21" s="164"/>
      <c r="F21" s="164"/>
      <c r="G21" s="164"/>
      <c r="H21" s="164"/>
      <c r="I21" s="330"/>
      <c r="J21" s="87"/>
      <c r="K21" s="99"/>
      <c r="L21" s="370"/>
      <c r="M21" s="729"/>
      <c r="N21" s="383"/>
      <c r="O21" s="198"/>
    </row>
    <row r="22" spans="2:15">
      <c r="B22" s="358" t="str">
        <f>+'9. Weather Adj LF'!C20</f>
        <v>General Service &lt; 50 kW</v>
      </c>
      <c r="C22" s="186"/>
      <c r="D22" s="110" t="s">
        <v>36</v>
      </c>
      <c r="E22" s="164">
        <f>+'9. Weather Adj LF'!L21</f>
        <v>12523318.281118637</v>
      </c>
      <c r="F22" s="164">
        <f>+'9. Weather Adj LF'!M21</f>
        <v>11113017.879589727</v>
      </c>
      <c r="G22" s="164">
        <f>+'9. Weather Adj LF'!N21</f>
        <v>11294106.186285226</v>
      </c>
      <c r="H22" s="164">
        <f>+'9. Weather Adj LF'!O21</f>
        <v>11613342.615195965</v>
      </c>
      <c r="I22" s="330">
        <f>+'9. Weather Adj LF'!P21</f>
        <v>11622476.407938842</v>
      </c>
      <c r="J22" s="87"/>
      <c r="K22" s="100">
        <f>I22/$I$34</f>
        <v>0.13276558799641727</v>
      </c>
      <c r="L22" s="371"/>
      <c r="M22" s="729">
        <f>I22-L22</f>
        <v>11622476.407938842</v>
      </c>
      <c r="N22" s="383">
        <v>0</v>
      </c>
      <c r="O22" s="377">
        <f>+M22-N22</f>
        <v>11622476.407938842</v>
      </c>
    </row>
    <row r="23" spans="2:15">
      <c r="B23" s="97"/>
      <c r="C23" s="186"/>
      <c r="D23" s="110"/>
      <c r="E23" s="164"/>
      <c r="F23" s="164"/>
      <c r="G23" s="164"/>
      <c r="H23" s="164"/>
      <c r="I23" s="330"/>
      <c r="J23" s="87"/>
      <c r="K23" s="100"/>
      <c r="L23" s="370"/>
      <c r="M23" s="729"/>
      <c r="N23" s="383"/>
      <c r="O23" s="198"/>
    </row>
    <row r="24" spans="2:15">
      <c r="B24" s="358" t="str">
        <f>+'9. Weather Adj LF'!C24</f>
        <v>General Service &gt; 50 kW - 4999 kW</v>
      </c>
      <c r="C24" s="186"/>
      <c r="D24" s="110" t="s">
        <v>36</v>
      </c>
      <c r="E24" s="164">
        <f>+'9. Weather Adj LF'!L25</f>
        <v>40141946</v>
      </c>
      <c r="F24" s="164">
        <f>+'9. Weather Adj LF'!M25</f>
        <v>41367499</v>
      </c>
      <c r="G24" s="164">
        <f>+'9. Weather Adj LF'!N25</f>
        <v>42952845</v>
      </c>
      <c r="H24" s="164">
        <f>+'9. Weather Adj LF'!O25</f>
        <v>43975531.843685612</v>
      </c>
      <c r="I24" s="330">
        <f>+'9. Weather Adj LF'!P25</f>
        <v>43975531.682519123</v>
      </c>
      <c r="J24" s="87"/>
      <c r="K24" s="100">
        <f>I24/$I$34</f>
        <v>0.50234021703814591</v>
      </c>
      <c r="L24" s="371"/>
      <c r="M24" s="729">
        <f>I24-L24</f>
        <v>43975531.682519123</v>
      </c>
      <c r="N24" s="383"/>
      <c r="O24" s="377">
        <f>+M24-N24</f>
        <v>43975531.682519123</v>
      </c>
    </row>
    <row r="25" spans="2:15">
      <c r="B25" s="97"/>
      <c r="C25" s="186"/>
      <c r="D25" s="110"/>
      <c r="E25" s="164"/>
      <c r="F25" s="164"/>
      <c r="G25" s="164"/>
      <c r="H25" s="164"/>
      <c r="I25" s="330"/>
      <c r="J25" s="87"/>
      <c r="K25" s="100"/>
      <c r="L25" s="371"/>
      <c r="M25" s="729"/>
      <c r="N25" s="383"/>
      <c r="O25" s="198"/>
    </row>
    <row r="26" spans="2:15">
      <c r="B26" s="358" t="str">
        <f>+'9. Weather Adj LF'!C28</f>
        <v>Streetlighting</v>
      </c>
      <c r="C26" s="186"/>
      <c r="D26" s="110" t="s">
        <v>36</v>
      </c>
      <c r="E26" s="164">
        <f>+'9. Weather Adj LF'!L29</f>
        <v>1073512</v>
      </c>
      <c r="F26" s="164">
        <f>+'9. Weather Adj LF'!M29</f>
        <v>332564</v>
      </c>
      <c r="G26" s="164">
        <f>+'9. Weather Adj LF'!N29</f>
        <v>388078</v>
      </c>
      <c r="H26" s="164">
        <f>+'9. Weather Adj LF'!O29</f>
        <v>388077.76585185045</v>
      </c>
      <c r="I26" s="330">
        <f>+'9. Weather Adj LF'!P29</f>
        <v>388077.94266823668</v>
      </c>
      <c r="J26" s="87"/>
      <c r="K26" s="100">
        <f>I26/$I$34</f>
        <v>4.4330824549228438E-3</v>
      </c>
      <c r="L26" s="371"/>
      <c r="M26" s="729">
        <f>I26-L26</f>
        <v>388077.94266823668</v>
      </c>
      <c r="N26" s="383"/>
      <c r="O26" s="377">
        <f>+M26+N26</f>
        <v>388077.94266823668</v>
      </c>
    </row>
    <row r="27" spans="2:15">
      <c r="B27" s="97"/>
      <c r="C27" s="186"/>
      <c r="D27" s="110"/>
      <c r="E27" s="164"/>
      <c r="F27" s="164"/>
      <c r="G27" s="164"/>
      <c r="H27" s="164"/>
      <c r="I27" s="330"/>
      <c r="J27" s="87"/>
      <c r="K27" s="100"/>
      <c r="L27" s="371"/>
      <c r="M27" s="729"/>
      <c r="N27" s="383"/>
      <c r="O27" s="198"/>
    </row>
    <row r="28" spans="2:15">
      <c r="B28" s="358" t="str">
        <f>+'9. Weather Adj LF'!C32</f>
        <v>Unmetered Scattered Load</v>
      </c>
      <c r="C28" s="186"/>
      <c r="D28" s="110" t="s">
        <v>36</v>
      </c>
      <c r="E28" s="164">
        <f>+'9. Weather Adj LF'!L33</f>
        <v>224089</v>
      </c>
      <c r="F28" s="164">
        <f>+'9. Weather Adj LF'!M33</f>
        <v>269522</v>
      </c>
      <c r="G28" s="164">
        <f>+'9. Weather Adj LF'!N33</f>
        <v>264699</v>
      </c>
      <c r="H28" s="164">
        <f>+'9. Weather Adj LF'!O33</f>
        <v>264698.51947345369</v>
      </c>
      <c r="I28" s="330">
        <f>+'9. Weather Adj LF'!P33</f>
        <v>264699.26880508452</v>
      </c>
      <c r="J28" s="87"/>
      <c r="K28" s="100">
        <f>I28/$I$34</f>
        <v>3.0237062078374306E-3</v>
      </c>
      <c r="L28" s="371"/>
      <c r="M28" s="729">
        <f>I28-L28</f>
        <v>264699.26880508452</v>
      </c>
      <c r="N28" s="383"/>
      <c r="O28" s="377">
        <f>+M28-N28</f>
        <v>264699.26880508452</v>
      </c>
    </row>
    <row r="29" spans="2:15">
      <c r="B29" s="97"/>
      <c r="C29" s="186"/>
      <c r="D29" s="110"/>
      <c r="E29" s="164"/>
      <c r="F29" s="164"/>
      <c r="G29" s="164"/>
      <c r="H29" s="164"/>
      <c r="I29" s="330"/>
      <c r="J29" s="87"/>
      <c r="K29" s="100"/>
      <c r="L29" s="370"/>
      <c r="M29" s="729"/>
      <c r="N29" s="383"/>
      <c r="O29" s="198"/>
    </row>
    <row r="30" spans="2:15">
      <c r="B30" s="358">
        <f>'9. Weather Adj LF'!C36</f>
        <v>0</v>
      </c>
      <c r="C30" s="187"/>
      <c r="D30" s="110" t="s">
        <v>36</v>
      </c>
      <c r="E30" s="164">
        <f>+'9. Weather Adj LF'!L37</f>
        <v>0</v>
      </c>
      <c r="F30" s="164">
        <f>+'9. Weather Adj LF'!M37</f>
        <v>0</v>
      </c>
      <c r="G30" s="164">
        <f>+'9. Weather Adj LF'!N37</f>
        <v>0</v>
      </c>
      <c r="H30" s="164">
        <f>+'9. Weather Adj LF'!O37</f>
        <v>0</v>
      </c>
      <c r="I30" s="330">
        <f>+'9. Weather Adj LF'!P37</f>
        <v>0</v>
      </c>
      <c r="J30" s="87"/>
      <c r="K30" s="100">
        <f>I30/$I$34</f>
        <v>0</v>
      </c>
      <c r="L30" s="371"/>
      <c r="M30" s="729">
        <f>I30-L30</f>
        <v>0</v>
      </c>
      <c r="N30" s="383"/>
      <c r="O30" s="377">
        <f>+M30-N30</f>
        <v>0</v>
      </c>
    </row>
    <row r="31" spans="2:15">
      <c r="B31" s="101"/>
      <c r="C31" s="188"/>
      <c r="D31" s="169"/>
      <c r="E31" s="332"/>
      <c r="F31" s="332"/>
      <c r="G31" s="332"/>
      <c r="H31" s="332"/>
      <c r="I31" s="364"/>
      <c r="J31" s="87"/>
      <c r="K31" s="100"/>
      <c r="L31" s="370"/>
      <c r="M31" s="729"/>
      <c r="N31" s="383"/>
      <c r="O31" s="198"/>
    </row>
    <row r="32" spans="2:15">
      <c r="B32" s="359">
        <f>+'9. Weather Adj LF'!C40</f>
        <v>0</v>
      </c>
      <c r="C32" s="188"/>
      <c r="D32" s="110" t="s">
        <v>36</v>
      </c>
      <c r="E32" s="332">
        <f>+'9. Weather Adj LF'!L41</f>
        <v>0</v>
      </c>
      <c r="F32" s="332">
        <f>+'9. Weather Adj LF'!M41</f>
        <v>0</v>
      </c>
      <c r="G32" s="332">
        <f>+'9. Weather Adj LF'!N41</f>
        <v>0</v>
      </c>
      <c r="H32" s="332">
        <f>+'9. Weather Adj LF'!O41</f>
        <v>0</v>
      </c>
      <c r="I32" s="364">
        <f>+'9. Weather Adj LF'!P41</f>
        <v>0</v>
      </c>
      <c r="J32" s="87"/>
      <c r="K32" s="100">
        <f>I32/$I$34</f>
        <v>0</v>
      </c>
      <c r="L32" s="371"/>
      <c r="M32" s="729">
        <f>I32-L32</f>
        <v>0</v>
      </c>
      <c r="N32" s="383"/>
      <c r="O32" s="377">
        <f>+M32-N32</f>
        <v>0</v>
      </c>
    </row>
    <row r="33" spans="2:18" ht="13.5" thickBot="1">
      <c r="B33" s="102"/>
      <c r="C33" s="189"/>
      <c r="D33" s="170"/>
      <c r="E33" s="243"/>
      <c r="F33" s="243"/>
      <c r="G33" s="243"/>
      <c r="H33" s="243"/>
      <c r="I33" s="369"/>
      <c r="J33" s="87"/>
      <c r="K33" s="103"/>
      <c r="L33" s="372"/>
      <c r="M33" s="730"/>
      <c r="N33" s="400"/>
      <c r="O33" s="159"/>
    </row>
    <row r="34" spans="2:18" ht="20.25" thickTop="1" thickBot="1">
      <c r="B34" s="390" t="s">
        <v>16</v>
      </c>
      <c r="C34" s="391"/>
      <c r="D34" s="392"/>
      <c r="E34" s="393">
        <f>SUM(E20:E33)</f>
        <v>85773011.370120063</v>
      </c>
      <c r="F34" s="393">
        <f t="shared" ref="F34:I34" si="0">SUM(F20:F33)</f>
        <v>84166384.429181844</v>
      </c>
      <c r="G34" s="393">
        <f t="shared" si="0"/>
        <v>85306222.727151141</v>
      </c>
      <c r="H34" s="393">
        <f t="shared" si="0"/>
        <v>87507608.737097219</v>
      </c>
      <c r="I34" s="394">
        <f t="shared" si="0"/>
        <v>87541331.931979835</v>
      </c>
      <c r="J34" s="87"/>
      <c r="K34" s="397">
        <f>I34/$I$34</f>
        <v>1</v>
      </c>
      <c r="L34" s="644">
        <f>'10.CDM Allocation V2'!I122</f>
        <v>0</v>
      </c>
      <c r="M34" s="398">
        <f>I34-L34</f>
        <v>87541331.931979835</v>
      </c>
      <c r="N34" s="398">
        <f>SUM(N20:N33)</f>
        <v>0</v>
      </c>
      <c r="O34" s="399">
        <f>SUM(O20:O33)</f>
        <v>87541331.931979835</v>
      </c>
      <c r="Q34" s="384">
        <f>+M34-O34</f>
        <v>0</v>
      </c>
      <c r="R34" s="385" t="s">
        <v>228</v>
      </c>
    </row>
    <row r="35" spans="2:18">
      <c r="B35" s="87"/>
      <c r="C35" s="87"/>
      <c r="D35" s="106"/>
      <c r="E35" s="104"/>
      <c r="F35" s="104"/>
      <c r="G35" s="104"/>
      <c r="H35" s="105"/>
      <c r="I35" s="105"/>
      <c r="J35" s="87"/>
      <c r="K35" s="87"/>
      <c r="L35" s="87"/>
      <c r="M35" s="87"/>
    </row>
    <row r="36" spans="2:18" ht="13.5" thickBot="1">
      <c r="B36" s="87"/>
      <c r="C36" s="87"/>
      <c r="D36" s="106"/>
      <c r="E36" s="87"/>
      <c r="F36" s="87"/>
      <c r="G36" s="87"/>
      <c r="H36" s="87"/>
      <c r="I36" s="87"/>
      <c r="J36" s="87"/>
      <c r="K36" s="87"/>
      <c r="L36" s="87"/>
      <c r="M36" s="87"/>
    </row>
    <row r="37" spans="2:18" ht="26.25" thickBot="1">
      <c r="B37" s="94"/>
      <c r="C37" s="184"/>
      <c r="D37" s="95" t="s">
        <v>33</v>
      </c>
      <c r="E37" s="171">
        <f>E19</f>
        <v>2020</v>
      </c>
      <c r="F37" s="171">
        <f>F19</f>
        <v>2021</v>
      </c>
      <c r="G37" s="171">
        <f>G19</f>
        <v>2022</v>
      </c>
      <c r="H37" s="171" t="str">
        <f>H19</f>
        <v>2023</v>
      </c>
      <c r="I37" s="360" t="str">
        <f>I19</f>
        <v>2024</v>
      </c>
      <c r="J37" s="87"/>
      <c r="K37" s="106"/>
      <c r="L37" s="106"/>
      <c r="M37" s="387" t="s">
        <v>225</v>
      </c>
      <c r="N37" s="373" t="s">
        <v>226</v>
      </c>
      <c r="O37" s="378" t="s">
        <v>227</v>
      </c>
    </row>
    <row r="38" spans="2:18">
      <c r="B38" s="361" t="str">
        <f>+B20</f>
        <v>Residential</v>
      </c>
      <c r="C38" s="362"/>
      <c r="D38" s="363" t="s">
        <v>37</v>
      </c>
      <c r="E38" s="365">
        <f>+'9. Weather Adj LF'!L18</f>
        <v>0</v>
      </c>
      <c r="F38" s="365">
        <f>+'9. Weather Adj LF'!M18</f>
        <v>0</v>
      </c>
      <c r="G38" s="365">
        <f>+'9. Weather Adj LF'!N18</f>
        <v>0</v>
      </c>
      <c r="H38" s="365">
        <f>+'9. Weather Adj LF'!O18</f>
        <v>0</v>
      </c>
      <c r="I38" s="366">
        <f>+'9. Weather Adj LF'!P18</f>
        <v>0</v>
      </c>
      <c r="J38" s="87"/>
      <c r="K38" s="107"/>
      <c r="L38" s="108"/>
      <c r="M38" s="379">
        <f>IF(I38&gt;0,+M20/I20*I38,0)</f>
        <v>0</v>
      </c>
      <c r="N38" s="386">
        <f>IF(I38&gt;0,+N20/I20*I38,0)</f>
        <v>0</v>
      </c>
      <c r="O38" s="376">
        <f>+M38-N38</f>
        <v>0</v>
      </c>
    </row>
    <row r="39" spans="2:18">
      <c r="B39" s="96" t="s">
        <v>30</v>
      </c>
      <c r="C39" s="185"/>
      <c r="D39" s="110"/>
      <c r="E39" s="367"/>
      <c r="F39" s="367"/>
      <c r="G39" s="367"/>
      <c r="H39" s="367"/>
      <c r="I39" s="368"/>
      <c r="J39" s="87"/>
      <c r="K39" s="107"/>
      <c r="L39" s="108"/>
      <c r="M39" s="380"/>
      <c r="N39" s="42"/>
      <c r="O39" s="198"/>
    </row>
    <row r="40" spans="2:18">
      <c r="B40" s="357" t="str">
        <f>+B22</f>
        <v>General Service &lt; 50 kW</v>
      </c>
      <c r="C40" s="185"/>
      <c r="D40" s="111" t="s">
        <v>37</v>
      </c>
      <c r="E40" s="367">
        <f>+'9. Weather Adj LF'!L22</f>
        <v>0</v>
      </c>
      <c r="F40" s="367">
        <f>+'9. Weather Adj LF'!M22</f>
        <v>0</v>
      </c>
      <c r="G40" s="367">
        <f>+'9. Weather Adj LF'!N22</f>
        <v>0</v>
      </c>
      <c r="H40" s="367">
        <f>+'9. Weather Adj LF'!O22</f>
        <v>0</v>
      </c>
      <c r="I40" s="368">
        <f>+'9. Weather Adj LF'!P22</f>
        <v>0</v>
      </c>
      <c r="J40" s="87"/>
      <c r="K40" s="107"/>
      <c r="L40" s="108"/>
      <c r="M40" s="380">
        <f t="shared" ref="M40:M50" si="1">IF(I40&gt;0,+M22/I22*I40,0)</f>
        <v>0</v>
      </c>
      <c r="N40" s="98">
        <f>IF(I40&gt;0,+N22/I22*I40,0)</f>
        <v>0</v>
      </c>
      <c r="O40" s="377">
        <f>+M40-N40</f>
        <v>0</v>
      </c>
    </row>
    <row r="41" spans="2:18">
      <c r="B41" s="96" t="s">
        <v>30</v>
      </c>
      <c r="C41" s="185"/>
      <c r="D41" s="110"/>
      <c r="E41" s="367"/>
      <c r="F41" s="367"/>
      <c r="G41" s="367"/>
      <c r="H41" s="367"/>
      <c r="I41" s="368"/>
      <c r="J41" s="87"/>
      <c r="K41" s="107"/>
      <c r="L41" s="108"/>
      <c r="M41" s="380"/>
      <c r="N41" s="42"/>
      <c r="O41" s="198"/>
    </row>
    <row r="42" spans="2:18">
      <c r="B42" s="357" t="str">
        <f>+B24</f>
        <v>General Service &gt; 50 kW - 4999 kW</v>
      </c>
      <c r="C42" s="185"/>
      <c r="D42" s="111" t="s">
        <v>37</v>
      </c>
      <c r="E42" s="163">
        <f>+'9. Weather Adj LF'!L26</f>
        <v>91748.83</v>
      </c>
      <c r="F42" s="163">
        <f>+'9. Weather Adj LF'!M26</f>
        <v>100012.68</v>
      </c>
      <c r="G42" s="163">
        <f>+'9. Weather Adj LF'!N26</f>
        <v>102092.5</v>
      </c>
      <c r="H42" s="163">
        <f>+'9. Weather Adj LF'!O26</f>
        <v>104523.27394731301</v>
      </c>
      <c r="I42" s="329">
        <f>+'9. Weather Adj LF'!P26</f>
        <v>104523.27356424431</v>
      </c>
      <c r="J42" s="87"/>
      <c r="K42" s="107"/>
      <c r="L42" s="108"/>
      <c r="M42" s="380">
        <f>IF(I42&gt;0,+M24/I24*I42,0)</f>
        <v>104523.27356424431</v>
      </c>
      <c r="N42" s="98">
        <f>IF(I42&gt;0,+N24/I24*I42,0)</f>
        <v>0</v>
      </c>
      <c r="O42" s="377">
        <f>+M42-N42</f>
        <v>104523.27356424431</v>
      </c>
    </row>
    <row r="43" spans="2:18">
      <c r="B43" s="96" t="s">
        <v>30</v>
      </c>
      <c r="C43" s="185"/>
      <c r="D43" s="110"/>
      <c r="E43" s="164"/>
      <c r="F43" s="164"/>
      <c r="G43" s="164"/>
      <c r="H43" s="164"/>
      <c r="I43" s="330"/>
      <c r="J43" s="87"/>
      <c r="K43" s="107"/>
      <c r="L43" s="108"/>
      <c r="M43" s="380"/>
      <c r="N43" s="42"/>
      <c r="O43" s="198"/>
    </row>
    <row r="44" spans="2:18">
      <c r="B44" s="357" t="str">
        <f>+B26</f>
        <v>Streetlighting</v>
      </c>
      <c r="C44" s="185"/>
      <c r="D44" s="111" t="s">
        <v>37</v>
      </c>
      <c r="E44" s="164">
        <f>+'9. Weather Adj LF'!L30</f>
        <v>2981.1</v>
      </c>
      <c r="F44" s="164">
        <f>+'9. Weather Adj LF'!M30</f>
        <v>950.30000000000018</v>
      </c>
      <c r="G44" s="164">
        <f>+'9. Weather Adj LF'!N30</f>
        <v>1075.3000000000002</v>
      </c>
      <c r="H44" s="164">
        <f>+'9. Weather Adj LF'!O30</f>
        <v>1075.2993512141757</v>
      </c>
      <c r="I44" s="330">
        <f>+'9. Weather Adj LF'!P30</f>
        <v>1075.2998411431593</v>
      </c>
      <c r="J44" s="87"/>
      <c r="K44" s="107"/>
      <c r="L44" s="108"/>
      <c r="M44" s="380">
        <f t="shared" si="1"/>
        <v>1075.2998411431593</v>
      </c>
      <c r="N44" s="98">
        <f>IF(I44&gt;0,+N26/I26*I44,0)</f>
        <v>0</v>
      </c>
      <c r="O44" s="377">
        <f>+M44-N44</f>
        <v>1075.2998411431593</v>
      </c>
    </row>
    <row r="45" spans="2:18">
      <c r="B45" s="96" t="s">
        <v>30</v>
      </c>
      <c r="C45" s="185"/>
      <c r="D45" s="110"/>
      <c r="E45" s="164"/>
      <c r="F45" s="164"/>
      <c r="G45" s="164"/>
      <c r="H45" s="164"/>
      <c r="I45" s="330"/>
      <c r="J45" s="87"/>
      <c r="K45" s="107"/>
      <c r="L45" s="108"/>
      <c r="M45" s="380"/>
      <c r="N45" s="42"/>
      <c r="O45" s="198"/>
    </row>
    <row r="46" spans="2:18">
      <c r="B46" s="357" t="str">
        <f>+B28</f>
        <v>Unmetered Scattered Load</v>
      </c>
      <c r="C46" s="185"/>
      <c r="D46" s="111" t="s">
        <v>37</v>
      </c>
      <c r="E46" s="164">
        <f>+'9. Weather Adj LF'!L34</f>
        <v>0</v>
      </c>
      <c r="F46" s="164">
        <f>+'9. Weather Adj LF'!M34</f>
        <v>0</v>
      </c>
      <c r="G46" s="164">
        <f>+'9. Weather Adj LF'!N34</f>
        <v>0</v>
      </c>
      <c r="H46" s="164">
        <f>+'9. Weather Adj LF'!O34</f>
        <v>0</v>
      </c>
      <c r="I46" s="330">
        <f>+'9. Weather Adj LF'!P34</f>
        <v>0</v>
      </c>
      <c r="J46" s="87"/>
      <c r="K46" s="107"/>
      <c r="L46" s="108"/>
      <c r="M46" s="380">
        <f>IF(I46&gt;0,+M28/I28*I46,0)</f>
        <v>0</v>
      </c>
      <c r="N46" s="98">
        <f>IF(I46&gt;0,+N28/I28*I46,0)</f>
        <v>0</v>
      </c>
      <c r="O46" s="377">
        <f>+M46-N46</f>
        <v>0</v>
      </c>
    </row>
    <row r="47" spans="2:18">
      <c r="B47" s="96" t="s">
        <v>30</v>
      </c>
      <c r="C47" s="185"/>
      <c r="D47" s="110"/>
      <c r="E47" s="164"/>
      <c r="F47" s="164"/>
      <c r="G47" s="164"/>
      <c r="H47" s="164"/>
      <c r="I47" s="330"/>
      <c r="J47" s="87"/>
      <c r="K47" s="107"/>
      <c r="L47" s="108"/>
      <c r="M47" s="380"/>
      <c r="N47" s="42"/>
      <c r="O47" s="198"/>
    </row>
    <row r="48" spans="2:18">
      <c r="B48" s="357">
        <f>+B30</f>
        <v>0</v>
      </c>
      <c r="C48" s="185"/>
      <c r="D48" s="111" t="s">
        <v>37</v>
      </c>
      <c r="E48" s="164">
        <f>+'9. Weather Adj LF'!L38</f>
        <v>0</v>
      </c>
      <c r="F48" s="164">
        <f>+'9. Weather Adj LF'!M38</f>
        <v>0</v>
      </c>
      <c r="G48" s="164">
        <f>+'9. Weather Adj LF'!N38</f>
        <v>0</v>
      </c>
      <c r="H48" s="164">
        <f>+'9. Weather Adj LF'!O38</f>
        <v>0</v>
      </c>
      <c r="I48" s="330">
        <f>+'9. Weather Adj LF'!P38</f>
        <v>0</v>
      </c>
      <c r="J48" s="87"/>
      <c r="K48" s="107"/>
      <c r="L48" s="108"/>
      <c r="M48" s="380">
        <f t="shared" si="1"/>
        <v>0</v>
      </c>
      <c r="N48" s="98">
        <f>IF(I48&gt;0,+N30/I30*I48,0)</f>
        <v>0</v>
      </c>
      <c r="O48" s="377">
        <f>+M48-N48</f>
        <v>0</v>
      </c>
    </row>
    <row r="49" spans="2:15">
      <c r="B49" s="357"/>
      <c r="C49" s="185"/>
      <c r="D49" s="111"/>
      <c r="E49" s="164"/>
      <c r="F49" s="164"/>
      <c r="G49" s="164"/>
      <c r="H49" s="164"/>
      <c r="I49" s="330"/>
      <c r="J49" s="87"/>
      <c r="K49" s="107"/>
      <c r="L49" s="108"/>
      <c r="M49" s="380"/>
      <c r="N49" s="42"/>
      <c r="O49" s="198"/>
    </row>
    <row r="50" spans="2:15">
      <c r="B50" s="357">
        <f>+B32</f>
        <v>0</v>
      </c>
      <c r="C50" s="185"/>
      <c r="D50" s="111" t="s">
        <v>37</v>
      </c>
      <c r="E50" s="164">
        <f>+'9. Weather Adj LF'!L42</f>
        <v>0</v>
      </c>
      <c r="F50" s="164">
        <f>+'9. Weather Adj LF'!M42</f>
        <v>0</v>
      </c>
      <c r="G50" s="164">
        <f>+'9. Weather Adj LF'!N42</f>
        <v>0</v>
      </c>
      <c r="H50" s="164">
        <f>+'9. Weather Adj LF'!O42</f>
        <v>0</v>
      </c>
      <c r="I50" s="330">
        <f>+'9. Weather Adj LF'!P42</f>
        <v>0</v>
      </c>
      <c r="J50" s="87"/>
      <c r="K50" s="107"/>
      <c r="L50" s="108"/>
      <c r="M50" s="380">
        <f t="shared" si="1"/>
        <v>0</v>
      </c>
      <c r="N50" s="98">
        <f>IF(I50&gt;0,+N32/I32*I50,0)</f>
        <v>0</v>
      </c>
      <c r="O50" s="377">
        <f>+M50-N50</f>
        <v>0</v>
      </c>
    </row>
    <row r="51" spans="2:15" ht="13.5" thickBot="1">
      <c r="B51" s="102" t="s">
        <v>30</v>
      </c>
      <c r="C51" s="189"/>
      <c r="D51" s="170"/>
      <c r="E51" s="243"/>
      <c r="F51" s="243"/>
      <c r="G51" s="243"/>
      <c r="H51" s="243"/>
      <c r="I51" s="369"/>
      <c r="J51" s="87"/>
      <c r="K51" s="107"/>
      <c r="L51" s="108"/>
      <c r="M51" s="381"/>
      <c r="N51" s="77"/>
      <c r="O51" s="159"/>
    </row>
    <row r="52" spans="2:15" ht="13.5" thickBot="1">
      <c r="B52" s="390" t="s">
        <v>16</v>
      </c>
      <c r="C52" s="395"/>
      <c r="D52" s="396" t="s">
        <v>30</v>
      </c>
      <c r="E52" s="393">
        <f>SUM(E38:E51)</f>
        <v>94729.930000000008</v>
      </c>
      <c r="F52" s="393">
        <f t="shared" ref="F52:H52" si="2">SUM(F38:F51)</f>
        <v>100962.98</v>
      </c>
      <c r="G52" s="393">
        <f t="shared" si="2"/>
        <v>103167.8</v>
      </c>
      <c r="H52" s="393">
        <f t="shared" si="2"/>
        <v>105598.57329852718</v>
      </c>
      <c r="I52" s="394">
        <f>SUM(I38:I51)</f>
        <v>105598.57340538748</v>
      </c>
      <c r="J52" s="87"/>
      <c r="K52" s="107"/>
      <c r="L52" s="108"/>
      <c r="M52" s="401">
        <f>SUM(M38:M51)</f>
        <v>105598.57340538748</v>
      </c>
      <c r="N52" s="396">
        <f t="shared" ref="N52:O52" si="3">SUM(N38:N51)</f>
        <v>0</v>
      </c>
      <c r="O52" s="402">
        <f t="shared" si="3"/>
        <v>105598.57340538748</v>
      </c>
    </row>
    <row r="53" spans="2:15">
      <c r="B53" s="88"/>
      <c r="C53" s="88"/>
      <c r="D53" s="88"/>
      <c r="E53" s="88"/>
      <c r="F53" s="88"/>
      <c r="G53" s="88"/>
      <c r="H53" s="88"/>
      <c r="I53" s="88"/>
      <c r="J53" s="88"/>
      <c r="K53" s="88"/>
      <c r="L53" s="88"/>
      <c r="M53" s="88"/>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61"/>
  <sheetViews>
    <sheetView showGridLines="0" zoomScaleNormal="100" workbookViewId="0">
      <selection activeCell="O15" sqref="O15"/>
    </sheetView>
  </sheetViews>
  <sheetFormatPr defaultColWidth="10.5" defaultRowHeight="12.75"/>
  <cols>
    <col min="1" max="1" width="13.6640625" style="1" customWidth="1"/>
    <col min="2" max="2" width="42.6640625" style="1" customWidth="1"/>
    <col min="3" max="3" width="11.83203125" style="1" bestFit="1" customWidth="1"/>
    <col min="4" max="9" width="14.5" style="1" customWidth="1"/>
    <col min="10" max="10" width="14.5" style="1" bestFit="1" customWidth="1"/>
    <col min="11" max="14" width="17.1640625" style="1" customWidth="1"/>
    <col min="15" max="15" width="17.1640625" style="168" customWidth="1"/>
    <col min="16" max="16" width="11.6640625" style="1" bestFit="1" customWidth="1"/>
    <col min="17" max="17" width="1.83203125" style="1" bestFit="1" customWidth="1"/>
    <col min="18" max="20" width="12" style="1" bestFit="1" customWidth="1"/>
    <col min="21" max="16384" width="10.5" style="1"/>
  </cols>
  <sheetData>
    <row r="1" spans="1:15">
      <c r="A1" s="626" t="s">
        <v>255</v>
      </c>
    </row>
    <row r="11" spans="1:15" ht="23.25">
      <c r="B11" s="114" t="s">
        <v>229</v>
      </c>
      <c r="O11" s="261"/>
    </row>
    <row r="12" spans="1:15" ht="13.5" thickBot="1"/>
    <row r="13" spans="1:15" ht="13.5" thickBot="1">
      <c r="B13" s="686"/>
      <c r="C13" s="691" t="s">
        <v>33</v>
      </c>
      <c r="D13" s="692">
        <f>'4. Customer Growth'!B17</f>
        <v>2013</v>
      </c>
      <c r="E13" s="692">
        <f>'4. Customer Growth'!B18</f>
        <v>2014</v>
      </c>
      <c r="F13" s="692">
        <f>'4. Customer Growth'!B19</f>
        <v>2015</v>
      </c>
      <c r="G13" s="692">
        <f>'4. Customer Growth'!B20</f>
        <v>2016</v>
      </c>
      <c r="H13" s="692">
        <f>'4. Customer Growth'!B21</f>
        <v>2017</v>
      </c>
      <c r="I13" s="692">
        <f>'4. Customer Growth'!B22</f>
        <v>2018</v>
      </c>
      <c r="J13" s="692">
        <f>'4. Customer Growth'!B23</f>
        <v>2019</v>
      </c>
      <c r="K13" s="692">
        <f>'4. Customer Growth'!B24</f>
        <v>2020</v>
      </c>
      <c r="L13" s="692">
        <f>'4. Customer Growth'!B25</f>
        <v>2021</v>
      </c>
      <c r="M13" s="692">
        <f>'4. Customer Growth'!B26</f>
        <v>2022</v>
      </c>
      <c r="N13" s="692" t="str">
        <f>'4. Customer Growth'!B30</f>
        <v>2023</v>
      </c>
      <c r="O13" s="693" t="str">
        <f>'4. Customer Growth'!B31</f>
        <v>2024</v>
      </c>
    </row>
    <row r="14" spans="1:15">
      <c r="B14" s="687" t="str">
        <f>+'9. Weather Adj LF'!C16</f>
        <v>Residential</v>
      </c>
      <c r="C14" s="74" t="s">
        <v>128</v>
      </c>
      <c r="D14" s="163">
        <f>+'9. Weather Adj LF'!E16</f>
        <v>3726</v>
      </c>
      <c r="E14" s="163">
        <f>+'9. Weather Adj LF'!F16</f>
        <v>3744</v>
      </c>
      <c r="F14" s="163">
        <f>+'9. Weather Adj LF'!G16</f>
        <v>3767.5</v>
      </c>
      <c r="G14" s="163">
        <f>+'9. Weather Adj LF'!H16</f>
        <v>3779.5</v>
      </c>
      <c r="H14" s="163">
        <f>+'9. Weather Adj LF'!I16</f>
        <v>3797</v>
      </c>
      <c r="I14" s="163">
        <f>+'9. Weather Adj LF'!J16</f>
        <v>3813.5</v>
      </c>
      <c r="J14" s="163">
        <f>+'9. Weather Adj LF'!K16</f>
        <v>3824</v>
      </c>
      <c r="K14" s="163">
        <f>+'9. Weather Adj LF'!L16</f>
        <v>3843.5</v>
      </c>
      <c r="L14" s="163">
        <f>+'9. Weather Adj LF'!M16</f>
        <v>3860</v>
      </c>
      <c r="M14" s="163">
        <f>+'9. Weather Adj LF'!N16</f>
        <v>3878.5</v>
      </c>
      <c r="N14" s="163">
        <f>+'9. Weather Adj LF'!O16</f>
        <v>3905</v>
      </c>
      <c r="O14" s="329">
        <f>+'9. Weather Adj LF'!P16</f>
        <v>3922</v>
      </c>
    </row>
    <row r="15" spans="1:15">
      <c r="B15" s="688"/>
      <c r="C15" s="42" t="s">
        <v>36</v>
      </c>
      <c r="D15" s="163">
        <f>+'9. Weather Adj LF'!E17</f>
        <v>29645290.68282254</v>
      </c>
      <c r="E15" s="163">
        <f>+'9. Weather Adj LF'!F17</f>
        <v>29796742.953932717</v>
      </c>
      <c r="F15" s="163">
        <f>+'9. Weather Adj LF'!G17</f>
        <v>29339475.458853304</v>
      </c>
      <c r="G15" s="163">
        <f>+'9. Weather Adj LF'!H17</f>
        <v>29165919.661013279</v>
      </c>
      <c r="H15" s="163">
        <f>+'9. Weather Adj LF'!I17</f>
        <v>28135176.247780975</v>
      </c>
      <c r="I15" s="163">
        <f>+'9. Weather Adj LF'!J17</f>
        <v>30210656.148535065</v>
      </c>
      <c r="J15" s="163">
        <f>+'9. Weather Adj LF'!K17</f>
        <v>29735671.713060603</v>
      </c>
      <c r="K15" s="163">
        <f>+'9. Weather Adj LF'!L17</f>
        <v>31810146.089001425</v>
      </c>
      <c r="L15" s="163">
        <f>+'9. Weather Adj LF'!M17</f>
        <v>31083781.549592119</v>
      </c>
      <c r="M15" s="163">
        <f>+'9. Weather Adj LF'!N17</f>
        <v>30406494.540865913</v>
      </c>
      <c r="N15" s="163">
        <f>+'9. Weather Adj LF'!O17</f>
        <v>31265957.992890347</v>
      </c>
      <c r="O15" s="329">
        <f>+'10.1 CDM Allocation'!O20</f>
        <v>31290546.630048562</v>
      </c>
    </row>
    <row r="16" spans="1:15">
      <c r="B16" s="688"/>
      <c r="C16" s="42" t="s">
        <v>37</v>
      </c>
      <c r="D16" s="164">
        <f>+'9. Weather Adj LF'!E18</f>
        <v>0</v>
      </c>
      <c r="E16" s="164">
        <f>+'9. Weather Adj LF'!F18</f>
        <v>0</v>
      </c>
      <c r="F16" s="164">
        <f>+'9. Weather Adj LF'!G18</f>
        <v>0</v>
      </c>
      <c r="G16" s="164">
        <f>+'9. Weather Adj LF'!H18</f>
        <v>0</v>
      </c>
      <c r="H16" s="164">
        <f>+'9. Weather Adj LF'!I18</f>
        <v>0</v>
      </c>
      <c r="I16" s="164">
        <f>+'9. Weather Adj LF'!J18</f>
        <v>0</v>
      </c>
      <c r="J16" s="164">
        <f>+'9. Weather Adj LF'!K18</f>
        <v>0</v>
      </c>
      <c r="K16" s="164">
        <f>+'9. Weather Adj LF'!L18</f>
        <v>0</v>
      </c>
      <c r="L16" s="164">
        <f>+'9. Weather Adj LF'!M18</f>
        <v>0</v>
      </c>
      <c r="M16" s="164">
        <f>+'9. Weather Adj LF'!N18</f>
        <v>0</v>
      </c>
      <c r="N16" s="164">
        <f>+'9. Weather Adj LF'!O18</f>
        <v>0</v>
      </c>
      <c r="O16" s="330">
        <f>+'10.1 CDM Allocation'!O38</f>
        <v>0</v>
      </c>
    </row>
    <row r="17" spans="2:15">
      <c r="B17" s="688"/>
      <c r="C17" s="42"/>
      <c r="D17" s="164"/>
      <c r="E17" s="164"/>
      <c r="F17" s="164"/>
      <c r="G17" s="164"/>
      <c r="H17" s="164"/>
      <c r="I17" s="164"/>
      <c r="J17" s="164"/>
      <c r="K17" s="164"/>
      <c r="L17" s="164"/>
      <c r="M17" s="164"/>
      <c r="N17" s="164"/>
      <c r="O17" s="330"/>
    </row>
    <row r="18" spans="2:15">
      <c r="B18" s="689" t="str">
        <f>+'9. Weather Adj LF'!C20</f>
        <v>General Service &lt; 50 kW</v>
      </c>
      <c r="C18" s="74" t="s">
        <v>128</v>
      </c>
      <c r="D18" s="163">
        <f>+'9. Weather Adj LF'!E20</f>
        <v>435.5</v>
      </c>
      <c r="E18" s="163">
        <f>+'9. Weather Adj LF'!F20</f>
        <v>432.5</v>
      </c>
      <c r="F18" s="163">
        <f>+'9. Weather Adj LF'!G20</f>
        <v>429.5</v>
      </c>
      <c r="G18" s="163">
        <f>+'9. Weather Adj LF'!H20</f>
        <v>432.5</v>
      </c>
      <c r="H18" s="163">
        <f>+'9. Weather Adj LF'!I20</f>
        <v>436</v>
      </c>
      <c r="I18" s="163">
        <f>+'9. Weather Adj LF'!J20</f>
        <v>439.5</v>
      </c>
      <c r="J18" s="163">
        <f>+'9. Weather Adj LF'!K20</f>
        <v>451</v>
      </c>
      <c r="K18" s="163">
        <f>+'9. Weather Adj LF'!L20</f>
        <v>455.5</v>
      </c>
      <c r="L18" s="163">
        <f>+'9. Weather Adj LF'!M20</f>
        <v>453</v>
      </c>
      <c r="M18" s="163">
        <f>+'9. Weather Adj LF'!N20</f>
        <v>455</v>
      </c>
      <c r="N18" s="163">
        <f>+'9. Weather Adj LF'!O20</f>
        <v>456</v>
      </c>
      <c r="O18" s="329">
        <f>+'9. Weather Adj LF'!P20</f>
        <v>458</v>
      </c>
    </row>
    <row r="19" spans="2:15">
      <c r="B19" s="688"/>
      <c r="C19" s="42" t="s">
        <v>36</v>
      </c>
      <c r="D19" s="163">
        <f>+'9. Weather Adj LF'!E21</f>
        <v>11212977.246526431</v>
      </c>
      <c r="E19" s="163">
        <f>+'9. Weather Adj LF'!F21</f>
        <v>11203782.543961693</v>
      </c>
      <c r="F19" s="163">
        <f>+'9. Weather Adj LF'!G21</f>
        <v>10751811.298903616</v>
      </c>
      <c r="G19" s="163">
        <f>+'9. Weather Adj LF'!H21</f>
        <v>10923989.236844525</v>
      </c>
      <c r="H19" s="163">
        <f>+'9. Weather Adj LF'!I21</f>
        <v>10901579.1528008</v>
      </c>
      <c r="I19" s="163">
        <f>+'9. Weather Adj LF'!J21</f>
        <v>11254541.149664605</v>
      </c>
      <c r="J19" s="163">
        <f>+'9. Weather Adj LF'!K21</f>
        <v>11495663.191933932</v>
      </c>
      <c r="K19" s="163">
        <f>+'9. Weather Adj LF'!L21</f>
        <v>12523318.281118637</v>
      </c>
      <c r="L19" s="163">
        <f>+'9. Weather Adj LF'!M21</f>
        <v>11113017.879589727</v>
      </c>
      <c r="M19" s="163">
        <f>+'9. Weather Adj LF'!N21</f>
        <v>11294106.186285226</v>
      </c>
      <c r="N19" s="163">
        <f>+'9. Weather Adj LF'!O21</f>
        <v>11613342.615195965</v>
      </c>
      <c r="O19" s="329">
        <f>+'10.1 CDM Allocation'!O22</f>
        <v>11622476.407938842</v>
      </c>
    </row>
    <row r="20" spans="2:15">
      <c r="B20" s="688"/>
      <c r="C20" s="42" t="s">
        <v>37</v>
      </c>
      <c r="D20" s="164">
        <f>+'9. Weather Adj LF'!E22</f>
        <v>0</v>
      </c>
      <c r="E20" s="164">
        <f>+'9. Weather Adj LF'!F22</f>
        <v>0</v>
      </c>
      <c r="F20" s="164">
        <f>+'9. Weather Adj LF'!G22</f>
        <v>0</v>
      </c>
      <c r="G20" s="164">
        <f>+'9. Weather Adj LF'!H22</f>
        <v>0</v>
      </c>
      <c r="H20" s="164">
        <f>+'9. Weather Adj LF'!I22</f>
        <v>0</v>
      </c>
      <c r="I20" s="164">
        <f>+'9. Weather Adj LF'!J22</f>
        <v>0</v>
      </c>
      <c r="J20" s="164">
        <f>+'9. Weather Adj LF'!K22</f>
        <v>0</v>
      </c>
      <c r="K20" s="164">
        <f>+'9. Weather Adj LF'!L22</f>
        <v>0</v>
      </c>
      <c r="L20" s="164">
        <f>+'9. Weather Adj LF'!M22</f>
        <v>0</v>
      </c>
      <c r="M20" s="164">
        <f>+'9. Weather Adj LF'!N22</f>
        <v>0</v>
      </c>
      <c r="N20" s="164">
        <f>+'9. Weather Adj LF'!O22</f>
        <v>0</v>
      </c>
      <c r="O20" s="330">
        <f>+'10.1 CDM Allocation'!O40</f>
        <v>0</v>
      </c>
    </row>
    <row r="21" spans="2:15">
      <c r="B21" s="688"/>
      <c r="C21" s="42"/>
      <c r="D21" s="164"/>
      <c r="E21" s="164"/>
      <c r="F21" s="164"/>
      <c r="G21" s="164"/>
      <c r="H21" s="164"/>
      <c r="I21" s="164"/>
      <c r="J21" s="164"/>
      <c r="K21" s="164"/>
      <c r="L21" s="164"/>
      <c r="M21" s="164"/>
      <c r="N21" s="164"/>
      <c r="O21" s="330"/>
    </row>
    <row r="22" spans="2:15">
      <c r="B22" s="689" t="str">
        <f>+'9. Weather Adj LF'!C24</f>
        <v>General Service &gt; 50 kW - 4999 kW</v>
      </c>
      <c r="C22" s="74" t="s">
        <v>128</v>
      </c>
      <c r="D22" s="163">
        <f>+'9. Weather Adj LF'!E24</f>
        <v>59</v>
      </c>
      <c r="E22" s="163">
        <f>+'9. Weather Adj LF'!F24</f>
        <v>60</v>
      </c>
      <c r="F22" s="163">
        <f>+'9. Weather Adj LF'!G24</f>
        <v>61</v>
      </c>
      <c r="G22" s="163">
        <f>+'9. Weather Adj LF'!H24</f>
        <v>61</v>
      </c>
      <c r="H22" s="163">
        <f>+'9. Weather Adj LF'!I24</f>
        <v>56</v>
      </c>
      <c r="I22" s="163">
        <f>+'9. Weather Adj LF'!J24</f>
        <v>54</v>
      </c>
      <c r="J22" s="163">
        <f>+'9. Weather Adj LF'!K24</f>
        <v>45</v>
      </c>
      <c r="K22" s="163">
        <f>+'9. Weather Adj LF'!L24</f>
        <v>38.5</v>
      </c>
      <c r="L22" s="163">
        <f>+'9. Weather Adj LF'!M24</f>
        <v>41.5</v>
      </c>
      <c r="M22" s="163">
        <f>+'9. Weather Adj LF'!N24</f>
        <v>42</v>
      </c>
      <c r="N22" s="163">
        <f>+'9. Weather Adj LF'!O24</f>
        <v>42</v>
      </c>
      <c r="O22" s="329">
        <f>+'9. Weather Adj LF'!P24</f>
        <v>42</v>
      </c>
    </row>
    <row r="23" spans="2:15">
      <c r="B23" s="688"/>
      <c r="C23" s="42" t="s">
        <v>36</v>
      </c>
      <c r="D23" s="163">
        <f>+'9. Weather Adj LF'!E25</f>
        <v>44119354</v>
      </c>
      <c r="E23" s="163">
        <f>+'9. Weather Adj LF'!F25</f>
        <v>43640624</v>
      </c>
      <c r="F23" s="163">
        <f>+'9. Weather Adj LF'!G25</f>
        <v>45095566</v>
      </c>
      <c r="G23" s="163">
        <f>+'9. Weather Adj LF'!H25</f>
        <v>44950585</v>
      </c>
      <c r="H23" s="163">
        <f>+'9. Weather Adj LF'!I25</f>
        <v>44820170</v>
      </c>
      <c r="I23" s="163">
        <f>+'9. Weather Adj LF'!J25</f>
        <v>44536403</v>
      </c>
      <c r="J23" s="163">
        <f>+'9. Weather Adj LF'!K25</f>
        <v>43765859</v>
      </c>
      <c r="K23" s="163">
        <f>+'9. Weather Adj LF'!L25</f>
        <v>40141946</v>
      </c>
      <c r="L23" s="163">
        <f>+'9. Weather Adj LF'!M25</f>
        <v>41367499</v>
      </c>
      <c r="M23" s="163">
        <f>+'9. Weather Adj LF'!N25</f>
        <v>42952845</v>
      </c>
      <c r="N23" s="163">
        <f>+'9. Weather Adj LF'!O25</f>
        <v>43975531.843685612</v>
      </c>
      <c r="O23" s="329">
        <f>+'10.1 CDM Allocation'!O24</f>
        <v>43975531.682519123</v>
      </c>
    </row>
    <row r="24" spans="2:15">
      <c r="B24" s="688"/>
      <c r="C24" s="42" t="s">
        <v>37</v>
      </c>
      <c r="D24" s="164">
        <f>+'9. Weather Adj LF'!E26</f>
        <v>115812.49999999999</v>
      </c>
      <c r="E24" s="164">
        <f>+'9. Weather Adj LF'!F26</f>
        <v>114180.1</v>
      </c>
      <c r="F24" s="164">
        <f>+'9. Weather Adj LF'!G26</f>
        <v>113921.99999999999</v>
      </c>
      <c r="G24" s="164">
        <f>+'9. Weather Adj LF'!H26</f>
        <v>116347.70000000001</v>
      </c>
      <c r="H24" s="164">
        <f>+'9. Weather Adj LF'!I26</f>
        <v>114292.40000000001</v>
      </c>
      <c r="I24" s="164">
        <f>+'9. Weather Adj LF'!J26</f>
        <v>107393.8</v>
      </c>
      <c r="J24" s="164">
        <f>+'9. Weather Adj LF'!K26</f>
        <v>96470.3</v>
      </c>
      <c r="K24" s="164">
        <f>+'9. Weather Adj LF'!L26</f>
        <v>91748.83</v>
      </c>
      <c r="L24" s="164">
        <f>+'9. Weather Adj LF'!M26</f>
        <v>100012.68</v>
      </c>
      <c r="M24" s="164">
        <f>+'9. Weather Adj LF'!N26</f>
        <v>102092.5</v>
      </c>
      <c r="N24" s="164">
        <f>+'9. Weather Adj LF'!O26</f>
        <v>104523.27394731301</v>
      </c>
      <c r="O24" s="330">
        <f>+'10.1 CDM Allocation'!O42</f>
        <v>104523.27356424431</v>
      </c>
    </row>
    <row r="25" spans="2:15">
      <c r="B25" s="688"/>
      <c r="C25" s="42"/>
      <c r="D25" s="164"/>
      <c r="E25" s="164"/>
      <c r="F25" s="164"/>
      <c r="G25" s="164"/>
      <c r="H25" s="164"/>
      <c r="I25" s="164"/>
      <c r="J25" s="164"/>
      <c r="K25" s="164"/>
      <c r="L25" s="164"/>
      <c r="M25" s="164"/>
      <c r="N25" s="164"/>
      <c r="O25" s="330"/>
    </row>
    <row r="26" spans="2:15">
      <c r="B26" s="689" t="str">
        <f>+'9. Weather Adj LF'!C28</f>
        <v>Streetlighting</v>
      </c>
      <c r="C26" s="74" t="s">
        <v>128</v>
      </c>
      <c r="D26" s="163">
        <f>+'9. Weather Adj LF'!E28</f>
        <v>1190</v>
      </c>
      <c r="E26" s="163">
        <f>+'9. Weather Adj LF'!F28</f>
        <v>1190</v>
      </c>
      <c r="F26" s="163">
        <f>+'9. Weather Adj LF'!G28</f>
        <v>1190</v>
      </c>
      <c r="G26" s="163">
        <f>+'9. Weather Adj LF'!H28</f>
        <v>1197</v>
      </c>
      <c r="H26" s="163">
        <f>+'9. Weather Adj LF'!I28</f>
        <v>1193</v>
      </c>
      <c r="I26" s="163">
        <f>+'9. Weather Adj LF'!J28</f>
        <v>1195</v>
      </c>
      <c r="J26" s="163">
        <f>+'9. Weather Adj LF'!K28</f>
        <v>1195</v>
      </c>
      <c r="K26" s="163">
        <f>+'9. Weather Adj LF'!L28</f>
        <v>1227</v>
      </c>
      <c r="L26" s="163">
        <f>+'9. Weather Adj LF'!M28</f>
        <v>1227</v>
      </c>
      <c r="M26" s="163">
        <f>+'9. Weather Adj LF'!N28</f>
        <v>1197</v>
      </c>
      <c r="N26" s="163">
        <f>+'9. Weather Adj LF'!O28</f>
        <v>1197</v>
      </c>
      <c r="O26" s="329">
        <f>+'9. Weather Adj LF'!P28</f>
        <v>1197</v>
      </c>
    </row>
    <row r="27" spans="2:15">
      <c r="B27" s="688"/>
      <c r="C27" s="42" t="s">
        <v>36</v>
      </c>
      <c r="D27" s="163">
        <f>+'9. Weather Adj LF'!E29</f>
        <v>1118710</v>
      </c>
      <c r="E27" s="163">
        <f>+'9. Weather Adj LF'!F29</f>
        <v>1121519</v>
      </c>
      <c r="F27" s="163">
        <f>+'9. Weather Adj LF'!G29</f>
        <v>1123682</v>
      </c>
      <c r="G27" s="163">
        <f>+'9. Weather Adj LF'!H29</f>
        <v>1127383</v>
      </c>
      <c r="H27" s="163">
        <f>+'9. Weather Adj LF'!I29</f>
        <v>1123681</v>
      </c>
      <c r="I27" s="163">
        <f>+'9. Weather Adj LF'!J29</f>
        <v>1095474</v>
      </c>
      <c r="J27" s="163">
        <f>+'9. Weather Adj LF'!K29</f>
        <v>1095439</v>
      </c>
      <c r="K27" s="163">
        <f>+'9. Weather Adj LF'!L29</f>
        <v>1073512</v>
      </c>
      <c r="L27" s="163">
        <f>+'9. Weather Adj LF'!M29</f>
        <v>332564</v>
      </c>
      <c r="M27" s="163">
        <f>+'9. Weather Adj LF'!N29</f>
        <v>388078</v>
      </c>
      <c r="N27" s="163">
        <f>+'9. Weather Adj LF'!O29</f>
        <v>388077.76585185045</v>
      </c>
      <c r="O27" s="329">
        <f>+'10.1 CDM Allocation'!O26</f>
        <v>388077.94266823668</v>
      </c>
    </row>
    <row r="28" spans="2:15">
      <c r="B28" s="688"/>
      <c r="C28" s="42" t="s">
        <v>37</v>
      </c>
      <c r="D28" s="164">
        <f>+'9. Weather Adj LF'!E30</f>
        <v>3104.3999999999992</v>
      </c>
      <c r="E28" s="164">
        <f>+'9. Weather Adj LF'!F30</f>
        <v>3109.900000000001</v>
      </c>
      <c r="F28" s="164">
        <f>+'9. Weather Adj LF'!G30</f>
        <v>3117.6000000000008</v>
      </c>
      <c r="G28" s="164">
        <f>+'9. Weather Adj LF'!H30</f>
        <v>3137.3000000000006</v>
      </c>
      <c r="H28" s="164">
        <f>+'9. Weather Adj LF'!I30</f>
        <v>3117.6000000000008</v>
      </c>
      <c r="I28" s="164">
        <f>+'9. Weather Adj LF'!J30</f>
        <v>3038.3999999999996</v>
      </c>
      <c r="J28" s="164">
        <f>+'9. Weather Adj LF'!K30</f>
        <v>3038.3999999999996</v>
      </c>
      <c r="K28" s="164">
        <f>+'9. Weather Adj LF'!L30</f>
        <v>2981.1</v>
      </c>
      <c r="L28" s="164">
        <f>+'9. Weather Adj LF'!M30</f>
        <v>950.30000000000018</v>
      </c>
      <c r="M28" s="164">
        <f>+'9. Weather Adj LF'!N30</f>
        <v>1075.3000000000002</v>
      </c>
      <c r="N28" s="164">
        <f>+'9. Weather Adj LF'!O30</f>
        <v>1075.2993512141757</v>
      </c>
      <c r="O28" s="330">
        <f>+'10.1 CDM Allocation'!O44</f>
        <v>1075.2998411431593</v>
      </c>
    </row>
    <row r="29" spans="2:15">
      <c r="B29" s="688"/>
      <c r="C29" s="42"/>
      <c r="D29" s="164"/>
      <c r="E29" s="164"/>
      <c r="F29" s="164"/>
      <c r="G29" s="164"/>
      <c r="H29" s="164"/>
      <c r="I29" s="164"/>
      <c r="J29" s="164"/>
      <c r="K29" s="164"/>
      <c r="L29" s="164"/>
      <c r="M29" s="164"/>
      <c r="N29" s="164"/>
      <c r="O29" s="330"/>
    </row>
    <row r="30" spans="2:15">
      <c r="B30" s="689" t="str">
        <f>+'9. Weather Adj LF'!C32</f>
        <v>Unmetered Scattered Load</v>
      </c>
      <c r="C30" s="74" t="s">
        <v>128</v>
      </c>
      <c r="D30" s="163">
        <f>+'9. Weather Adj LF'!E32</f>
        <v>33.5</v>
      </c>
      <c r="E30" s="163">
        <f>+'9. Weather Adj LF'!F32</f>
        <v>33</v>
      </c>
      <c r="F30" s="163">
        <f>+'9. Weather Adj LF'!G32</f>
        <v>33</v>
      </c>
      <c r="G30" s="163">
        <f>+'9. Weather Adj LF'!H32</f>
        <v>33.5</v>
      </c>
      <c r="H30" s="163">
        <f>+'9. Weather Adj LF'!I32</f>
        <v>34</v>
      </c>
      <c r="I30" s="163">
        <f>+'9. Weather Adj LF'!J32</f>
        <v>35.5</v>
      </c>
      <c r="J30" s="163">
        <f>+'9. Weather Adj LF'!K32</f>
        <v>37</v>
      </c>
      <c r="K30" s="163">
        <f>+'9. Weather Adj LF'!L32</f>
        <v>37</v>
      </c>
      <c r="L30" s="163">
        <f>+'9. Weather Adj LF'!M32</f>
        <v>37</v>
      </c>
      <c r="M30" s="163">
        <f>+'9. Weather Adj LF'!N32</f>
        <v>37</v>
      </c>
      <c r="N30" s="163">
        <f>+'9. Weather Adj LF'!O32</f>
        <v>37</v>
      </c>
      <c r="O30" s="329">
        <f>+'9. Weather Adj LF'!P32</f>
        <v>37</v>
      </c>
    </row>
    <row r="31" spans="2:15">
      <c r="B31" s="688"/>
      <c r="C31" s="42" t="s">
        <v>36</v>
      </c>
      <c r="D31" s="163">
        <f>+'9. Weather Adj LF'!E33</f>
        <v>155619</v>
      </c>
      <c r="E31" s="163">
        <f>+'9. Weather Adj LF'!F33</f>
        <v>155019</v>
      </c>
      <c r="F31" s="163">
        <f>+'9. Weather Adj LF'!G33</f>
        <v>155364</v>
      </c>
      <c r="G31" s="163">
        <f>+'9. Weather Adj LF'!H33</f>
        <v>157514</v>
      </c>
      <c r="H31" s="163">
        <f>+'9. Weather Adj LF'!I33</f>
        <v>161875</v>
      </c>
      <c r="I31" s="163">
        <f>+'9. Weather Adj LF'!J33</f>
        <v>174874</v>
      </c>
      <c r="J31" s="163">
        <f>+'9. Weather Adj LF'!K33</f>
        <v>176820</v>
      </c>
      <c r="K31" s="163">
        <f>+'9. Weather Adj LF'!L33</f>
        <v>224089</v>
      </c>
      <c r="L31" s="163">
        <f>+'9. Weather Adj LF'!M33</f>
        <v>269522</v>
      </c>
      <c r="M31" s="163">
        <f>+'9. Weather Adj LF'!N33</f>
        <v>264699</v>
      </c>
      <c r="N31" s="163">
        <f>+'9. Weather Adj LF'!O33</f>
        <v>264698.51947345369</v>
      </c>
      <c r="O31" s="329">
        <f>+'10.1 CDM Allocation'!O28</f>
        <v>264699.26880508452</v>
      </c>
    </row>
    <row r="32" spans="2:15">
      <c r="B32" s="688"/>
      <c r="C32" s="42" t="s">
        <v>37</v>
      </c>
      <c r="D32" s="164">
        <f>+'9. Weather Adj LF'!E34</f>
        <v>0</v>
      </c>
      <c r="E32" s="164">
        <f>+'9. Weather Adj LF'!F34</f>
        <v>0</v>
      </c>
      <c r="F32" s="164">
        <f>+'9. Weather Adj LF'!G34</f>
        <v>0</v>
      </c>
      <c r="G32" s="164">
        <f>+'9. Weather Adj LF'!H34</f>
        <v>0</v>
      </c>
      <c r="H32" s="164">
        <f>+'9. Weather Adj LF'!I34</f>
        <v>0</v>
      </c>
      <c r="I32" s="164">
        <f>+'9. Weather Adj LF'!J34</f>
        <v>0</v>
      </c>
      <c r="J32" s="164">
        <f>+'9. Weather Adj LF'!K34</f>
        <v>0</v>
      </c>
      <c r="K32" s="164">
        <f>+'9. Weather Adj LF'!L34</f>
        <v>0</v>
      </c>
      <c r="L32" s="164">
        <f>+'9. Weather Adj LF'!M34</f>
        <v>0</v>
      </c>
      <c r="M32" s="164">
        <f>+'9. Weather Adj LF'!N34</f>
        <v>0</v>
      </c>
      <c r="N32" s="164">
        <f>+'9. Weather Adj LF'!O34</f>
        <v>0</v>
      </c>
      <c r="O32" s="330">
        <f>+'10.1 CDM Allocation'!O46</f>
        <v>0</v>
      </c>
    </row>
    <row r="33" spans="2:15">
      <c r="B33" s="688"/>
      <c r="C33" s="42"/>
      <c r="D33" s="164"/>
      <c r="E33" s="164"/>
      <c r="F33" s="164"/>
      <c r="G33" s="164"/>
      <c r="H33" s="164"/>
      <c r="I33" s="164"/>
      <c r="J33" s="164"/>
      <c r="K33" s="164"/>
      <c r="L33" s="164"/>
      <c r="M33" s="164"/>
      <c r="N33" s="164"/>
      <c r="O33" s="330"/>
    </row>
    <row r="34" spans="2:15">
      <c r="B34" s="689">
        <f>+'9. Weather Adj LF'!C36</f>
        <v>0</v>
      </c>
      <c r="C34" s="74" t="s">
        <v>128</v>
      </c>
      <c r="D34" s="164">
        <f>+'9. Weather Adj LF'!E36</f>
        <v>0</v>
      </c>
      <c r="E34" s="164">
        <f>+'9. Weather Adj LF'!F36</f>
        <v>0</v>
      </c>
      <c r="F34" s="164">
        <f>+'9. Weather Adj LF'!G36</f>
        <v>0</v>
      </c>
      <c r="G34" s="164">
        <f>+'9. Weather Adj LF'!H36</f>
        <v>0</v>
      </c>
      <c r="H34" s="164">
        <f>+'9. Weather Adj LF'!I36</f>
        <v>0</v>
      </c>
      <c r="I34" s="164">
        <f>+'9. Weather Adj LF'!J36</f>
        <v>0</v>
      </c>
      <c r="J34" s="164">
        <f>+'9. Weather Adj LF'!K36</f>
        <v>0</v>
      </c>
      <c r="K34" s="164">
        <f>+'9. Weather Adj LF'!L36</f>
        <v>0</v>
      </c>
      <c r="L34" s="164">
        <f>+'9. Weather Adj LF'!M36</f>
        <v>0</v>
      </c>
      <c r="M34" s="164">
        <f>+'9. Weather Adj LF'!N36</f>
        <v>0</v>
      </c>
      <c r="N34" s="164">
        <f>+'9. Weather Adj LF'!O36</f>
        <v>0</v>
      </c>
      <c r="O34" s="330">
        <f>+'9. Weather Adj LF'!P36</f>
        <v>0</v>
      </c>
    </row>
    <row r="35" spans="2:15">
      <c r="B35" s="172"/>
      <c r="C35" s="42" t="s">
        <v>36</v>
      </c>
      <c r="D35" s="163">
        <f>+'9. Weather Adj LF'!E37</f>
        <v>0</v>
      </c>
      <c r="E35" s="163">
        <f>+'9. Weather Adj LF'!F37</f>
        <v>0</v>
      </c>
      <c r="F35" s="163">
        <f>+'9. Weather Adj LF'!G37</f>
        <v>0</v>
      </c>
      <c r="G35" s="163">
        <f>+'9. Weather Adj LF'!H37</f>
        <v>0</v>
      </c>
      <c r="H35" s="163">
        <f>+'9. Weather Adj LF'!I37</f>
        <v>0</v>
      </c>
      <c r="I35" s="163">
        <f>+'9. Weather Adj LF'!J37</f>
        <v>0</v>
      </c>
      <c r="J35" s="163">
        <f>+'9. Weather Adj LF'!K37</f>
        <v>0</v>
      </c>
      <c r="K35" s="163">
        <f>+'9. Weather Adj LF'!L37</f>
        <v>0</v>
      </c>
      <c r="L35" s="163">
        <f>+'9. Weather Adj LF'!M37</f>
        <v>0</v>
      </c>
      <c r="M35" s="163">
        <f>+'9. Weather Adj LF'!N37</f>
        <v>0</v>
      </c>
      <c r="N35" s="163">
        <f>+'9. Weather Adj LF'!O37</f>
        <v>0</v>
      </c>
      <c r="O35" s="329">
        <f>+'10.1 CDM Allocation'!O30</f>
        <v>0</v>
      </c>
    </row>
    <row r="36" spans="2:15">
      <c r="B36" s="172"/>
      <c r="C36" s="42" t="s">
        <v>37</v>
      </c>
      <c r="D36" s="331">
        <f>+'9. Weather Adj LF'!E38</f>
        <v>0</v>
      </c>
      <c r="E36" s="331">
        <f>+'9. Weather Adj LF'!F38</f>
        <v>0</v>
      </c>
      <c r="F36" s="331">
        <f>+'9. Weather Adj LF'!G38</f>
        <v>0</v>
      </c>
      <c r="G36" s="331">
        <f>+'9. Weather Adj LF'!H38</f>
        <v>0</v>
      </c>
      <c r="H36" s="331">
        <f>+'9. Weather Adj LF'!I38</f>
        <v>0</v>
      </c>
      <c r="I36" s="331">
        <f>+'9. Weather Adj LF'!J38</f>
        <v>0</v>
      </c>
      <c r="J36" s="331">
        <f>+'9. Weather Adj LF'!K38</f>
        <v>0</v>
      </c>
      <c r="K36" s="331">
        <f>+'9. Weather Adj LF'!L38</f>
        <v>0</v>
      </c>
      <c r="L36" s="331">
        <f>+'9. Weather Adj LF'!M38</f>
        <v>0</v>
      </c>
      <c r="M36" s="331">
        <f>+'9. Weather Adj LF'!N38</f>
        <v>0</v>
      </c>
      <c r="N36" s="331">
        <f>+'9. Weather Adj LF'!O38</f>
        <v>0</v>
      </c>
      <c r="O36" s="416">
        <f>+'10.1 CDM Allocation'!O48</f>
        <v>0</v>
      </c>
    </row>
    <row r="37" spans="2:15">
      <c r="B37" s="172"/>
      <c r="C37" s="161"/>
      <c r="D37" s="332"/>
      <c r="E37" s="332"/>
      <c r="F37" s="332"/>
      <c r="G37" s="332"/>
      <c r="H37" s="332"/>
      <c r="I37" s="332"/>
      <c r="J37" s="332"/>
      <c r="K37" s="332"/>
      <c r="L37" s="332"/>
      <c r="M37" s="332"/>
      <c r="N37" s="332"/>
      <c r="O37" s="364"/>
    </row>
    <row r="38" spans="2:15">
      <c r="B38" s="690">
        <f>'9. Weather Adj LF'!C40</f>
        <v>0</v>
      </c>
      <c r="C38" s="74" t="s">
        <v>128</v>
      </c>
      <c r="D38" s="332">
        <f>+'9. Weather Adj LF'!E40</f>
        <v>0</v>
      </c>
      <c r="E38" s="332">
        <f>+'9. Weather Adj LF'!F40</f>
        <v>0</v>
      </c>
      <c r="F38" s="332">
        <f>+'9. Weather Adj LF'!G40</f>
        <v>0</v>
      </c>
      <c r="G38" s="332">
        <f>+'9. Weather Adj LF'!H40</f>
        <v>0</v>
      </c>
      <c r="H38" s="332">
        <f>+'9. Weather Adj LF'!I40</f>
        <v>0</v>
      </c>
      <c r="I38" s="332">
        <f>+'9. Weather Adj LF'!J40</f>
        <v>0</v>
      </c>
      <c r="J38" s="332">
        <f>+'9. Weather Adj LF'!K40</f>
        <v>0</v>
      </c>
      <c r="K38" s="332">
        <f>+'9. Weather Adj LF'!L40</f>
        <v>0</v>
      </c>
      <c r="L38" s="332">
        <f>+'9. Weather Adj LF'!M40</f>
        <v>0</v>
      </c>
      <c r="M38" s="332">
        <f>+'9. Weather Adj LF'!N40</f>
        <v>0</v>
      </c>
      <c r="N38" s="332">
        <f>+'9. Weather Adj LF'!O40</f>
        <v>0</v>
      </c>
      <c r="O38" s="364">
        <f>+'9. Weather Adj LF'!P40</f>
        <v>0</v>
      </c>
    </row>
    <row r="39" spans="2:15">
      <c r="B39" s="172"/>
      <c r="C39" s="42" t="s">
        <v>36</v>
      </c>
      <c r="D39" s="332">
        <f>+'9. Weather Adj LF'!E41</f>
        <v>0</v>
      </c>
      <c r="E39" s="332">
        <f>+'9. Weather Adj LF'!F41</f>
        <v>0</v>
      </c>
      <c r="F39" s="332">
        <f>+'9. Weather Adj LF'!G41</f>
        <v>0</v>
      </c>
      <c r="G39" s="332">
        <f>+'9. Weather Adj LF'!H41</f>
        <v>0</v>
      </c>
      <c r="H39" s="332">
        <f>+'9. Weather Adj LF'!I41</f>
        <v>0</v>
      </c>
      <c r="I39" s="332">
        <f>+'9. Weather Adj LF'!J41</f>
        <v>0</v>
      </c>
      <c r="J39" s="332">
        <f>+'9. Weather Adj LF'!K41</f>
        <v>0</v>
      </c>
      <c r="K39" s="332">
        <f>+'9. Weather Adj LF'!L41</f>
        <v>0</v>
      </c>
      <c r="L39" s="332">
        <f>+'9. Weather Adj LF'!M41</f>
        <v>0</v>
      </c>
      <c r="M39" s="332">
        <f>+'9. Weather Adj LF'!N41</f>
        <v>0</v>
      </c>
      <c r="N39" s="332">
        <f>+'9. Weather Adj LF'!O41</f>
        <v>0</v>
      </c>
      <c r="O39" s="364">
        <f>+'10.1 CDM Allocation'!O32</f>
        <v>0</v>
      </c>
    </row>
    <row r="40" spans="2:15">
      <c r="B40" s="172"/>
      <c r="C40" s="42" t="s">
        <v>37</v>
      </c>
      <c r="D40" s="332">
        <f>+'9. Weather Adj LF'!E42</f>
        <v>0</v>
      </c>
      <c r="E40" s="332">
        <f>+'9. Weather Adj LF'!F42</f>
        <v>0</v>
      </c>
      <c r="F40" s="332">
        <f>+'9. Weather Adj LF'!G42</f>
        <v>0</v>
      </c>
      <c r="G40" s="332">
        <f>+'9. Weather Adj LF'!H42</f>
        <v>0</v>
      </c>
      <c r="H40" s="332">
        <f>+'9. Weather Adj LF'!I42</f>
        <v>0</v>
      </c>
      <c r="I40" s="332">
        <f>+'9. Weather Adj LF'!J42</f>
        <v>0</v>
      </c>
      <c r="J40" s="332">
        <f>+'9. Weather Adj LF'!K42</f>
        <v>0</v>
      </c>
      <c r="K40" s="332">
        <f>+'9. Weather Adj LF'!L42</f>
        <v>0</v>
      </c>
      <c r="L40" s="332">
        <f>+'9. Weather Adj LF'!M42</f>
        <v>0</v>
      </c>
      <c r="M40" s="332">
        <f>+'9. Weather Adj LF'!N42</f>
        <v>0</v>
      </c>
      <c r="N40" s="332">
        <f>+'9. Weather Adj LF'!O42</f>
        <v>0</v>
      </c>
      <c r="O40" s="364">
        <f>+'10.1 CDM Allocation'!O50</f>
        <v>0</v>
      </c>
    </row>
    <row r="41" spans="2:15" ht="13.5" thickBot="1">
      <c r="B41" s="76"/>
      <c r="C41" s="77"/>
      <c r="D41" s="243"/>
      <c r="E41" s="243"/>
      <c r="F41" s="243"/>
      <c r="G41" s="243"/>
      <c r="H41" s="243"/>
      <c r="I41" s="243"/>
      <c r="J41" s="243"/>
      <c r="K41" s="243"/>
      <c r="L41" s="243"/>
      <c r="M41" s="243"/>
      <c r="N41" s="415"/>
      <c r="O41" s="369"/>
    </row>
    <row r="42" spans="2:15" hidden="1">
      <c r="B42" s="412">
        <f>'2. Customer Classes'!B21</f>
        <v>0</v>
      </c>
      <c r="C42" s="413"/>
      <c r="D42" s="331"/>
      <c r="E42" s="331"/>
      <c r="F42" s="331"/>
      <c r="G42" s="331"/>
      <c r="H42" s="331"/>
      <c r="I42" s="331"/>
      <c r="J42" s="331"/>
      <c r="K42" s="331"/>
      <c r="L42" s="331"/>
      <c r="M42" s="331"/>
      <c r="N42" s="414"/>
      <c r="O42" s="416"/>
    </row>
    <row r="43" spans="2:15" hidden="1">
      <c r="B43" s="160"/>
      <c r="C43" s="161"/>
      <c r="D43" s="332"/>
      <c r="E43" s="332"/>
      <c r="F43" s="332"/>
      <c r="G43" s="332"/>
      <c r="H43" s="332"/>
      <c r="I43" s="332"/>
      <c r="J43" s="332"/>
      <c r="K43" s="332"/>
      <c r="L43" s="332"/>
      <c r="M43" s="332"/>
      <c r="N43" s="333"/>
      <c r="O43" s="364"/>
    </row>
    <row r="44" spans="2:15" hidden="1">
      <c r="B44" s="160"/>
      <c r="C44" s="161"/>
      <c r="D44" s="332"/>
      <c r="E44" s="332"/>
      <c r="F44" s="332"/>
      <c r="G44" s="332"/>
      <c r="H44" s="332"/>
      <c r="I44" s="332"/>
      <c r="J44" s="332"/>
      <c r="K44" s="332"/>
      <c r="L44" s="332"/>
      <c r="M44" s="332"/>
      <c r="N44" s="333"/>
      <c r="O44" s="364"/>
    </row>
    <row r="45" spans="2:15" hidden="1">
      <c r="B45" s="160"/>
      <c r="C45" s="161"/>
      <c r="D45" s="332"/>
      <c r="E45" s="332"/>
      <c r="F45" s="332"/>
      <c r="G45" s="332"/>
      <c r="H45" s="332"/>
      <c r="I45" s="332"/>
      <c r="J45" s="332"/>
      <c r="K45" s="332"/>
      <c r="L45" s="332"/>
      <c r="M45" s="332"/>
      <c r="N45" s="333"/>
      <c r="O45" s="364"/>
    </row>
    <row r="46" spans="2:15" hidden="1">
      <c r="B46" s="162" t="str">
        <f>'2. Customer Classes'!B22</f>
        <v>other</v>
      </c>
      <c r="C46" s="161"/>
      <c r="D46" s="332"/>
      <c r="E46" s="332"/>
      <c r="F46" s="332"/>
      <c r="G46" s="332"/>
      <c r="H46" s="332"/>
      <c r="I46" s="332"/>
      <c r="J46" s="332"/>
      <c r="K46" s="332"/>
      <c r="L46" s="332"/>
      <c r="M46" s="332"/>
      <c r="N46" s="333"/>
      <c r="O46" s="364"/>
    </row>
    <row r="47" spans="2:15" hidden="1">
      <c r="B47" s="160"/>
      <c r="C47" s="161"/>
      <c r="D47" s="332"/>
      <c r="E47" s="332"/>
      <c r="F47" s="332"/>
      <c r="G47" s="332"/>
      <c r="H47" s="332"/>
      <c r="I47" s="332"/>
      <c r="J47" s="332"/>
      <c r="K47" s="332"/>
      <c r="L47" s="332"/>
      <c r="M47" s="332"/>
      <c r="N47" s="333"/>
      <c r="O47" s="364"/>
    </row>
    <row r="48" spans="2:15" hidden="1">
      <c r="B48" s="160"/>
      <c r="C48" s="161"/>
      <c r="D48" s="332"/>
      <c r="E48" s="332"/>
      <c r="F48" s="332"/>
      <c r="G48" s="332"/>
      <c r="H48" s="332"/>
      <c r="I48" s="332"/>
      <c r="J48" s="332"/>
      <c r="K48" s="332"/>
      <c r="L48" s="332"/>
      <c r="M48" s="332"/>
      <c r="N48" s="333"/>
      <c r="O48" s="364"/>
    </row>
    <row r="49" spans="2:20" hidden="1">
      <c r="B49" s="160"/>
      <c r="C49" s="161"/>
      <c r="D49" s="332"/>
      <c r="E49" s="332"/>
      <c r="F49" s="332"/>
      <c r="G49" s="332"/>
      <c r="H49" s="332"/>
      <c r="I49" s="332"/>
      <c r="J49" s="332"/>
      <c r="K49" s="332"/>
      <c r="L49" s="332"/>
      <c r="M49" s="332"/>
      <c r="N49" s="333"/>
      <c r="O49" s="364"/>
    </row>
    <row r="50" spans="2:20" hidden="1">
      <c r="B50" s="162" t="str">
        <f>'2. Customer Classes'!B23</f>
        <v>other</v>
      </c>
      <c r="C50" s="161"/>
      <c r="D50" s="332"/>
      <c r="E50" s="332"/>
      <c r="F50" s="332"/>
      <c r="G50" s="332"/>
      <c r="H50" s="332"/>
      <c r="I50" s="332"/>
      <c r="J50" s="332"/>
      <c r="K50" s="332"/>
      <c r="L50" s="332"/>
      <c r="M50" s="332"/>
      <c r="N50" s="333"/>
      <c r="O50" s="364"/>
    </row>
    <row r="51" spans="2:20" hidden="1">
      <c r="B51" s="162"/>
      <c r="C51" s="161"/>
      <c r="D51" s="332"/>
      <c r="E51" s="332"/>
      <c r="F51" s="332"/>
      <c r="G51" s="332"/>
      <c r="H51" s="332"/>
      <c r="I51" s="332"/>
      <c r="J51" s="332"/>
      <c r="K51" s="332"/>
      <c r="L51" s="332"/>
      <c r="M51" s="332"/>
      <c r="N51" s="333"/>
      <c r="O51" s="364"/>
    </row>
    <row r="52" spans="2:20" hidden="1">
      <c r="B52" s="162"/>
      <c r="C52" s="161"/>
      <c r="D52" s="332"/>
      <c r="E52" s="332"/>
      <c r="F52" s="332"/>
      <c r="G52" s="332"/>
      <c r="H52" s="332"/>
      <c r="I52" s="332"/>
      <c r="J52" s="332"/>
      <c r="K52" s="332"/>
      <c r="L52" s="332"/>
      <c r="M52" s="332"/>
      <c r="N52" s="333"/>
      <c r="O52" s="364"/>
    </row>
    <row r="53" spans="2:20" hidden="1">
      <c r="B53" s="162"/>
      <c r="C53" s="161"/>
      <c r="D53" s="332"/>
      <c r="E53" s="332"/>
      <c r="F53" s="332"/>
      <c r="G53" s="332"/>
      <c r="H53" s="332"/>
      <c r="I53" s="332"/>
      <c r="J53" s="332"/>
      <c r="K53" s="332"/>
      <c r="L53" s="332"/>
      <c r="M53" s="332"/>
      <c r="N53" s="333"/>
      <c r="O53" s="364"/>
    </row>
    <row r="54" spans="2:20">
      <c r="B54" s="172" t="s">
        <v>16</v>
      </c>
      <c r="C54" s="173" t="s">
        <v>128</v>
      </c>
      <c r="D54" s="334">
        <f>D14+D18+D22+D26+D30+D34+D38+D42+D46+D50</f>
        <v>5444</v>
      </c>
      <c r="E54" s="334">
        <f t="shared" ref="E54:O56" si="0">E14+E18+E22+E26+E30+E34+E38+E42+E46+E50</f>
        <v>5459.5</v>
      </c>
      <c r="F54" s="334">
        <f t="shared" si="0"/>
        <v>5481</v>
      </c>
      <c r="G54" s="334">
        <f t="shared" si="0"/>
        <v>5503.5</v>
      </c>
      <c r="H54" s="334">
        <f t="shared" si="0"/>
        <v>5516</v>
      </c>
      <c r="I54" s="334">
        <f t="shared" si="0"/>
        <v>5537.5</v>
      </c>
      <c r="J54" s="334">
        <f t="shared" si="0"/>
        <v>5552</v>
      </c>
      <c r="K54" s="334">
        <f t="shared" si="0"/>
        <v>5601.5</v>
      </c>
      <c r="L54" s="334">
        <f t="shared" si="0"/>
        <v>5618.5</v>
      </c>
      <c r="M54" s="334">
        <f t="shared" si="0"/>
        <v>5609.5</v>
      </c>
      <c r="N54" s="334">
        <f t="shared" si="0"/>
        <v>5637</v>
      </c>
      <c r="O54" s="335">
        <f t="shared" si="0"/>
        <v>5656</v>
      </c>
      <c r="P54" s="247"/>
      <c r="R54" s="247"/>
      <c r="S54" s="247"/>
      <c r="T54" s="247"/>
    </row>
    <row r="55" spans="2:20">
      <c r="B55" s="172"/>
      <c r="C55" s="173" t="s">
        <v>36</v>
      </c>
      <c r="D55" s="334">
        <f>D15+D19+D23+D27+D31+D35+D39+D43+D47+D51</f>
        <v>86251950.929348975</v>
      </c>
      <c r="E55" s="334">
        <f t="shared" si="0"/>
        <v>85917687.497894406</v>
      </c>
      <c r="F55" s="334">
        <f t="shared" si="0"/>
        <v>86465898.757756919</v>
      </c>
      <c r="G55" s="334">
        <f t="shared" si="0"/>
        <v>86325390.8978578</v>
      </c>
      <c r="H55" s="334">
        <f t="shared" si="0"/>
        <v>85142481.400581777</v>
      </c>
      <c r="I55" s="334">
        <f t="shared" si="0"/>
        <v>87271948.298199669</v>
      </c>
      <c r="J55" s="334">
        <f t="shared" si="0"/>
        <v>86269452.904994532</v>
      </c>
      <c r="K55" s="334">
        <f t="shared" si="0"/>
        <v>85773011.370120063</v>
      </c>
      <c r="L55" s="334">
        <f t="shared" si="0"/>
        <v>84166384.429181844</v>
      </c>
      <c r="M55" s="334">
        <f t="shared" si="0"/>
        <v>85306222.727151141</v>
      </c>
      <c r="N55" s="334">
        <f t="shared" si="0"/>
        <v>87507608.737097219</v>
      </c>
      <c r="O55" s="335">
        <f>O15+O19+O23+O27+O31+O35+O39+O43+O47+O51</f>
        <v>87541331.931979835</v>
      </c>
      <c r="P55" s="247"/>
      <c r="R55" s="247"/>
      <c r="S55" s="247"/>
      <c r="T55" s="247"/>
    </row>
    <row r="56" spans="2:20" ht="13.5" thickBot="1">
      <c r="B56" s="174"/>
      <c r="C56" s="175" t="s">
        <v>37</v>
      </c>
      <c r="D56" s="336">
        <f>D16+D20+D24+D28+D32+D36+D40+D44+D48+D52</f>
        <v>118916.89999999998</v>
      </c>
      <c r="E56" s="336">
        <f t="shared" si="0"/>
        <v>117290</v>
      </c>
      <c r="F56" s="336">
        <f t="shared" si="0"/>
        <v>117039.59999999999</v>
      </c>
      <c r="G56" s="336">
        <f t="shared" si="0"/>
        <v>119485.00000000001</v>
      </c>
      <c r="H56" s="336">
        <f t="shared" si="0"/>
        <v>117410.00000000001</v>
      </c>
      <c r="I56" s="336">
        <f t="shared" si="0"/>
        <v>110432.2</v>
      </c>
      <c r="J56" s="336">
        <f t="shared" si="0"/>
        <v>99508.7</v>
      </c>
      <c r="K56" s="336">
        <f t="shared" si="0"/>
        <v>94729.930000000008</v>
      </c>
      <c r="L56" s="336">
        <f t="shared" si="0"/>
        <v>100962.98</v>
      </c>
      <c r="M56" s="336">
        <f t="shared" si="0"/>
        <v>103167.8</v>
      </c>
      <c r="N56" s="336">
        <f t="shared" si="0"/>
        <v>105598.57329852718</v>
      </c>
      <c r="O56" s="337">
        <f t="shared" si="0"/>
        <v>105598.57340538748</v>
      </c>
      <c r="P56" s="247"/>
      <c r="R56" s="247"/>
      <c r="S56" s="247"/>
      <c r="T56" s="247"/>
    </row>
    <row r="57" spans="2:20">
      <c r="O57" s="1"/>
    </row>
    <row r="60" spans="2:20">
      <c r="O60" s="1"/>
    </row>
    <row r="61" spans="2:20">
      <c r="O61" s="1"/>
    </row>
  </sheetData>
  <pageMargins left="0.70866141732283472" right="0.70866141732283472" top="0.74803149606299213" bottom="0.74803149606299213" header="0.31496062992125984" footer="0.31496062992125984"/>
  <pageSetup scale="53"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26"/>
  <sheetViews>
    <sheetView showGridLines="0" zoomScaleNormal="100" workbookViewId="0">
      <selection activeCell="L8" sqref="L8"/>
    </sheetView>
  </sheetViews>
  <sheetFormatPr defaultColWidth="10.5" defaultRowHeight="12.75"/>
  <cols>
    <col min="1" max="1" width="13.6640625" style="1" customWidth="1"/>
    <col min="2" max="2" width="24.5" style="1" customWidth="1"/>
    <col min="3" max="16" width="14.1640625" style="1" customWidth="1"/>
    <col min="17" max="17" width="10.83203125" style="1" customWidth="1"/>
    <col min="18" max="18" width="8.5" style="1" bestFit="1" customWidth="1"/>
    <col min="19" max="19" width="10.6640625" style="1" bestFit="1" customWidth="1"/>
    <col min="20" max="20" width="8.33203125" style="1" bestFit="1" customWidth="1"/>
    <col min="21" max="22" width="9" style="1" bestFit="1" customWidth="1"/>
    <col min="23" max="23" width="10.83203125" style="1" customWidth="1"/>
    <col min="24" max="24" width="9.6640625" style="1" bestFit="1" customWidth="1"/>
    <col min="25" max="25" width="8.5" style="1" bestFit="1" customWidth="1"/>
    <col min="26" max="26" width="9.5" style="1" bestFit="1" customWidth="1"/>
    <col min="27" max="27" width="8.33203125" style="1" bestFit="1" customWidth="1"/>
    <col min="28" max="29" width="9" style="1" bestFit="1" customWidth="1"/>
    <col min="30" max="30" width="10.83203125" style="1" bestFit="1" customWidth="1"/>
    <col min="31" max="31" width="8" style="1" bestFit="1" customWidth="1"/>
    <col min="32" max="32" width="9" style="1" bestFit="1" customWidth="1"/>
    <col min="33" max="16384" width="10.5" style="1"/>
  </cols>
  <sheetData>
    <row r="1" spans="1:16">
      <c r="A1" s="626" t="s">
        <v>255</v>
      </c>
    </row>
    <row r="11" spans="1:16" ht="23.25">
      <c r="B11" s="114" t="s">
        <v>58</v>
      </c>
    </row>
    <row r="12" spans="1:16" ht="13.5" thickBot="1"/>
    <row r="13" spans="1:16" ht="40.5" customHeight="1">
      <c r="B13" s="165"/>
      <c r="C13" s="1087" t="str">
        <f>+'11. Final Load Forecast'!B14</f>
        <v>Residential</v>
      </c>
      <c r="D13" s="1088"/>
      <c r="E13" s="1087" t="str">
        <f>+'11. Final Load Forecast'!B18</f>
        <v>General Service &lt; 50 kW</v>
      </c>
      <c r="F13" s="1088"/>
      <c r="G13" s="1090" t="str">
        <f>+'11. Final Load Forecast'!B22</f>
        <v>General Service &gt; 50 kW - 4999 kW</v>
      </c>
      <c r="H13" s="1091"/>
      <c r="I13" s="1090" t="str">
        <f>+'11. Final Load Forecast'!B26</f>
        <v>Streetlighting</v>
      </c>
      <c r="J13" s="1091"/>
      <c r="K13" s="1090" t="str">
        <f>+'11. Final Load Forecast'!B30</f>
        <v>Unmetered Scattered Load</v>
      </c>
      <c r="L13" s="1091"/>
      <c r="M13" s="1087">
        <f>+'11. Final Load Forecast'!B34</f>
        <v>0</v>
      </c>
      <c r="N13" s="1088"/>
      <c r="O13" s="1087">
        <f>+'11. Final Load Forecast'!B38</f>
        <v>0</v>
      </c>
      <c r="P13" s="1089"/>
    </row>
    <row r="14" spans="1:16" ht="25.5">
      <c r="B14" s="78" t="s">
        <v>33</v>
      </c>
      <c r="C14" s="79" t="s">
        <v>47</v>
      </c>
      <c r="D14" s="79" t="s">
        <v>129</v>
      </c>
      <c r="E14" s="79" t="s">
        <v>47</v>
      </c>
      <c r="F14" s="79" t="s">
        <v>129</v>
      </c>
      <c r="G14" s="79" t="s">
        <v>47</v>
      </c>
      <c r="H14" s="79" t="s">
        <v>129</v>
      </c>
      <c r="I14" s="79" t="s">
        <v>47</v>
      </c>
      <c r="J14" s="79" t="s">
        <v>129</v>
      </c>
      <c r="K14" s="79" t="s">
        <v>47</v>
      </c>
      <c r="L14" s="79" t="s">
        <v>129</v>
      </c>
      <c r="M14" s="79" t="s">
        <v>47</v>
      </c>
      <c r="N14" s="79" t="s">
        <v>129</v>
      </c>
      <c r="O14" s="79" t="s">
        <v>47</v>
      </c>
      <c r="P14" s="80" t="s">
        <v>129</v>
      </c>
    </row>
    <row r="15" spans="1:16">
      <c r="B15" s="166">
        <f>'4. Customer Growth'!B17</f>
        <v>2013</v>
      </c>
      <c r="C15" s="53">
        <f>+'11. Final Load Forecast'!$D$15/'11. Final Load Forecast'!$D$14</f>
        <v>7956.3313695175902</v>
      </c>
      <c r="D15" s="53">
        <f>+'11. Final Load Forecast'!$D$16/'11. Final Load Forecast'!$D$14</f>
        <v>0</v>
      </c>
      <c r="E15" s="53">
        <f>+'11. Final Load Forecast'!$D$19/'11. Final Load Forecast'!$D$18</f>
        <v>25747.364515560119</v>
      </c>
      <c r="F15" s="53">
        <f>+'11. Final Load Forecast'!$D$20/'11. Final Load Forecast'!$D$18</f>
        <v>0</v>
      </c>
      <c r="G15" s="53">
        <f>+'11. Final Load Forecast'!$D$23/'11. Final Load Forecast'!$D$22</f>
        <v>747785.6610169491</v>
      </c>
      <c r="H15" s="53">
        <f>+'11. Final Load Forecast'!$D$24/'11. Final Load Forecast'!$D$22</f>
        <v>1962.9237288135591</v>
      </c>
      <c r="I15" s="53">
        <f>+'11. Final Load Forecast'!$D$27/'11. Final Load Forecast'!$D$26</f>
        <v>940.09243697478996</v>
      </c>
      <c r="J15" s="53">
        <f>+'11. Final Load Forecast'!$D$28/'11. Final Load Forecast'!$D$26</f>
        <v>2.6087394957983188</v>
      </c>
      <c r="K15" s="53">
        <f>+'11. Final Load Forecast'!$D$31/'11. Final Load Forecast'!$D$30</f>
        <v>4645.3432835820895</v>
      </c>
      <c r="L15" s="53">
        <f>+'11. Final Load Forecast'!$D$32/'11. Final Load Forecast'!$D$30</f>
        <v>0</v>
      </c>
      <c r="M15" s="53" t="e">
        <f>+'11. Final Load Forecast'!$D$35/'11. Final Load Forecast'!$D$34</f>
        <v>#DIV/0!</v>
      </c>
      <c r="N15" s="53" t="e">
        <f>+'11. Final Load Forecast'!$D$36/'11. Final Load Forecast'!$D$34</f>
        <v>#DIV/0!</v>
      </c>
      <c r="O15" s="53" t="e">
        <f>+'11. Final Load Forecast'!$D$39/'11. Final Load Forecast'!$D$39</f>
        <v>#DIV/0!</v>
      </c>
      <c r="P15" s="81" t="e">
        <f>+'11. Final Load Forecast'!$D$40/'11. Final Load Forecast'!$D$39</f>
        <v>#DIV/0!</v>
      </c>
    </row>
    <row r="16" spans="1:16">
      <c r="B16" s="166">
        <f>'4. Customer Growth'!B18</f>
        <v>2014</v>
      </c>
      <c r="C16" s="53">
        <f>+'11. Final Load Forecast'!$E$15/'11. Final Load Forecast'!$E$14</f>
        <v>7958.5317718837387</v>
      </c>
      <c r="D16" s="53">
        <f>+'11. Final Load Forecast'!$E$16/'11. Final Load Forecast'!$E$14</f>
        <v>0</v>
      </c>
      <c r="E16" s="53">
        <f>+'11. Final Load Forecast'!$E$19/'11. Final Load Forecast'!$E$18</f>
        <v>25904.699523610849</v>
      </c>
      <c r="F16" s="53">
        <f>+'11. Final Load Forecast'!$E$20/'11. Final Load Forecast'!$E$18</f>
        <v>0</v>
      </c>
      <c r="G16" s="53">
        <f>+'11. Final Load Forecast'!$E$23/'11. Final Load Forecast'!$E$22</f>
        <v>727343.73333333328</v>
      </c>
      <c r="H16" s="53">
        <f>+'11. Final Load Forecast'!$E$24/'11. Final Load Forecast'!$E$22</f>
        <v>1903.0016666666668</v>
      </c>
      <c r="I16" s="53">
        <f>+'11. Final Load Forecast'!$E$27/'11. Final Load Forecast'!$E$26</f>
        <v>942.45294117647063</v>
      </c>
      <c r="J16" s="53">
        <f>+'11. Final Load Forecast'!$E$28/'11. Final Load Forecast'!$E$26</f>
        <v>2.6133613445378159</v>
      </c>
      <c r="K16" s="53">
        <f>+'11. Final Load Forecast'!$E$31/'11. Final Load Forecast'!$E$30</f>
        <v>4697.545454545455</v>
      </c>
      <c r="L16" s="53">
        <f>+'11. Final Load Forecast'!$E$32/'11. Final Load Forecast'!$E$30</f>
        <v>0</v>
      </c>
      <c r="M16" s="53" t="e">
        <f>+'11. Final Load Forecast'!$E$35/'11. Final Load Forecast'!$E$34</f>
        <v>#DIV/0!</v>
      </c>
      <c r="N16" s="53" t="e">
        <f>+'11. Final Load Forecast'!$E$36/'11. Final Load Forecast'!$E$34</f>
        <v>#DIV/0!</v>
      </c>
      <c r="O16" s="53" t="e">
        <f>+'11. Final Load Forecast'!$E$39/'11. Final Load Forecast'!$E$38</f>
        <v>#DIV/0!</v>
      </c>
      <c r="P16" s="81" t="e">
        <f>+'11. Final Load Forecast'!$E$40/'11. Final Load Forecast'!$E$38</f>
        <v>#DIV/0!</v>
      </c>
    </row>
    <row r="17" spans="2:16">
      <c r="B17" s="166">
        <f>'4. Customer Growth'!B19</f>
        <v>2015</v>
      </c>
      <c r="C17" s="53">
        <f>+'11. Final Load Forecast'!$F$15/'11. Final Load Forecast'!$F$14</f>
        <v>7787.5183699676982</v>
      </c>
      <c r="D17" s="53">
        <f>+'11. Final Load Forecast'!$F$16/'11. Final Load Forecast'!$F$14</f>
        <v>0</v>
      </c>
      <c r="E17" s="53">
        <f>+'11. Final Load Forecast'!$F$19/'11. Final Load Forecast'!$F$18</f>
        <v>25033.320835631235</v>
      </c>
      <c r="F17" s="53">
        <f>+'11. Final Load Forecast'!$F$20/'11. Final Load Forecast'!$F$18</f>
        <v>0</v>
      </c>
      <c r="G17" s="53">
        <f>+'11. Final Load Forecast'!$F$23/'11. Final Load Forecast'!$F$22</f>
        <v>739271.57377049176</v>
      </c>
      <c r="H17" s="53">
        <f>+'11. Final Load Forecast'!$F$24/'11. Final Load Forecast'!$F$22</f>
        <v>1867.5737704918031</v>
      </c>
      <c r="I17" s="53">
        <f>+'11. Final Load Forecast'!$F$27/'11. Final Load Forecast'!$F$26</f>
        <v>944.2705882352941</v>
      </c>
      <c r="J17" s="53">
        <f>+'11. Final Load Forecast'!$F$28/'11. Final Load Forecast'!$F$26</f>
        <v>2.6198319327731099</v>
      </c>
      <c r="K17" s="53">
        <f>+'11. Final Load Forecast'!$F$31/'11. Final Load Forecast'!$F$30</f>
        <v>4708</v>
      </c>
      <c r="L17" s="53">
        <f>+'11. Final Load Forecast'!$F$32/'11. Final Load Forecast'!$F$30</f>
        <v>0</v>
      </c>
      <c r="M17" s="53" t="e">
        <f>+'11. Final Load Forecast'!$F$35/'11. Final Load Forecast'!$F$34</f>
        <v>#DIV/0!</v>
      </c>
      <c r="N17" s="53" t="e">
        <f>+'11. Final Load Forecast'!$F$36/'11. Final Load Forecast'!$F$34</f>
        <v>#DIV/0!</v>
      </c>
      <c r="O17" s="53" t="e">
        <f>+'11. Final Load Forecast'!$F$39/'11. Final Load Forecast'!$F$38</f>
        <v>#DIV/0!</v>
      </c>
      <c r="P17" s="81" t="e">
        <f>+'11. Final Load Forecast'!$F$40/'11. Final Load Forecast'!$F$38</f>
        <v>#DIV/0!</v>
      </c>
    </row>
    <row r="18" spans="2:16">
      <c r="B18" s="166">
        <f>'4. Customer Growth'!B20</f>
        <v>2016</v>
      </c>
      <c r="C18" s="53">
        <f>+'11. Final Load Forecast'!$G$15/'11. Final Load Forecast'!$G$14</f>
        <v>7716.8725125051669</v>
      </c>
      <c r="D18" s="53">
        <f>+'11. Final Load Forecast'!$G$16/'11. Final Load Forecast'!$G$14</f>
        <v>0</v>
      </c>
      <c r="E18" s="53">
        <f>+'11. Final Load Forecast'!$G$19/'11. Final Load Forecast'!$G$18</f>
        <v>25257.778582299477</v>
      </c>
      <c r="F18" s="53">
        <f>+'11. Final Load Forecast'!$G$20/'11. Final Load Forecast'!$G$18</f>
        <v>0</v>
      </c>
      <c r="G18" s="53">
        <f>+'11. Final Load Forecast'!$G$23/'11. Final Load Forecast'!$G$22</f>
        <v>736894.83606557373</v>
      </c>
      <c r="H18" s="53">
        <f>+'11. Final Load Forecast'!$G$24/'11. Final Load Forecast'!$G$22</f>
        <v>1907.3393442622953</v>
      </c>
      <c r="I18" s="53">
        <f>+'11. Final Load Forecast'!$G$27/'11. Final Load Forecast'!$G$26</f>
        <v>941.84043441938184</v>
      </c>
      <c r="J18" s="53">
        <f>+'11. Final Load Forecast'!$G$28/'11. Final Load Forecast'!$G$26</f>
        <v>2.6209690893901425</v>
      </c>
      <c r="K18" s="53">
        <f>+'11. Final Load Forecast'!$G$31/'11. Final Load Forecast'!$G$30</f>
        <v>4701.9104477611936</v>
      </c>
      <c r="L18" s="53">
        <f>+'11. Final Load Forecast'!$G$32/'11. Final Load Forecast'!$G$30</f>
        <v>0</v>
      </c>
      <c r="M18" s="53" t="e">
        <f>+'11. Final Load Forecast'!$G$35/'11. Final Load Forecast'!$G$34</f>
        <v>#DIV/0!</v>
      </c>
      <c r="N18" s="53" t="e">
        <f>+'11. Final Load Forecast'!$G$36/'11. Final Load Forecast'!$G$34</f>
        <v>#DIV/0!</v>
      </c>
      <c r="O18" s="53" t="e">
        <f>+'11. Final Load Forecast'!$G$39/'11. Final Load Forecast'!$G$38</f>
        <v>#DIV/0!</v>
      </c>
      <c r="P18" s="81" t="e">
        <f>+'11. Final Load Forecast'!$G$40/'11. Final Load Forecast'!$G$38</f>
        <v>#DIV/0!</v>
      </c>
    </row>
    <row r="19" spans="2:16">
      <c r="B19" s="166">
        <f>'4. Customer Growth'!B21</f>
        <v>2017</v>
      </c>
      <c r="C19" s="53">
        <f>+'11. Final Load Forecast'!$H$15/'11. Final Load Forecast'!$H$14</f>
        <v>7409.8436259628588</v>
      </c>
      <c r="D19" s="53">
        <f>+'11. Final Load Forecast'!$H$16/'11. Final Load Forecast'!$H$14</f>
        <v>0</v>
      </c>
      <c r="E19" s="53">
        <f>+'11. Final Load Forecast'!$H$19/'11. Final Load Forecast'!$H$18</f>
        <v>25003.621910093578</v>
      </c>
      <c r="F19" s="53">
        <f>+'11. Final Load Forecast'!$H$20/'11. Final Load Forecast'!$H$18</f>
        <v>0</v>
      </c>
      <c r="G19" s="53">
        <f>+'11. Final Load Forecast'!$H$23/'11. Final Load Forecast'!$H$22</f>
        <v>800360.17857142852</v>
      </c>
      <c r="H19" s="53">
        <f>+'11. Final Load Forecast'!$H$24/'11. Final Load Forecast'!$H$22</f>
        <v>2040.9357142857145</v>
      </c>
      <c r="I19" s="53">
        <f>+'11. Final Load Forecast'!$H$27/'11. Final Load Forecast'!$H$26</f>
        <v>941.89522212908639</v>
      </c>
      <c r="J19" s="53">
        <f>+'11. Final Load Forecast'!$H$28/'11. Final Load Forecast'!$H$26</f>
        <v>2.6132439228834876</v>
      </c>
      <c r="K19" s="53">
        <f>+'11. Final Load Forecast'!$H$31/'11. Final Load Forecast'!$H$30</f>
        <v>4761.0294117647063</v>
      </c>
      <c r="L19" s="53">
        <f>+'11. Final Load Forecast'!$H$32/'11. Final Load Forecast'!$H$30</f>
        <v>0</v>
      </c>
      <c r="M19" s="53" t="e">
        <f>+'11. Final Load Forecast'!$H$35/'11. Final Load Forecast'!$H$34</f>
        <v>#DIV/0!</v>
      </c>
      <c r="N19" s="53" t="e">
        <f>+'11. Final Load Forecast'!$H$36/'11. Final Load Forecast'!$H$34</f>
        <v>#DIV/0!</v>
      </c>
      <c r="O19" s="53" t="e">
        <f>+'11. Final Load Forecast'!$H$39/'11. Final Load Forecast'!$H$38</f>
        <v>#DIV/0!</v>
      </c>
      <c r="P19" s="81" t="e">
        <f>+'11. Final Load Forecast'!$H$40/'11. Final Load Forecast'!$H$38</f>
        <v>#DIV/0!</v>
      </c>
    </row>
    <row r="20" spans="2:16">
      <c r="B20" s="166">
        <f>'4. Customer Growth'!B22</f>
        <v>2018</v>
      </c>
      <c r="C20" s="53">
        <f>+'11. Final Load Forecast'!$I$15/'11. Final Load Forecast'!$I$14</f>
        <v>7922.0286216166423</v>
      </c>
      <c r="D20" s="53">
        <f>+'11. Final Load Forecast'!$I$16/'11. Final Load Forecast'!$I$14</f>
        <v>0</v>
      </c>
      <c r="E20" s="53">
        <f>+'11. Final Load Forecast'!$I$19/'11. Final Load Forecast'!$I$18</f>
        <v>25607.602160784085</v>
      </c>
      <c r="F20" s="53">
        <f>+'11. Final Load Forecast'!$I$20/'11. Final Load Forecast'!$I$18</f>
        <v>0</v>
      </c>
      <c r="G20" s="53">
        <f>+'11. Final Load Forecast'!$I$23/'11. Final Load Forecast'!$I$22</f>
        <v>824748.20370370371</v>
      </c>
      <c r="H20" s="53">
        <f>+'11. Final Load Forecast'!$I$24/'11. Final Load Forecast'!$I$22</f>
        <v>1988.7740740740742</v>
      </c>
      <c r="I20" s="53">
        <f>+'11. Final Load Forecast'!$I$27/'11. Final Load Forecast'!$I$26</f>
        <v>916.71464435146447</v>
      </c>
      <c r="J20" s="53">
        <f>+'11. Final Load Forecast'!$I$28/'11. Final Load Forecast'!$I$26</f>
        <v>2.5425941422594138</v>
      </c>
      <c r="K20" s="53">
        <f>+'11. Final Load Forecast'!$I$31/'11. Final Load Forecast'!$I$30</f>
        <v>4926.0281690140846</v>
      </c>
      <c r="L20" s="53">
        <f>+'11. Final Load Forecast'!$I$32/'11. Final Load Forecast'!$I$30</f>
        <v>0</v>
      </c>
      <c r="M20" s="53" t="e">
        <f>+'11. Final Load Forecast'!$I$35/'11. Final Load Forecast'!$I$34</f>
        <v>#DIV/0!</v>
      </c>
      <c r="N20" s="53" t="e">
        <f>+'11. Final Load Forecast'!$I$36/'11. Final Load Forecast'!$I$34</f>
        <v>#DIV/0!</v>
      </c>
      <c r="O20" s="53" t="e">
        <f>+'11. Final Load Forecast'!$I$39/'11. Final Load Forecast'!$I$38</f>
        <v>#DIV/0!</v>
      </c>
      <c r="P20" s="81" t="e">
        <f>+'11. Final Load Forecast'!$I$40/'11. Final Load Forecast'!$I$38</f>
        <v>#DIV/0!</v>
      </c>
    </row>
    <row r="21" spans="2:16">
      <c r="B21" s="166">
        <f>'4. Customer Growth'!B23</f>
        <v>2019</v>
      </c>
      <c r="C21" s="53">
        <f>+'11. Final Load Forecast'!$J$15/'11. Final Load Forecast'!$J$14</f>
        <v>7776.0647785200317</v>
      </c>
      <c r="D21" s="53">
        <f>+'11. Final Load Forecast'!$J$16/'11. Final Load Forecast'!$J$14</f>
        <v>0</v>
      </c>
      <c r="E21" s="53">
        <f>+'11. Final Load Forecast'!$J$19/'11. Final Load Forecast'!$J$18</f>
        <v>25489.275370141757</v>
      </c>
      <c r="F21" s="53">
        <f>+'11. Final Load Forecast'!$J$20/'11. Final Load Forecast'!$J$18</f>
        <v>0</v>
      </c>
      <c r="G21" s="53">
        <f>+'11. Final Load Forecast'!$J$23/'11. Final Load Forecast'!$J$22</f>
        <v>972574.64444444445</v>
      </c>
      <c r="H21" s="53">
        <f>+'11. Final Load Forecast'!$J$24/'11. Final Load Forecast'!$J$22</f>
        <v>2143.7844444444445</v>
      </c>
      <c r="I21" s="53">
        <f>+'11. Final Load Forecast'!$J$27/'11. Final Load Forecast'!$J$26</f>
        <v>916.68535564853562</v>
      </c>
      <c r="J21" s="53">
        <f>+'11. Final Load Forecast'!$J$28/'11. Final Load Forecast'!$J$26</f>
        <v>2.5425941422594138</v>
      </c>
      <c r="K21" s="53">
        <f>+'11. Final Load Forecast'!$J$31/'11. Final Load Forecast'!$J$30</f>
        <v>4778.9189189189192</v>
      </c>
      <c r="L21" s="53">
        <f>+'11. Final Load Forecast'!$J$32/'11. Final Load Forecast'!$J$30</f>
        <v>0</v>
      </c>
      <c r="M21" s="53" t="e">
        <f>+'11. Final Load Forecast'!$J$35/'11. Final Load Forecast'!$J$34</f>
        <v>#DIV/0!</v>
      </c>
      <c r="N21" s="53" t="e">
        <f>+'11. Final Load Forecast'!$J$36/'11. Final Load Forecast'!$J$34</f>
        <v>#DIV/0!</v>
      </c>
      <c r="O21" s="53" t="e">
        <f>+'11. Final Load Forecast'!$J$39/'11. Final Load Forecast'!$J$38</f>
        <v>#DIV/0!</v>
      </c>
      <c r="P21" s="81" t="e">
        <f>+'11. Final Load Forecast'!$J$40/'11. Final Load Forecast'!$J$38</f>
        <v>#DIV/0!</v>
      </c>
    </row>
    <row r="22" spans="2:16">
      <c r="B22" s="166">
        <f>'4. Customer Growth'!B24</f>
        <v>2020</v>
      </c>
      <c r="C22" s="53">
        <f>+'11. Final Load Forecast'!$K$15/'11. Final Load Forecast'!$K$14</f>
        <v>8276.348663718336</v>
      </c>
      <c r="D22" s="53">
        <f>+'11. Final Load Forecast'!$K$16/'11. Final Load Forecast'!$K$14</f>
        <v>0</v>
      </c>
      <c r="E22" s="53">
        <f>+'11. Final Load Forecast'!$K$19/'11. Final Load Forecast'!$K$18</f>
        <v>27493.563734618303</v>
      </c>
      <c r="F22" s="53">
        <f>+'11. Final Load Forecast'!$K$20/'11. Final Load Forecast'!$K$18</f>
        <v>0</v>
      </c>
      <c r="G22" s="53">
        <f>+'11. Final Load Forecast'!$K$23/'11. Final Load Forecast'!$K$22</f>
        <v>1042647.9480519481</v>
      </c>
      <c r="H22" s="53">
        <f>+'11. Final Load Forecast'!$K$24/'11. Final Load Forecast'!$K$22</f>
        <v>2383.0864935064938</v>
      </c>
      <c r="I22" s="53">
        <f>+'11. Final Load Forecast'!$K$27/'11. Final Load Forecast'!$K$26</f>
        <v>874.90790546047265</v>
      </c>
      <c r="J22" s="53">
        <f>+'11. Final Load Forecast'!$K$28/'11. Final Load Forecast'!$K$26</f>
        <v>2.4295843520782396</v>
      </c>
      <c r="K22" s="53">
        <f>+'11. Final Load Forecast'!$K$31/'11. Final Load Forecast'!$K$30</f>
        <v>6056.4594594594591</v>
      </c>
      <c r="L22" s="53">
        <f>+'11. Final Load Forecast'!$K$32/'11. Final Load Forecast'!$K$30</f>
        <v>0</v>
      </c>
      <c r="M22" s="53" t="e">
        <f>+'11. Final Load Forecast'!$K$35/'11. Final Load Forecast'!$K$34</f>
        <v>#DIV/0!</v>
      </c>
      <c r="N22" s="53" t="e">
        <f>+'11. Final Load Forecast'!$K$36/'11. Final Load Forecast'!$K$34</f>
        <v>#DIV/0!</v>
      </c>
      <c r="O22" s="53" t="e">
        <f>+'11. Final Load Forecast'!$K$39/'11. Final Load Forecast'!$K$38</f>
        <v>#DIV/0!</v>
      </c>
      <c r="P22" s="81" t="e">
        <f>+'11. Final Load Forecast'!$K$40/'11. Final Load Forecast'!$K$38</f>
        <v>#DIV/0!</v>
      </c>
    </row>
    <row r="23" spans="2:16">
      <c r="B23" s="166">
        <f>'4. Customer Growth'!B25</f>
        <v>2021</v>
      </c>
      <c r="C23" s="53">
        <f>+'11. Final Load Forecast'!$L$15/'11. Final Load Forecast'!$L$14</f>
        <v>8052.7931475627247</v>
      </c>
      <c r="D23" s="53">
        <f>+'11. Final Load Forecast'!$L$16/'11. Final Load Forecast'!$L$14</f>
        <v>0</v>
      </c>
      <c r="E23" s="53">
        <f>+'11. Final Load Forecast'!$L$19/'11. Final Load Forecast'!$L$18</f>
        <v>24532.048299315073</v>
      </c>
      <c r="F23" s="53">
        <f>+'11. Final Load Forecast'!$L$20/'11. Final Load Forecast'!$L$18</f>
        <v>0</v>
      </c>
      <c r="G23" s="53">
        <f>+'11. Final Load Forecast'!$L$23/'11. Final Load Forecast'!$L$22</f>
        <v>996807.20481927716</v>
      </c>
      <c r="H23" s="53">
        <f>+'11. Final Load Forecast'!$L$24/'11. Final Load Forecast'!$L$22</f>
        <v>2409.9440963855418</v>
      </c>
      <c r="I23" s="53">
        <f>+'11. Final Load Forecast'!$L$27/'11. Final Load Forecast'!$L$26</f>
        <v>271.03830480847597</v>
      </c>
      <c r="J23" s="53">
        <f>+'11. Final Load Forecast'!$L$28/'11. Final Load Forecast'!$L$26</f>
        <v>0.77449062754686238</v>
      </c>
      <c r="K23" s="53">
        <f>+'11. Final Load Forecast'!$L$31/'11. Final Load Forecast'!$L$30</f>
        <v>7284.3783783783783</v>
      </c>
      <c r="L23" s="53">
        <f>+'11. Final Load Forecast'!$L$32/'11. Final Load Forecast'!$L$30</f>
        <v>0</v>
      </c>
      <c r="M23" s="53" t="e">
        <f>+'11. Final Load Forecast'!$L$35/'11. Final Load Forecast'!$L$34</f>
        <v>#DIV/0!</v>
      </c>
      <c r="N23" s="53" t="e">
        <f>+'11. Final Load Forecast'!$L$36/'11. Final Load Forecast'!$L$34</f>
        <v>#DIV/0!</v>
      </c>
      <c r="O23" s="53" t="e">
        <f>+'11. Final Load Forecast'!$L$39/'11. Final Load Forecast'!$L$38</f>
        <v>#DIV/0!</v>
      </c>
      <c r="P23" s="81" t="e">
        <f>+'11. Final Load Forecast'!$L$40/'11. Final Load Forecast'!$L$38</f>
        <v>#DIV/0!</v>
      </c>
    </row>
    <row r="24" spans="2:16">
      <c r="B24" s="166">
        <f>'4. Customer Growth'!B26</f>
        <v>2022</v>
      </c>
      <c r="C24" s="53">
        <f>+'11. Final Load Forecast'!$M$15/'11. Final Load Forecast'!$M$14</f>
        <v>7839.7562307247426</v>
      </c>
      <c r="D24" s="53">
        <f>+'11. Final Load Forecast'!$M$16/'11. Final Load Forecast'!$M$14</f>
        <v>0</v>
      </c>
      <c r="E24" s="53">
        <f>+'11. Final Load Forecast'!$M$19/'11. Final Load Forecast'!$M$18</f>
        <v>24822.211398429066</v>
      </c>
      <c r="F24" s="53">
        <f>+'11. Final Load Forecast'!$M$20/'11. Final Load Forecast'!$M$18</f>
        <v>0</v>
      </c>
      <c r="G24" s="53">
        <f>+'11. Final Load Forecast'!$M$23/'11. Final Load Forecast'!$M$22</f>
        <v>1022686.7857142857</v>
      </c>
      <c r="H24" s="53">
        <f>+'11. Final Load Forecast'!$M$24/'11. Final Load Forecast'!$M$22</f>
        <v>2430.7738095238096</v>
      </c>
      <c r="I24" s="53">
        <f>+'11. Final Load Forecast'!$M$27/'11. Final Load Forecast'!$M$26</f>
        <v>324.20885547201334</v>
      </c>
      <c r="J24" s="53">
        <f>+'11. Final Load Forecast'!$M$28/'11. Final Load Forecast'!$M$26</f>
        <v>0.8983291562238932</v>
      </c>
      <c r="K24" s="53">
        <f>+'11. Final Load Forecast'!$M$31/'11. Final Load Forecast'!$M$30</f>
        <v>7154.0270270270266</v>
      </c>
      <c r="L24" s="53">
        <f>+'11. Final Load Forecast'!$M$32/'11. Final Load Forecast'!$M$30</f>
        <v>0</v>
      </c>
      <c r="M24" s="53" t="e">
        <f>+'11. Final Load Forecast'!$M$35/'11. Final Load Forecast'!$M$34</f>
        <v>#DIV/0!</v>
      </c>
      <c r="N24" s="53" t="e">
        <f>+'11. Final Load Forecast'!$M$36/'11. Final Load Forecast'!$M$34</f>
        <v>#DIV/0!</v>
      </c>
      <c r="O24" s="53" t="e">
        <f>+'11. Final Load Forecast'!$M$39/'11. Final Load Forecast'!$M$38</f>
        <v>#DIV/0!</v>
      </c>
      <c r="P24" s="81" t="e">
        <f>+'11. Final Load Forecast'!$M$40/'11. Final Load Forecast'!$M$38</f>
        <v>#DIV/0!</v>
      </c>
    </row>
    <row r="25" spans="2:16">
      <c r="B25" s="147" t="str">
        <f>'4. Customer Growth'!B30</f>
        <v>2023</v>
      </c>
      <c r="C25" s="53">
        <f>+'11. Final Load Forecast'!$N$15/'11. Final Load Forecast'!$N$14</f>
        <v>8006.6473733393977</v>
      </c>
      <c r="D25" s="53">
        <f>+'11. Final Load Forecast'!$N$16/'11. Final Load Forecast'!$N$14</f>
        <v>0</v>
      </c>
      <c r="E25" s="53">
        <f>+'11. Final Load Forecast'!$N$19/'11. Final Load Forecast'!$N$18</f>
        <v>25467.856612271855</v>
      </c>
      <c r="F25" s="53">
        <f>+'11. Final Load Forecast'!$N$20/'11. Final Load Forecast'!$N$18</f>
        <v>0</v>
      </c>
      <c r="G25" s="53">
        <f>+'11. Final Load Forecast'!$N$23/'11. Final Load Forecast'!$N$22</f>
        <v>1047036.472468705</v>
      </c>
      <c r="H25" s="53">
        <f>+'11. Final Load Forecast'!$N$24/'11. Final Load Forecast'!$N$22</f>
        <v>2488.6493796979289</v>
      </c>
      <c r="I25" s="53">
        <f>+'11. Final Load Forecast'!$N$27/'11. Final Load Forecast'!$N$26</f>
        <v>324.20865985952418</v>
      </c>
      <c r="J25" s="53">
        <f>+'11. Final Load Forecast'!$N$28/'11. Final Load Forecast'!$N$26</f>
        <v>0.89832861421401478</v>
      </c>
      <c r="K25" s="53">
        <f>+'11. Final Load Forecast'!$N$31/'11. Final Load Forecast'!$N$30</f>
        <v>7154.0140398230724</v>
      </c>
      <c r="L25" s="53">
        <f>+'11. Final Load Forecast'!$N$32/'11. Final Load Forecast'!$N$30</f>
        <v>0</v>
      </c>
      <c r="M25" s="53" t="e">
        <f>+'11. Final Load Forecast'!$N$35/'11. Final Load Forecast'!$N$34</f>
        <v>#DIV/0!</v>
      </c>
      <c r="N25" s="53" t="e">
        <f>+'11. Final Load Forecast'!$N$36/'11. Final Load Forecast'!$N$34</f>
        <v>#DIV/0!</v>
      </c>
      <c r="O25" s="53" t="e">
        <f>+'11. Final Load Forecast'!$N$39/'11. Final Load Forecast'!$N$38</f>
        <v>#DIV/0!</v>
      </c>
      <c r="P25" s="81" t="e">
        <f>+'11. Final Load Forecast'!$N$40/'11. Final Load Forecast'!$N$38</f>
        <v>#DIV/0!</v>
      </c>
    </row>
    <row r="26" spans="2:16" ht="13.5" thickBot="1">
      <c r="B26" s="167" t="str">
        <f>'4. Customer Growth'!B31</f>
        <v>2024</v>
      </c>
      <c r="C26" s="82">
        <f>+'11. Final Load Forecast'!$O$15/'11. Final Load Forecast'!$O$14</f>
        <v>7978.2117873657735</v>
      </c>
      <c r="D26" s="82">
        <f>+'11. Final Load Forecast'!$O$16/'11. Final Load Forecast'!$O$14</f>
        <v>0</v>
      </c>
      <c r="E26" s="82">
        <f>+'11. Final Load Forecast'!$O$19/'11. Final Load Forecast'!$O$18</f>
        <v>25376.586043534589</v>
      </c>
      <c r="F26" s="82">
        <f>+'11. Final Load Forecast'!$O$20/'11. Final Load Forecast'!$O$18</f>
        <v>0</v>
      </c>
      <c r="G26" s="82">
        <f>+'11. Final Load Forecast'!$O$23/'11. Final Load Forecast'!$O$22</f>
        <v>1047036.4686314077</v>
      </c>
      <c r="H26" s="82">
        <f>+'11. Final Load Forecast'!$O$24/'11. Final Load Forecast'!$O$22</f>
        <v>2488.6493705772455</v>
      </c>
      <c r="I26" s="82">
        <f>+'11. Final Load Forecast'!$O$27/'11. Final Load Forecast'!$O$26</f>
        <v>324.20880757580341</v>
      </c>
      <c r="J26" s="82">
        <f>+'11. Final Load Forecast'!$O$28/'11. Final Load Forecast'!$O$26</f>
        <v>0.8983290235114112</v>
      </c>
      <c r="K26" s="82">
        <f>+'11. Final Load Forecast'!$O$31/'11. Final Load Forecast'!$O$30</f>
        <v>7154.0342920293115</v>
      </c>
      <c r="L26" s="82">
        <f>+'11. Final Load Forecast'!$O$32/'11. Final Load Forecast'!$O$30</f>
        <v>0</v>
      </c>
      <c r="M26" s="82" t="e">
        <f>+'11. Final Load Forecast'!$O$35/'11. Final Load Forecast'!$O$34</f>
        <v>#DIV/0!</v>
      </c>
      <c r="N26" s="82" t="e">
        <f>+'11. Final Load Forecast'!$O$36/'11. Final Load Forecast'!$O$34</f>
        <v>#DIV/0!</v>
      </c>
      <c r="O26" s="82" t="e">
        <f>+'11. Final Load Forecast'!$O$39/'11. Final Load Forecast'!$O$38</f>
        <v>#DIV/0!</v>
      </c>
      <c r="P26" s="83" t="e">
        <f>+'11. Final Load Forecast'!$O$40/'11. Final Load Forecast'!$O$38</f>
        <v>#DIV/0!</v>
      </c>
    </row>
  </sheetData>
  <mergeCells count="7">
    <mergeCell ref="C13:D13"/>
    <mergeCell ref="E13:F13"/>
    <mergeCell ref="O13:P13"/>
    <mergeCell ref="M13:N13"/>
    <mergeCell ref="G13:H13"/>
    <mergeCell ref="K13:L13"/>
    <mergeCell ref="I13:J1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123"/>
  <sheetViews>
    <sheetView showGridLines="0" topLeftCell="A11" workbookViewId="0">
      <selection activeCell="B17" sqref="B17"/>
    </sheetView>
  </sheetViews>
  <sheetFormatPr defaultColWidth="10.5" defaultRowHeight="12.75"/>
  <cols>
    <col min="1" max="1" width="13.6640625" style="1" customWidth="1"/>
    <col min="2" max="2" width="14" style="1" customWidth="1"/>
    <col min="3" max="8" width="13.33203125" style="1" customWidth="1"/>
    <col min="9" max="9" width="11.33203125" style="1" bestFit="1" customWidth="1"/>
    <col min="10" max="10" width="6.6640625" style="1" customWidth="1"/>
    <col min="11" max="11" width="11.33203125" style="1" bestFit="1" customWidth="1"/>
    <col min="12" max="12" width="5.5" style="1" bestFit="1" customWidth="1"/>
    <col min="13" max="13" width="11.33203125" style="1" bestFit="1" customWidth="1"/>
    <col min="14" max="14" width="7.83203125" style="1" customWidth="1"/>
    <col min="15" max="15" width="11.33203125" style="1" bestFit="1" customWidth="1"/>
    <col min="16" max="16" width="5.5" style="1" bestFit="1" customWidth="1"/>
    <col min="17" max="17" width="11.33203125" style="1" bestFit="1" customWidth="1"/>
    <col min="18" max="18" width="5.5" style="1" bestFit="1" customWidth="1"/>
    <col min="19" max="19" width="11.33203125" style="1" bestFit="1" customWidth="1"/>
    <col min="20" max="20" width="8.1640625" style="1" customWidth="1"/>
    <col min="21" max="21" width="11.33203125" style="1" bestFit="1" customWidth="1"/>
    <col min="22" max="22" width="4.5" style="1" bestFit="1" customWidth="1"/>
    <col min="23" max="23" width="11.33203125" style="1" bestFit="1" customWidth="1"/>
    <col min="24" max="24" width="6.5" style="1" bestFit="1" customWidth="1"/>
    <col min="25" max="26" width="11.33203125" style="1" bestFit="1" customWidth="1"/>
    <col min="27" max="28" width="10.5" style="1"/>
    <col min="29" max="30" width="1.83203125" style="1" bestFit="1" customWidth="1"/>
    <col min="31" max="16384" width="10.5" style="1"/>
  </cols>
  <sheetData>
    <row r="1" spans="1:8">
      <c r="A1" s="626" t="s">
        <v>255</v>
      </c>
    </row>
    <row r="11" spans="1:8" ht="23.25">
      <c r="B11" s="114" t="s">
        <v>100</v>
      </c>
    </row>
    <row r="12" spans="1:8" ht="15">
      <c r="B12" s="2"/>
    </row>
    <row r="13" spans="1:8" ht="13.5" thickBot="1">
      <c r="C13" s="23" t="s">
        <v>30</v>
      </c>
      <c r="D13" s="23"/>
      <c r="E13" s="23"/>
      <c r="F13" s="23"/>
    </row>
    <row r="14" spans="1:8" ht="13.5" thickBot="1">
      <c r="B14" s="1092" t="str">
        <f>+'11. Final Load Forecast'!B14</f>
        <v>Residential</v>
      </c>
      <c r="C14" s="1093"/>
      <c r="D14" s="1093"/>
      <c r="E14" s="1093"/>
      <c r="F14" s="1093"/>
      <c r="G14" s="1093"/>
      <c r="H14" s="1094"/>
    </row>
    <row r="15" spans="1:8" ht="13.5" thickBot="1">
      <c r="B15" s="68" t="s">
        <v>33</v>
      </c>
      <c r="C15" s="418" t="s">
        <v>48</v>
      </c>
      <c r="D15" s="419" t="s">
        <v>61</v>
      </c>
      <c r="E15" s="419" t="s">
        <v>36</v>
      </c>
      <c r="F15" s="419" t="s">
        <v>61</v>
      </c>
      <c r="G15" s="419" t="s">
        <v>37</v>
      </c>
      <c r="H15" s="420" t="s">
        <v>61</v>
      </c>
    </row>
    <row r="16" spans="1:8">
      <c r="B16" s="69">
        <v>2003</v>
      </c>
      <c r="C16" s="51">
        <f>'11. Final Load Forecast'!$D$14</f>
        <v>3726</v>
      </c>
      <c r="D16" s="51"/>
      <c r="E16" s="51">
        <f>+'11. Final Load Forecast'!$D$15</f>
        <v>29645290.68282254</v>
      </c>
      <c r="F16" s="51"/>
      <c r="G16" s="51">
        <f>+'11. Final Load Forecast'!$D$16</f>
        <v>0</v>
      </c>
      <c r="H16" s="417"/>
    </row>
    <row r="17" spans="2:30">
      <c r="B17" s="70">
        <v>2004</v>
      </c>
      <c r="C17" s="53">
        <f>'11. Final Load Forecast'!$E$14</f>
        <v>3744</v>
      </c>
      <c r="D17" s="152">
        <f t="shared" ref="D17:D27" si="0">(C17-C16)/C16</f>
        <v>4.830917874396135E-3</v>
      </c>
      <c r="E17" s="53">
        <f>+'11. Final Load Forecast'!$E$15</f>
        <v>29796742.953932717</v>
      </c>
      <c r="F17" s="152">
        <f t="shared" ref="F17:F27" si="1">(E17-E16)/E16</f>
        <v>5.1088138325435101E-3</v>
      </c>
      <c r="G17" s="53">
        <f>+'11. Final Load Forecast'!$E$16</f>
        <v>0</v>
      </c>
      <c r="H17" s="421" t="e">
        <f t="shared" ref="H17:H27" si="2">(G17-G16)/G16</f>
        <v>#DIV/0!</v>
      </c>
    </row>
    <row r="18" spans="2:30">
      <c r="B18" s="70">
        <v>2005</v>
      </c>
      <c r="C18" s="53">
        <f>'11. Final Load Forecast'!$F$14</f>
        <v>3767.5</v>
      </c>
      <c r="D18" s="152">
        <f t="shared" si="0"/>
        <v>6.276709401709402E-3</v>
      </c>
      <c r="E18" s="53">
        <f>+'11. Final Load Forecast'!$F$15</f>
        <v>29339475.458853304</v>
      </c>
      <c r="F18" s="152">
        <f t="shared" si="1"/>
        <v>-1.5346224108667579E-2</v>
      </c>
      <c r="G18" s="53">
        <f>+'11. Final Load Forecast'!$F$16</f>
        <v>0</v>
      </c>
      <c r="H18" s="421" t="e">
        <f t="shared" si="2"/>
        <v>#DIV/0!</v>
      </c>
    </row>
    <row r="19" spans="2:30">
      <c r="B19" s="70">
        <v>2006</v>
      </c>
      <c r="C19" s="53">
        <f>'11. Final Load Forecast'!$G$14</f>
        <v>3779.5</v>
      </c>
      <c r="D19" s="152">
        <f t="shared" si="0"/>
        <v>3.1851360318513604E-3</v>
      </c>
      <c r="E19" s="53">
        <f>+'11. Final Load Forecast'!$G$15</f>
        <v>29165919.661013279</v>
      </c>
      <c r="F19" s="152">
        <f t="shared" si="1"/>
        <v>-5.9154362893578628E-3</v>
      </c>
      <c r="G19" s="53">
        <f>+'11. Final Load Forecast'!$G$16</f>
        <v>0</v>
      </c>
      <c r="H19" s="421" t="e">
        <f t="shared" si="2"/>
        <v>#DIV/0!</v>
      </c>
    </row>
    <row r="20" spans="2:30">
      <c r="B20" s="71">
        <v>2007</v>
      </c>
      <c r="C20" s="53">
        <f>'11. Final Load Forecast'!$H$14</f>
        <v>3797</v>
      </c>
      <c r="D20" s="152">
        <f t="shared" si="0"/>
        <v>4.6302420955152794E-3</v>
      </c>
      <c r="E20" s="53">
        <f>+'11. Final Load Forecast'!$H$15</f>
        <v>28135176.247780975</v>
      </c>
      <c r="F20" s="152">
        <f t="shared" si="1"/>
        <v>-3.5340679300098377E-2</v>
      </c>
      <c r="G20" s="53">
        <f>+'11. Final Load Forecast'!$H$16</f>
        <v>0</v>
      </c>
      <c r="H20" s="421" t="e">
        <f t="shared" si="2"/>
        <v>#DIV/0!</v>
      </c>
    </row>
    <row r="21" spans="2:30">
      <c r="B21" s="71">
        <v>2008</v>
      </c>
      <c r="C21" s="53">
        <f>'11. Final Load Forecast'!$I$14</f>
        <v>3813.5</v>
      </c>
      <c r="D21" s="152">
        <f t="shared" si="0"/>
        <v>4.3455359494337636E-3</v>
      </c>
      <c r="E21" s="53">
        <f>+'11. Final Load Forecast'!$I$15</f>
        <v>30210656.148535065</v>
      </c>
      <c r="F21" s="152">
        <f t="shared" si="1"/>
        <v>7.3768149965571433E-2</v>
      </c>
      <c r="G21" s="53">
        <f>+'11. Final Load Forecast'!$I$16</f>
        <v>0</v>
      </c>
      <c r="H21" s="421" t="e">
        <f t="shared" si="2"/>
        <v>#DIV/0!</v>
      </c>
    </row>
    <row r="22" spans="2:30">
      <c r="B22" s="71">
        <v>2009</v>
      </c>
      <c r="C22" s="53">
        <f>'11. Final Load Forecast'!$J$14</f>
        <v>3824</v>
      </c>
      <c r="D22" s="152">
        <f t="shared" si="0"/>
        <v>2.7533761636292118E-3</v>
      </c>
      <c r="E22" s="53">
        <f>+'11. Final Load Forecast'!$J$15</f>
        <v>29735671.713060603</v>
      </c>
      <c r="F22" s="152">
        <f t="shared" si="1"/>
        <v>-1.5722413744975714E-2</v>
      </c>
      <c r="G22" s="53">
        <f>+'11. Final Load Forecast'!$J$16</f>
        <v>0</v>
      </c>
      <c r="H22" s="421" t="e">
        <f t="shared" si="2"/>
        <v>#DIV/0!</v>
      </c>
    </row>
    <row r="23" spans="2:30">
      <c r="B23" s="71">
        <v>2010</v>
      </c>
      <c r="C23" s="53">
        <f>'11. Final Load Forecast'!$K$14</f>
        <v>3843.5</v>
      </c>
      <c r="D23" s="152">
        <f t="shared" si="0"/>
        <v>5.0993723849372388E-3</v>
      </c>
      <c r="E23" s="53">
        <f>+'11. Final Load Forecast'!$K$15</f>
        <v>31810146.089001425</v>
      </c>
      <c r="F23" s="152">
        <f t="shared" si="1"/>
        <v>6.9763830995943646E-2</v>
      </c>
      <c r="G23" s="53">
        <f>+'11. Final Load Forecast'!$K$16</f>
        <v>0</v>
      </c>
      <c r="H23" s="421" t="e">
        <f t="shared" si="2"/>
        <v>#DIV/0!</v>
      </c>
    </row>
    <row r="24" spans="2:30">
      <c r="B24" s="71">
        <v>2011</v>
      </c>
      <c r="C24" s="53">
        <f>'11. Final Load Forecast'!$L$14</f>
        <v>3860</v>
      </c>
      <c r="D24" s="152">
        <f t="shared" si="0"/>
        <v>4.2929621438792765E-3</v>
      </c>
      <c r="E24" s="53">
        <f>+'11. Final Load Forecast'!$L$15</f>
        <v>31083781.549592119</v>
      </c>
      <c r="F24" s="152">
        <f t="shared" si="1"/>
        <v>-2.2834366663297134E-2</v>
      </c>
      <c r="G24" s="53">
        <f>+'11. Final Load Forecast'!$L$16</f>
        <v>0</v>
      </c>
      <c r="H24" s="421" t="e">
        <f t="shared" si="2"/>
        <v>#DIV/0!</v>
      </c>
    </row>
    <row r="25" spans="2:30">
      <c r="B25" s="71">
        <v>2012</v>
      </c>
      <c r="C25" s="53">
        <f>'11. Final Load Forecast'!$M$14</f>
        <v>3878.5</v>
      </c>
      <c r="D25" s="152">
        <f t="shared" si="0"/>
        <v>4.7927461139896377E-3</v>
      </c>
      <c r="E25" s="53">
        <f>+'11. Final Load Forecast'!$M$15</f>
        <v>30406494.540865913</v>
      </c>
      <c r="F25" s="152">
        <f t="shared" si="1"/>
        <v>-2.1789080187867071E-2</v>
      </c>
      <c r="G25" s="53">
        <f>+'11. Final Load Forecast'!$M$16</f>
        <v>0</v>
      </c>
      <c r="H25" s="421" t="e">
        <f t="shared" si="2"/>
        <v>#DIV/0!</v>
      </c>
    </row>
    <row r="26" spans="2:30">
      <c r="B26" s="72">
        <v>2013</v>
      </c>
      <c r="C26" s="53">
        <f>'11. Final Load Forecast'!$N$14</f>
        <v>3905</v>
      </c>
      <c r="D26" s="153">
        <f t="shared" si="0"/>
        <v>6.8325383524558466E-3</v>
      </c>
      <c r="E26" s="53">
        <f>+'11. Final Load Forecast'!$N$15</f>
        <v>31265957.992890347</v>
      </c>
      <c r="F26" s="153">
        <f t="shared" si="1"/>
        <v>2.826578548439139E-2</v>
      </c>
      <c r="G26" s="53">
        <f>+'11. Final Load Forecast'!$N$16</f>
        <v>0</v>
      </c>
      <c r="H26" s="422" t="e">
        <f t="shared" si="2"/>
        <v>#DIV/0!</v>
      </c>
      <c r="AC26" s="1" t="s">
        <v>30</v>
      </c>
      <c r="AD26" s="1" t="s">
        <v>30</v>
      </c>
    </row>
    <row r="27" spans="2:30" ht="13.5" thickBot="1">
      <c r="B27" s="73">
        <v>2014</v>
      </c>
      <c r="C27" s="82">
        <f>'11. Final Load Forecast'!$O$14</f>
        <v>3922</v>
      </c>
      <c r="D27" s="154">
        <f t="shared" si="0"/>
        <v>4.3533930857874523E-3</v>
      </c>
      <c r="E27" s="82">
        <f>+'11. Final Load Forecast'!$O$15</f>
        <v>31290546.630048562</v>
      </c>
      <c r="F27" s="154">
        <f t="shared" si="1"/>
        <v>7.8643479159686469E-4</v>
      </c>
      <c r="G27" s="82">
        <f>+'11. Final Load Forecast'!$O$16</f>
        <v>0</v>
      </c>
      <c r="H27" s="423" t="e">
        <f t="shared" si="2"/>
        <v>#DIV/0!</v>
      </c>
    </row>
    <row r="29" spans="2:30" ht="13.5" thickBot="1">
      <c r="C29" s="23"/>
      <c r="D29" s="23"/>
      <c r="E29" s="23"/>
      <c r="F29" s="23"/>
    </row>
    <row r="30" spans="2:30" ht="13.5" thickBot="1">
      <c r="B30" s="1092" t="str">
        <f>+'11. Final Load Forecast'!B18</f>
        <v>General Service &lt; 50 kW</v>
      </c>
      <c r="C30" s="1093"/>
      <c r="D30" s="1093"/>
      <c r="E30" s="1093"/>
      <c r="F30" s="1093"/>
      <c r="G30" s="1093"/>
      <c r="H30" s="1094"/>
    </row>
    <row r="31" spans="2:30" ht="13.5" thickBot="1">
      <c r="B31" s="68" t="s">
        <v>33</v>
      </c>
      <c r="C31" s="418" t="s">
        <v>48</v>
      </c>
      <c r="D31" s="419" t="s">
        <v>61</v>
      </c>
      <c r="E31" s="419" t="s">
        <v>36</v>
      </c>
      <c r="F31" s="419" t="s">
        <v>61</v>
      </c>
      <c r="G31" s="419" t="s">
        <v>37</v>
      </c>
      <c r="H31" s="420" t="s">
        <v>61</v>
      </c>
    </row>
    <row r="32" spans="2:30">
      <c r="B32" s="69">
        <v>2003</v>
      </c>
      <c r="C32" s="51">
        <f>'11. Final Load Forecast'!$D$18</f>
        <v>435.5</v>
      </c>
      <c r="D32" s="51"/>
      <c r="E32" s="51">
        <f>+'11. Final Load Forecast'!$D$19</f>
        <v>11212977.246526431</v>
      </c>
      <c r="F32" s="51"/>
      <c r="G32" s="51">
        <f>+'11. Final Load Forecast'!$D$20</f>
        <v>0</v>
      </c>
      <c r="H32" s="417"/>
    </row>
    <row r="33" spans="2:8">
      <c r="B33" s="70">
        <v>2004</v>
      </c>
      <c r="C33" s="53">
        <f>'11. Final Load Forecast'!$E$18</f>
        <v>432.5</v>
      </c>
      <c r="D33" s="152">
        <f t="shared" ref="D33:D43" si="3">(C33-C32)/C32</f>
        <v>-6.8886337543053958E-3</v>
      </c>
      <c r="E33" s="53">
        <f>+'11. Final Load Forecast'!$E$19</f>
        <v>11203782.543961693</v>
      </c>
      <c r="F33" s="152">
        <f t="shared" ref="F33:F43" si="4">(E33-E32)/E32</f>
        <v>-8.2000545997603237E-4</v>
      </c>
      <c r="G33" s="53">
        <f>+'11. Final Load Forecast'!$E$20</f>
        <v>0</v>
      </c>
      <c r="H33" s="421" t="e">
        <f t="shared" ref="H33:H43" si="5">(G33-G32)/G32</f>
        <v>#DIV/0!</v>
      </c>
    </row>
    <row r="34" spans="2:8">
      <c r="B34" s="70">
        <v>2005</v>
      </c>
      <c r="C34" s="53">
        <f>'11. Final Load Forecast'!$F$18</f>
        <v>429.5</v>
      </c>
      <c r="D34" s="152">
        <f t="shared" si="3"/>
        <v>-6.9364161849710983E-3</v>
      </c>
      <c r="E34" s="53">
        <f>+'11. Final Load Forecast'!$F$19</f>
        <v>10751811.298903616</v>
      </c>
      <c r="F34" s="152">
        <f t="shared" si="4"/>
        <v>-4.0340951217557104E-2</v>
      </c>
      <c r="G34" s="53">
        <f>+'11. Final Load Forecast'!$F$20</f>
        <v>0</v>
      </c>
      <c r="H34" s="421" t="e">
        <f t="shared" si="5"/>
        <v>#DIV/0!</v>
      </c>
    </row>
    <row r="35" spans="2:8">
      <c r="B35" s="70">
        <v>2006</v>
      </c>
      <c r="C35" s="53">
        <f>'11. Final Load Forecast'!$G$18</f>
        <v>432.5</v>
      </c>
      <c r="D35" s="152">
        <f t="shared" si="3"/>
        <v>6.9848661233993014E-3</v>
      </c>
      <c r="E35" s="53">
        <f>+'11. Final Load Forecast'!$G$19</f>
        <v>10923989.236844525</v>
      </c>
      <c r="F35" s="152">
        <f t="shared" si="4"/>
        <v>1.6013854145530429E-2</v>
      </c>
      <c r="G35" s="53">
        <f>+'11. Final Load Forecast'!$G$20</f>
        <v>0</v>
      </c>
      <c r="H35" s="421" t="e">
        <f t="shared" si="5"/>
        <v>#DIV/0!</v>
      </c>
    </row>
    <row r="36" spans="2:8">
      <c r="B36" s="71">
        <v>2007</v>
      </c>
      <c r="C36" s="53">
        <f>'11. Final Load Forecast'!$H$18</f>
        <v>436</v>
      </c>
      <c r="D36" s="152">
        <f t="shared" si="3"/>
        <v>8.0924855491329474E-3</v>
      </c>
      <c r="E36" s="53">
        <f>+'11. Final Load Forecast'!$H$19</f>
        <v>10901579.1528008</v>
      </c>
      <c r="F36" s="152">
        <f t="shared" si="4"/>
        <v>-2.0514560713900684E-3</v>
      </c>
      <c r="G36" s="53">
        <f>+'11. Final Load Forecast'!$H$20</f>
        <v>0</v>
      </c>
      <c r="H36" s="421" t="e">
        <f t="shared" si="5"/>
        <v>#DIV/0!</v>
      </c>
    </row>
    <row r="37" spans="2:8">
      <c r="B37" s="71">
        <v>2008</v>
      </c>
      <c r="C37" s="53">
        <f>'11. Final Load Forecast'!$I$18</f>
        <v>439.5</v>
      </c>
      <c r="D37" s="152">
        <f t="shared" si="3"/>
        <v>8.027522935779817E-3</v>
      </c>
      <c r="E37" s="53">
        <f>+'11. Final Load Forecast'!$I$19</f>
        <v>11254541.149664605</v>
      </c>
      <c r="F37" s="152">
        <f t="shared" si="4"/>
        <v>3.2377143890490657E-2</v>
      </c>
      <c r="G37" s="53">
        <f>+'11. Final Load Forecast'!$I$20</f>
        <v>0</v>
      </c>
      <c r="H37" s="421" t="e">
        <f t="shared" si="5"/>
        <v>#DIV/0!</v>
      </c>
    </row>
    <row r="38" spans="2:8">
      <c r="B38" s="71">
        <v>2009</v>
      </c>
      <c r="C38" s="53">
        <f>'11. Final Load Forecast'!$J$18</f>
        <v>451</v>
      </c>
      <c r="D38" s="152">
        <f t="shared" si="3"/>
        <v>2.6166097838452786E-2</v>
      </c>
      <c r="E38" s="53">
        <f>+'11. Final Load Forecast'!$J$19</f>
        <v>11495663.191933932</v>
      </c>
      <c r="F38" s="152">
        <f t="shared" si="4"/>
        <v>2.1424422289887172E-2</v>
      </c>
      <c r="G38" s="53">
        <f>+'11. Final Load Forecast'!$J$20</f>
        <v>0</v>
      </c>
      <c r="H38" s="421" t="e">
        <f t="shared" si="5"/>
        <v>#DIV/0!</v>
      </c>
    </row>
    <row r="39" spans="2:8">
      <c r="B39" s="71">
        <v>2010</v>
      </c>
      <c r="C39" s="53">
        <f>'11. Final Load Forecast'!$K$18</f>
        <v>455.5</v>
      </c>
      <c r="D39" s="152">
        <f t="shared" si="3"/>
        <v>9.9778270509977823E-3</v>
      </c>
      <c r="E39" s="53">
        <f>+'11. Final Load Forecast'!$K$19</f>
        <v>12523318.281118637</v>
      </c>
      <c r="F39" s="152">
        <f t="shared" si="4"/>
        <v>8.9395024195365394E-2</v>
      </c>
      <c r="G39" s="53">
        <f>+'11. Final Load Forecast'!$K$20</f>
        <v>0</v>
      </c>
      <c r="H39" s="421" t="e">
        <f t="shared" si="5"/>
        <v>#DIV/0!</v>
      </c>
    </row>
    <row r="40" spans="2:8">
      <c r="B40" s="71">
        <v>2011</v>
      </c>
      <c r="C40" s="53">
        <f>+'11. Final Load Forecast'!$L$18</f>
        <v>453</v>
      </c>
      <c r="D40" s="152">
        <f t="shared" si="3"/>
        <v>-5.4884742041712408E-3</v>
      </c>
      <c r="E40" s="53">
        <f>+'11. Final Load Forecast'!$L$19</f>
        <v>11113017.879589727</v>
      </c>
      <c r="F40" s="152">
        <f t="shared" si="4"/>
        <v>-0.11261395501344199</v>
      </c>
      <c r="G40" s="53">
        <f>+'11. Final Load Forecast'!$L$20</f>
        <v>0</v>
      </c>
      <c r="H40" s="421" t="e">
        <f t="shared" si="5"/>
        <v>#DIV/0!</v>
      </c>
    </row>
    <row r="41" spans="2:8">
      <c r="B41" s="71">
        <v>2012</v>
      </c>
      <c r="C41" s="53">
        <f>'11. Final Load Forecast'!$M$18</f>
        <v>455</v>
      </c>
      <c r="D41" s="152">
        <f t="shared" si="3"/>
        <v>4.4150110375275938E-3</v>
      </c>
      <c r="E41" s="53">
        <f>+'11. Final Load Forecast'!$M$19</f>
        <v>11294106.186285226</v>
      </c>
      <c r="F41" s="152">
        <f t="shared" si="4"/>
        <v>1.6295151205334334E-2</v>
      </c>
      <c r="G41" s="53">
        <f>+'11. Final Load Forecast'!$M$20</f>
        <v>0</v>
      </c>
      <c r="H41" s="421" t="e">
        <f t="shared" si="5"/>
        <v>#DIV/0!</v>
      </c>
    </row>
    <row r="42" spans="2:8">
      <c r="B42" s="72">
        <v>2013</v>
      </c>
      <c r="C42" s="53">
        <f>'11. Final Load Forecast'!$N$18</f>
        <v>456</v>
      </c>
      <c r="D42" s="153">
        <f t="shared" si="3"/>
        <v>2.1978021978021978E-3</v>
      </c>
      <c r="E42" s="53">
        <f>+'11. Final Load Forecast'!$N$19</f>
        <v>11613342.615195965</v>
      </c>
      <c r="F42" s="153">
        <f t="shared" si="4"/>
        <v>2.8265754159315249E-2</v>
      </c>
      <c r="G42" s="53">
        <f>+'11. Final Load Forecast'!$N$20</f>
        <v>0</v>
      </c>
      <c r="H42" s="422" t="e">
        <f t="shared" si="5"/>
        <v>#DIV/0!</v>
      </c>
    </row>
    <row r="43" spans="2:8" ht="13.5" thickBot="1">
      <c r="B43" s="73">
        <v>2014</v>
      </c>
      <c r="C43" s="82">
        <f>'11. Final Load Forecast'!$O$18</f>
        <v>458</v>
      </c>
      <c r="D43" s="154">
        <f t="shared" si="3"/>
        <v>4.3859649122807015E-3</v>
      </c>
      <c r="E43" s="82">
        <f>+'11. Final Load Forecast'!$O$19</f>
        <v>11622476.407938842</v>
      </c>
      <c r="F43" s="154">
        <f t="shared" si="4"/>
        <v>7.864912838208047E-4</v>
      </c>
      <c r="G43" s="82">
        <f>+'11. Final Load Forecast'!$O$20</f>
        <v>0</v>
      </c>
      <c r="H43" s="423" t="e">
        <f t="shared" si="5"/>
        <v>#DIV/0!</v>
      </c>
    </row>
    <row r="45" spans="2:8" ht="13.5" thickBot="1">
      <c r="C45" s="23"/>
      <c r="D45" s="23"/>
      <c r="E45" s="23"/>
      <c r="F45" s="23"/>
      <c r="G45" s="23"/>
      <c r="H45" s="23"/>
    </row>
    <row r="46" spans="2:8" ht="13.5" thickBot="1">
      <c r="B46" s="1092" t="str">
        <f>+'11. Final Load Forecast'!B22</f>
        <v>General Service &gt; 50 kW - 4999 kW</v>
      </c>
      <c r="C46" s="1093"/>
      <c r="D46" s="1093"/>
      <c r="E46" s="1093"/>
      <c r="F46" s="1093"/>
      <c r="G46" s="1093"/>
      <c r="H46" s="1094"/>
    </row>
    <row r="47" spans="2:8" ht="13.5" thickBot="1">
      <c r="B47" s="68" t="s">
        <v>33</v>
      </c>
      <c r="C47" s="46" t="s">
        <v>48</v>
      </c>
      <c r="D47" s="47" t="s">
        <v>61</v>
      </c>
      <c r="E47" s="47" t="s">
        <v>36</v>
      </c>
      <c r="F47" s="47" t="s">
        <v>61</v>
      </c>
      <c r="G47" s="47" t="s">
        <v>37</v>
      </c>
      <c r="H47" s="49" t="s">
        <v>61</v>
      </c>
    </row>
    <row r="48" spans="2:8">
      <c r="B48" s="69">
        <v>2003</v>
      </c>
      <c r="C48" s="51">
        <f>'11. Final Load Forecast'!$D$22</f>
        <v>59</v>
      </c>
      <c r="D48" s="51"/>
      <c r="E48" s="51">
        <f>+'11. Final Load Forecast'!$D$23</f>
        <v>44119354</v>
      </c>
      <c r="F48" s="51"/>
      <c r="G48" s="51">
        <f>+'11. Final Load Forecast'!$D$24</f>
        <v>115812.49999999999</v>
      </c>
      <c r="H48" s="417"/>
    </row>
    <row r="49" spans="2:8">
      <c r="B49" s="70">
        <v>2004</v>
      </c>
      <c r="C49" s="53">
        <f>'11. Final Load Forecast'!$E$22</f>
        <v>60</v>
      </c>
      <c r="D49" s="152">
        <f t="shared" ref="D49:D59" si="6">(C49-C48)/C48</f>
        <v>1.6949152542372881E-2</v>
      </c>
      <c r="E49" s="53">
        <f>+'11. Final Load Forecast'!$E$23</f>
        <v>43640624</v>
      </c>
      <c r="F49" s="152">
        <f t="shared" ref="F49:F59" si="7">(E49-E48)/E48</f>
        <v>-1.0850793508898612E-2</v>
      </c>
      <c r="G49" s="53">
        <f>+'11. Final Load Forecast'!$E$24</f>
        <v>114180.1</v>
      </c>
      <c r="H49" s="421">
        <f t="shared" ref="H49:H59" si="8">(G49-G48)/G48</f>
        <v>-1.4095196977873543E-2</v>
      </c>
    </row>
    <row r="50" spans="2:8">
      <c r="B50" s="70">
        <v>2005</v>
      </c>
      <c r="C50" s="53">
        <f>'11. Final Load Forecast'!$F$22</f>
        <v>61</v>
      </c>
      <c r="D50" s="152">
        <f t="shared" si="6"/>
        <v>1.6666666666666666E-2</v>
      </c>
      <c r="E50" s="53">
        <f>+'11. Final Load Forecast'!$F$23</f>
        <v>45095566</v>
      </c>
      <c r="F50" s="152">
        <f t="shared" si="7"/>
        <v>3.3339165819443829E-2</v>
      </c>
      <c r="G50" s="53">
        <f>+'11. Final Load Forecast'!$F$24</f>
        <v>113921.99999999999</v>
      </c>
      <c r="H50" s="421">
        <f t="shared" si="8"/>
        <v>-2.2604639512491262E-3</v>
      </c>
    </row>
    <row r="51" spans="2:8">
      <c r="B51" s="70">
        <v>2006</v>
      </c>
      <c r="C51" s="53">
        <f>'11. Final Load Forecast'!$G$22</f>
        <v>61</v>
      </c>
      <c r="D51" s="152">
        <f t="shared" si="6"/>
        <v>0</v>
      </c>
      <c r="E51" s="53">
        <f>+'11. Final Load Forecast'!$G$23</f>
        <v>44950585</v>
      </c>
      <c r="F51" s="152">
        <f t="shared" si="7"/>
        <v>-3.2149723988385021E-3</v>
      </c>
      <c r="G51" s="53">
        <f>+'11. Final Load Forecast'!$G$24</f>
        <v>116347.70000000001</v>
      </c>
      <c r="H51" s="421">
        <f t="shared" si="8"/>
        <v>2.1292638823054603E-2</v>
      </c>
    </row>
    <row r="52" spans="2:8">
      <c r="B52" s="71">
        <v>2007</v>
      </c>
      <c r="C52" s="53">
        <f>'11. Final Load Forecast'!$H$22</f>
        <v>56</v>
      </c>
      <c r="D52" s="152">
        <f t="shared" si="6"/>
        <v>-8.1967213114754092E-2</v>
      </c>
      <c r="E52" s="53">
        <f>+'11. Final Load Forecast'!$H$23</f>
        <v>44820170</v>
      </c>
      <c r="F52" s="152">
        <f t="shared" si="7"/>
        <v>-2.9012970576467469E-3</v>
      </c>
      <c r="G52" s="53">
        <f>+'11. Final Load Forecast'!$H$24</f>
        <v>114292.40000000001</v>
      </c>
      <c r="H52" s="421">
        <f t="shared" si="8"/>
        <v>-1.7665153672999145E-2</v>
      </c>
    </row>
    <row r="53" spans="2:8">
      <c r="B53" s="71">
        <v>2008</v>
      </c>
      <c r="C53" s="53">
        <f>+'11. Final Load Forecast'!$I$22</f>
        <v>54</v>
      </c>
      <c r="D53" s="152">
        <f t="shared" si="6"/>
        <v>-3.5714285714285712E-2</v>
      </c>
      <c r="E53" s="53">
        <f>+'11. Final Load Forecast'!$I$23</f>
        <v>44536403</v>
      </c>
      <c r="F53" s="152">
        <f t="shared" si="7"/>
        <v>-6.3312343527478811E-3</v>
      </c>
      <c r="G53" s="53">
        <f>+'11. Final Load Forecast'!$I$24</f>
        <v>107393.8</v>
      </c>
      <c r="H53" s="421">
        <f t="shared" si="8"/>
        <v>-6.0359218985689383E-2</v>
      </c>
    </row>
    <row r="54" spans="2:8">
      <c r="B54" s="71">
        <v>2009</v>
      </c>
      <c r="C54" s="53">
        <f>'11. Final Load Forecast'!$J$22</f>
        <v>45</v>
      </c>
      <c r="D54" s="152">
        <f t="shared" si="6"/>
        <v>-0.16666666666666666</v>
      </c>
      <c r="E54" s="53">
        <f>+'11. Final Load Forecast'!$J$23</f>
        <v>43765859</v>
      </c>
      <c r="F54" s="152">
        <f t="shared" si="7"/>
        <v>-1.7301442148347723E-2</v>
      </c>
      <c r="G54" s="53">
        <f>+'11. Final Load Forecast'!$J$24</f>
        <v>96470.3</v>
      </c>
      <c r="H54" s="421">
        <f t="shared" si="8"/>
        <v>-0.10171443789120042</v>
      </c>
    </row>
    <row r="55" spans="2:8">
      <c r="B55" s="71">
        <v>2010</v>
      </c>
      <c r="C55" s="53">
        <f>'11. Final Load Forecast'!$K$22</f>
        <v>38.5</v>
      </c>
      <c r="D55" s="152">
        <f t="shared" si="6"/>
        <v>-0.14444444444444443</v>
      </c>
      <c r="E55" s="53">
        <f>+'11. Final Load Forecast'!$K$23</f>
        <v>40141946</v>
      </c>
      <c r="F55" s="152">
        <f t="shared" si="7"/>
        <v>-8.2802282025356791E-2</v>
      </c>
      <c r="G55" s="53">
        <f>+'11. Final Load Forecast'!$K$24</f>
        <v>91748.83</v>
      </c>
      <c r="H55" s="421">
        <f t="shared" si="8"/>
        <v>-4.8942213302954389E-2</v>
      </c>
    </row>
    <row r="56" spans="2:8">
      <c r="B56" s="71">
        <v>2011</v>
      </c>
      <c r="C56" s="53">
        <f>'11. Final Load Forecast'!$L$22</f>
        <v>41.5</v>
      </c>
      <c r="D56" s="152">
        <f t="shared" si="6"/>
        <v>7.792207792207792E-2</v>
      </c>
      <c r="E56" s="53">
        <f>+'11. Final Load Forecast'!$L$23</f>
        <v>41367499</v>
      </c>
      <c r="F56" s="152">
        <f t="shared" si="7"/>
        <v>3.0530483001496737E-2</v>
      </c>
      <c r="G56" s="53">
        <f>+'11. Final Load Forecast'!$L$24</f>
        <v>100012.68</v>
      </c>
      <c r="H56" s="421">
        <f t="shared" si="8"/>
        <v>9.0070358390401173E-2</v>
      </c>
    </row>
    <row r="57" spans="2:8">
      <c r="B57" s="71">
        <v>2012</v>
      </c>
      <c r="C57" s="53">
        <f>'11. Final Load Forecast'!$M$22</f>
        <v>42</v>
      </c>
      <c r="D57" s="152">
        <f t="shared" si="6"/>
        <v>1.2048192771084338E-2</v>
      </c>
      <c r="E57" s="53">
        <f>+'11. Final Load Forecast'!$M$23</f>
        <v>42952845</v>
      </c>
      <c r="F57" s="152">
        <f t="shared" si="7"/>
        <v>3.8323467415808728E-2</v>
      </c>
      <c r="G57" s="53">
        <f>+'11. Final Load Forecast'!$M$24</f>
        <v>102092.5</v>
      </c>
      <c r="H57" s="421">
        <f t="shared" si="8"/>
        <v>2.0795563122596127E-2</v>
      </c>
    </row>
    <row r="58" spans="2:8">
      <c r="B58" s="72">
        <v>2013</v>
      </c>
      <c r="C58" s="53">
        <f>'11. Final Load Forecast'!$N$22</f>
        <v>42</v>
      </c>
      <c r="D58" s="153">
        <f t="shared" si="6"/>
        <v>0</v>
      </c>
      <c r="E58" s="53">
        <f>+'11. Final Load Forecast'!$N$23</f>
        <v>43975531.843685612</v>
      </c>
      <c r="F58" s="153">
        <f t="shared" si="7"/>
        <v>2.3809525159174255E-2</v>
      </c>
      <c r="G58" s="53">
        <f>+'11. Final Load Forecast'!$N$24</f>
        <v>104523.27394731301</v>
      </c>
      <c r="H58" s="422">
        <f t="shared" si="8"/>
        <v>2.3809525159174335E-2</v>
      </c>
    </row>
    <row r="59" spans="2:8" ht="13.5" thickBot="1">
      <c r="B59" s="73">
        <v>2014</v>
      </c>
      <c r="C59" s="82">
        <f>'11. Final Load Forecast'!$O$22</f>
        <v>42</v>
      </c>
      <c r="D59" s="154">
        <f t="shared" si="6"/>
        <v>0</v>
      </c>
      <c r="E59" s="82">
        <f>+'11. Final Load Forecast'!$O$23</f>
        <v>43975531.682519123</v>
      </c>
      <c r="F59" s="154">
        <f t="shared" si="7"/>
        <v>-3.6649127905303499E-9</v>
      </c>
      <c r="G59" s="82">
        <f>+'11. Final Load Forecast'!$O$24</f>
        <v>104523.27356424431</v>
      </c>
      <c r="H59" s="423">
        <f t="shared" si="8"/>
        <v>-3.6649128614253528E-9</v>
      </c>
    </row>
    <row r="61" spans="2:8" ht="13.5" thickBot="1">
      <c r="C61" s="23" t="s">
        <v>30</v>
      </c>
      <c r="D61" s="23"/>
      <c r="E61" s="23"/>
      <c r="F61" s="23"/>
      <c r="G61" s="23"/>
      <c r="H61" s="23"/>
    </row>
    <row r="62" spans="2:8" ht="13.5" thickBot="1">
      <c r="B62" s="1092" t="str">
        <f>+'11. Final Load Forecast'!B26</f>
        <v>Streetlighting</v>
      </c>
      <c r="C62" s="1093"/>
      <c r="D62" s="1093"/>
      <c r="E62" s="1093"/>
      <c r="F62" s="1093"/>
      <c r="G62" s="1093"/>
      <c r="H62" s="1094"/>
    </row>
    <row r="63" spans="2:8" ht="13.5" thickBot="1">
      <c r="B63" s="155" t="s">
        <v>33</v>
      </c>
      <c r="C63" s="46" t="s">
        <v>48</v>
      </c>
      <c r="D63" s="47" t="s">
        <v>61</v>
      </c>
      <c r="E63" s="47" t="s">
        <v>36</v>
      </c>
      <c r="F63" s="47" t="s">
        <v>61</v>
      </c>
      <c r="G63" s="47" t="s">
        <v>37</v>
      </c>
      <c r="H63" s="49"/>
    </row>
    <row r="64" spans="2:8">
      <c r="B64" s="69">
        <v>2003</v>
      </c>
      <c r="C64" s="51">
        <f>'11. Final Load Forecast'!$D$26</f>
        <v>1190</v>
      </c>
      <c r="D64" s="51"/>
      <c r="E64" s="51">
        <f>+'11. Final Load Forecast'!$D$27</f>
        <v>1118710</v>
      </c>
      <c r="F64" s="51"/>
      <c r="G64" s="51">
        <f>+'11. Final Load Forecast'!$D$28</f>
        <v>3104.3999999999992</v>
      </c>
      <c r="H64" s="417"/>
    </row>
    <row r="65" spans="2:8">
      <c r="B65" s="70">
        <v>2004</v>
      </c>
      <c r="C65" s="53">
        <f>'11. Final Load Forecast'!$E$26</f>
        <v>1190</v>
      </c>
      <c r="D65" s="152">
        <f t="shared" ref="D65:D75" si="9">(C65-C64)/C64</f>
        <v>0</v>
      </c>
      <c r="E65" s="53">
        <f>+'11. Final Load Forecast'!$E$27</f>
        <v>1121519</v>
      </c>
      <c r="F65" s="152">
        <f t="shared" ref="F65:F75" si="10">(E65-E64)/E64</f>
        <v>2.5109277650150622E-3</v>
      </c>
      <c r="G65" s="53">
        <f>+'11. Final Load Forecast'!$E$28</f>
        <v>3109.900000000001</v>
      </c>
      <c r="H65" s="421">
        <f t="shared" ref="H65:H75" si="11">(G65-G64)/G64</f>
        <v>1.7716789073578857E-3</v>
      </c>
    </row>
    <row r="66" spans="2:8">
      <c r="B66" s="70">
        <v>2005</v>
      </c>
      <c r="C66" s="53">
        <f>'11. Final Load Forecast'!$F$26</f>
        <v>1190</v>
      </c>
      <c r="D66" s="152">
        <f t="shared" si="9"/>
        <v>0</v>
      </c>
      <c r="E66" s="53">
        <f>+'11. Final Load Forecast'!$F$27</f>
        <v>1123682</v>
      </c>
      <c r="F66" s="152">
        <f t="shared" si="10"/>
        <v>1.928634289744534E-3</v>
      </c>
      <c r="G66" s="53">
        <f>+'11. Final Load Forecast'!$F$28</f>
        <v>3117.6000000000008</v>
      </c>
      <c r="H66" s="421">
        <f t="shared" si="11"/>
        <v>2.4759638573586982E-3</v>
      </c>
    </row>
    <row r="67" spans="2:8">
      <c r="B67" s="70">
        <v>2006</v>
      </c>
      <c r="C67" s="53">
        <f>'11. Final Load Forecast'!$G$26</f>
        <v>1197</v>
      </c>
      <c r="D67" s="152">
        <f t="shared" si="9"/>
        <v>5.8823529411764705E-3</v>
      </c>
      <c r="E67" s="53">
        <f>+'11. Final Load Forecast'!$G$27</f>
        <v>1127383</v>
      </c>
      <c r="F67" s="152">
        <f t="shared" si="10"/>
        <v>3.2936364558656273E-3</v>
      </c>
      <c r="G67" s="53">
        <f>+'11. Final Load Forecast'!$G$28</f>
        <v>3137.3000000000006</v>
      </c>
      <c r="H67" s="421">
        <f t="shared" si="11"/>
        <v>6.3189633051064318E-3</v>
      </c>
    </row>
    <row r="68" spans="2:8">
      <c r="B68" s="71">
        <v>2007</v>
      </c>
      <c r="C68" s="53">
        <f>+'11. Final Load Forecast'!$H$26</f>
        <v>1193</v>
      </c>
      <c r="D68" s="152">
        <f t="shared" si="9"/>
        <v>-3.3416875522138678E-3</v>
      </c>
      <c r="E68" s="53">
        <f>+'11. Final Load Forecast'!$H$27</f>
        <v>1123681</v>
      </c>
      <c r="F68" s="152">
        <f t="shared" si="10"/>
        <v>-3.2837110369767861E-3</v>
      </c>
      <c r="G68" s="53">
        <f>+'11. Final Load Forecast'!$H$28</f>
        <v>3117.6000000000008</v>
      </c>
      <c r="H68" s="421">
        <f t="shared" si="11"/>
        <v>-6.2792847352818714E-3</v>
      </c>
    </row>
    <row r="69" spans="2:8">
      <c r="B69" s="71">
        <v>2008</v>
      </c>
      <c r="C69" s="53">
        <f>+'11. Final Load Forecast'!$I$26</f>
        <v>1195</v>
      </c>
      <c r="D69" s="152">
        <f t="shared" si="9"/>
        <v>1.6764459346186086E-3</v>
      </c>
      <c r="E69" s="53">
        <f>+'11. Final Load Forecast'!$I$26</f>
        <v>1195</v>
      </c>
      <c r="F69" s="152">
        <f t="shared" si="10"/>
        <v>-0.9989365309193623</v>
      </c>
      <c r="G69" s="53">
        <f>+'11. Final Load Forecast'!$I$28</f>
        <v>3038.3999999999996</v>
      </c>
      <c r="H69" s="421">
        <f t="shared" si="11"/>
        <v>-2.5404157043880281E-2</v>
      </c>
    </row>
    <row r="70" spans="2:8">
      <c r="B70" s="71">
        <v>2009</v>
      </c>
      <c r="C70" s="53">
        <f>'11. Final Load Forecast'!$J$26</f>
        <v>1195</v>
      </c>
      <c r="D70" s="152">
        <f t="shared" si="9"/>
        <v>0</v>
      </c>
      <c r="E70" s="53">
        <f>+'11. Final Load Forecast'!$J$27</f>
        <v>1095439</v>
      </c>
      <c r="F70" s="152">
        <f t="shared" si="10"/>
        <v>915.68535564853562</v>
      </c>
      <c r="G70" s="53">
        <f>+'11. Final Load Forecast'!$J$28</f>
        <v>3038.3999999999996</v>
      </c>
      <c r="H70" s="421">
        <f t="shared" si="11"/>
        <v>0</v>
      </c>
    </row>
    <row r="71" spans="2:8">
      <c r="B71" s="71">
        <v>2010</v>
      </c>
      <c r="C71" s="53">
        <f>'11. Final Load Forecast'!$K$26</f>
        <v>1227</v>
      </c>
      <c r="D71" s="152">
        <f t="shared" si="9"/>
        <v>2.6778242677824266E-2</v>
      </c>
      <c r="E71" s="53">
        <f>+'11. Final Load Forecast'!$K$27</f>
        <v>1073512</v>
      </c>
      <c r="F71" s="152">
        <f t="shared" si="10"/>
        <v>-2.001663260117633E-2</v>
      </c>
      <c r="G71" s="53">
        <f>+'11. Final Load Forecast'!$K$28</f>
        <v>2981.1</v>
      </c>
      <c r="H71" s="421">
        <f t="shared" si="11"/>
        <v>-1.8858609794628663E-2</v>
      </c>
    </row>
    <row r="72" spans="2:8">
      <c r="B72" s="71">
        <v>2011</v>
      </c>
      <c r="C72" s="53">
        <f>'11. Final Load Forecast'!$L$26</f>
        <v>1227</v>
      </c>
      <c r="D72" s="152">
        <f t="shared" si="9"/>
        <v>0</v>
      </c>
      <c r="E72" s="53">
        <f>+'11. Final Load Forecast'!$L$27</f>
        <v>332564</v>
      </c>
      <c r="F72" s="152">
        <f t="shared" si="10"/>
        <v>-0.69020933161436482</v>
      </c>
      <c r="G72" s="53">
        <f>+'11. Final Load Forecast'!$L$28</f>
        <v>950.30000000000018</v>
      </c>
      <c r="H72" s="421">
        <f t="shared" si="11"/>
        <v>-0.6812250511556136</v>
      </c>
    </row>
    <row r="73" spans="2:8">
      <c r="B73" s="71">
        <v>2012</v>
      </c>
      <c r="C73" s="53">
        <f>'11. Final Load Forecast'!$M$26</f>
        <v>1197</v>
      </c>
      <c r="D73" s="152">
        <f t="shared" si="9"/>
        <v>-2.4449877750611249E-2</v>
      </c>
      <c r="E73" s="53">
        <f>+'11. Final Load Forecast'!$M$27</f>
        <v>388078</v>
      </c>
      <c r="F73" s="152">
        <f t="shared" si="10"/>
        <v>0.16692726813485526</v>
      </c>
      <c r="G73" s="53">
        <f>+'11. Final Load Forecast'!$M$28</f>
        <v>1075.3000000000002</v>
      </c>
      <c r="H73" s="421">
        <f t="shared" si="11"/>
        <v>0.13153740923918761</v>
      </c>
    </row>
    <row r="74" spans="2:8">
      <c r="B74" s="72">
        <v>2013</v>
      </c>
      <c r="C74" s="53">
        <f>'11. Final Load Forecast'!$N$26</f>
        <v>1197</v>
      </c>
      <c r="D74" s="153">
        <f t="shared" si="9"/>
        <v>0</v>
      </c>
      <c r="E74" s="53">
        <f>+'11. Final Load Forecast'!$N$27</f>
        <v>388077.76585185045</v>
      </c>
      <c r="F74" s="153">
        <f t="shared" si="10"/>
        <v>-6.033533195729228E-7</v>
      </c>
      <c r="G74" s="53">
        <f>+'11. Final Load Forecast'!$N$28</f>
        <v>1075.2993512141757</v>
      </c>
      <c r="H74" s="422">
        <f t="shared" si="11"/>
        <v>-6.0335331956073325E-7</v>
      </c>
    </row>
    <row r="75" spans="2:8" ht="13.5" thickBot="1">
      <c r="B75" s="73">
        <v>2014</v>
      </c>
      <c r="C75" s="82">
        <f>'11. Final Load Forecast'!$O$26</f>
        <v>1197</v>
      </c>
      <c r="D75" s="154">
        <f t="shared" si="9"/>
        <v>0</v>
      </c>
      <c r="E75" s="82">
        <f>+'11. Final Load Forecast'!$O$27</f>
        <v>388077.94266823668</v>
      </c>
      <c r="F75" s="154">
        <f t="shared" si="10"/>
        <v>4.5562101668146843E-7</v>
      </c>
      <c r="G75" s="82">
        <f>+'11. Final Load Forecast'!$O$28</f>
        <v>1075.2998411431593</v>
      </c>
      <c r="H75" s="423">
        <f t="shared" si="11"/>
        <v>4.5562101664467771E-7</v>
      </c>
    </row>
    <row r="77" spans="2:8" ht="13.5" thickBot="1">
      <c r="C77" s="23"/>
      <c r="D77" s="23"/>
      <c r="E77" s="23"/>
    </row>
    <row r="78" spans="2:8" ht="13.5" thickBot="1">
      <c r="B78" s="1092" t="str">
        <f>+'11. Final Load Forecast'!B30</f>
        <v>Unmetered Scattered Load</v>
      </c>
      <c r="C78" s="1093"/>
      <c r="D78" s="1093"/>
      <c r="E78" s="1093"/>
      <c r="F78" s="1093"/>
      <c r="G78" s="1093"/>
      <c r="H78" s="1094"/>
    </row>
    <row r="79" spans="2:8" ht="13.5" thickBot="1">
      <c r="B79" s="68" t="s">
        <v>33</v>
      </c>
      <c r="C79" s="46" t="s">
        <v>48</v>
      </c>
      <c r="D79" s="47" t="s">
        <v>61</v>
      </c>
      <c r="E79" s="47" t="s">
        <v>36</v>
      </c>
      <c r="F79" s="47" t="s">
        <v>61</v>
      </c>
      <c r="G79" s="47" t="s">
        <v>37</v>
      </c>
      <c r="H79" s="49" t="s">
        <v>61</v>
      </c>
    </row>
    <row r="80" spans="2:8">
      <c r="B80" s="69">
        <v>2003</v>
      </c>
      <c r="C80" s="51">
        <f>'11. Final Load Forecast'!$D$30</f>
        <v>33.5</v>
      </c>
      <c r="D80" s="51"/>
      <c r="E80" s="51">
        <f>+'11. Final Load Forecast'!$D$31</f>
        <v>155619</v>
      </c>
      <c r="F80" s="51"/>
      <c r="G80" s="51">
        <f>+'11. Final Load Forecast'!$D$32</f>
        <v>0</v>
      </c>
      <c r="H80" s="417"/>
    </row>
    <row r="81" spans="2:8">
      <c r="B81" s="70">
        <v>2004</v>
      </c>
      <c r="C81" s="53">
        <f>'11. Final Load Forecast'!$E$30</f>
        <v>33</v>
      </c>
      <c r="D81" s="152">
        <f t="shared" ref="D81:D91" si="12">(C81-C80)/C80</f>
        <v>-1.4925373134328358E-2</v>
      </c>
      <c r="E81" s="53">
        <f>+'11. Final Load Forecast'!$E$31</f>
        <v>155019</v>
      </c>
      <c r="F81" s="152">
        <f t="shared" ref="F81:F91" si="13">(E81-E80)/E80</f>
        <v>-3.8555703352418408E-3</v>
      </c>
      <c r="G81" s="53">
        <f>+'11. Final Load Forecast'!$E$32</f>
        <v>0</v>
      </c>
      <c r="H81" s="421" t="e">
        <f t="shared" ref="H81:H91" si="14">(G81-G80)/G80</f>
        <v>#DIV/0!</v>
      </c>
    </row>
    <row r="82" spans="2:8">
      <c r="B82" s="70">
        <v>2005</v>
      </c>
      <c r="C82" s="53">
        <f>'11. Final Load Forecast'!$F$30</f>
        <v>33</v>
      </c>
      <c r="D82" s="152">
        <f t="shared" si="12"/>
        <v>0</v>
      </c>
      <c r="E82" s="53">
        <f>+'11. Final Load Forecast'!$F$31</f>
        <v>155364</v>
      </c>
      <c r="F82" s="152">
        <f t="shared" si="13"/>
        <v>2.2255336442629611E-3</v>
      </c>
      <c r="G82" s="53">
        <f>+'11. Final Load Forecast'!$F$32</f>
        <v>0</v>
      </c>
      <c r="H82" s="421" t="e">
        <f t="shared" si="14"/>
        <v>#DIV/0!</v>
      </c>
    </row>
    <row r="83" spans="2:8">
      <c r="B83" s="70">
        <v>2006</v>
      </c>
      <c r="C83" s="53">
        <f>'11. Final Load Forecast'!$G$30</f>
        <v>33.5</v>
      </c>
      <c r="D83" s="152">
        <f t="shared" si="12"/>
        <v>1.5151515151515152E-2</v>
      </c>
      <c r="E83" s="53">
        <f>+'11. Final Load Forecast'!$G$31</f>
        <v>157514</v>
      </c>
      <c r="F83" s="152">
        <f t="shared" si="13"/>
        <v>1.3838469658350712E-2</v>
      </c>
      <c r="G83" s="53">
        <f>+'11. Final Load Forecast'!$G$32</f>
        <v>0</v>
      </c>
      <c r="H83" s="421" t="e">
        <f t="shared" si="14"/>
        <v>#DIV/0!</v>
      </c>
    </row>
    <row r="84" spans="2:8">
      <c r="B84" s="71">
        <v>2007</v>
      </c>
      <c r="C84" s="53">
        <f>'11. Final Load Forecast'!$H$30</f>
        <v>34</v>
      </c>
      <c r="D84" s="152">
        <f t="shared" si="12"/>
        <v>1.4925373134328358E-2</v>
      </c>
      <c r="E84" s="53">
        <f>+'11. Final Load Forecast'!$H$31</f>
        <v>161875</v>
      </c>
      <c r="F84" s="152">
        <f t="shared" si="13"/>
        <v>2.768642787307795E-2</v>
      </c>
      <c r="G84" s="53">
        <f>+'11. Final Load Forecast'!$H$32</f>
        <v>0</v>
      </c>
      <c r="H84" s="421" t="e">
        <f t="shared" si="14"/>
        <v>#DIV/0!</v>
      </c>
    </row>
    <row r="85" spans="2:8">
      <c r="B85" s="71">
        <v>2008</v>
      </c>
      <c r="C85" s="53">
        <f>'11. Final Load Forecast'!$I$30</f>
        <v>35.5</v>
      </c>
      <c r="D85" s="152">
        <f t="shared" si="12"/>
        <v>4.4117647058823532E-2</v>
      </c>
      <c r="E85" s="53">
        <f>+'11. Final Load Forecast'!$I$31</f>
        <v>174874</v>
      </c>
      <c r="F85" s="152">
        <f t="shared" si="13"/>
        <v>8.0302702702702705E-2</v>
      </c>
      <c r="G85" s="53">
        <f>+'11. Final Load Forecast'!$I$32</f>
        <v>0</v>
      </c>
      <c r="H85" s="421" t="e">
        <f t="shared" si="14"/>
        <v>#DIV/0!</v>
      </c>
    </row>
    <row r="86" spans="2:8">
      <c r="B86" s="71">
        <v>2009</v>
      </c>
      <c r="C86" s="53">
        <f>'11. Final Load Forecast'!$J$30</f>
        <v>37</v>
      </c>
      <c r="D86" s="152">
        <f t="shared" si="12"/>
        <v>4.2253521126760563E-2</v>
      </c>
      <c r="E86" s="53">
        <f>+'11. Final Load Forecast'!$J$31</f>
        <v>176820</v>
      </c>
      <c r="F86" s="152">
        <f t="shared" si="13"/>
        <v>1.1128012168761508E-2</v>
      </c>
      <c r="G86" s="53">
        <f>+'11. Final Load Forecast'!$J$32</f>
        <v>0</v>
      </c>
      <c r="H86" s="421" t="e">
        <f t="shared" si="14"/>
        <v>#DIV/0!</v>
      </c>
    </row>
    <row r="87" spans="2:8">
      <c r="B87" s="71">
        <v>2010</v>
      </c>
      <c r="C87" s="53">
        <f>'11. Final Load Forecast'!$K$30</f>
        <v>37</v>
      </c>
      <c r="D87" s="152">
        <f t="shared" si="12"/>
        <v>0</v>
      </c>
      <c r="E87" s="53">
        <f>+'11. Final Load Forecast'!$K$31</f>
        <v>224089</v>
      </c>
      <c r="F87" s="152">
        <f t="shared" si="13"/>
        <v>0.26732835652075559</v>
      </c>
      <c r="G87" s="53">
        <f>+'11. Final Load Forecast'!$K$32</f>
        <v>0</v>
      </c>
      <c r="H87" s="421" t="e">
        <f t="shared" si="14"/>
        <v>#DIV/0!</v>
      </c>
    </row>
    <row r="88" spans="2:8">
      <c r="B88" s="71">
        <v>2011</v>
      </c>
      <c r="C88" s="53">
        <f>'11. Final Load Forecast'!$L$30</f>
        <v>37</v>
      </c>
      <c r="D88" s="152">
        <f t="shared" si="12"/>
        <v>0</v>
      </c>
      <c r="E88" s="53">
        <f>+'11. Final Load Forecast'!$L$31</f>
        <v>269522</v>
      </c>
      <c r="F88" s="152">
        <f t="shared" si="13"/>
        <v>0.20274533778989598</v>
      </c>
      <c r="G88" s="53">
        <f>+'11. Final Load Forecast'!$L$32</f>
        <v>0</v>
      </c>
      <c r="H88" s="421" t="e">
        <f t="shared" si="14"/>
        <v>#DIV/0!</v>
      </c>
    </row>
    <row r="89" spans="2:8">
      <c r="B89" s="71">
        <v>2012</v>
      </c>
      <c r="C89" s="53">
        <f>'11. Final Load Forecast'!$M$30</f>
        <v>37</v>
      </c>
      <c r="D89" s="152">
        <f t="shared" si="12"/>
        <v>0</v>
      </c>
      <c r="E89" s="53">
        <f>+'11. Final Load Forecast'!$M$31</f>
        <v>264699</v>
      </c>
      <c r="F89" s="152">
        <f t="shared" si="13"/>
        <v>-1.7894643108911333E-2</v>
      </c>
      <c r="G89" s="53">
        <f>+'11. Final Load Forecast'!$M$32</f>
        <v>0</v>
      </c>
      <c r="H89" s="421" t="e">
        <f t="shared" si="14"/>
        <v>#DIV/0!</v>
      </c>
    </row>
    <row r="90" spans="2:8">
      <c r="B90" s="72">
        <v>2013</v>
      </c>
      <c r="C90" s="53">
        <f>'11. Final Load Forecast'!$N$30</f>
        <v>37</v>
      </c>
      <c r="D90" s="153">
        <f t="shared" si="12"/>
        <v>0</v>
      </c>
      <c r="E90" s="53">
        <f>+'11. Final Load Forecast'!$N$31</f>
        <v>264698.51947345369</v>
      </c>
      <c r="F90" s="153">
        <f t="shared" si="13"/>
        <v>-1.8153697078847059E-6</v>
      </c>
      <c r="G90" s="53">
        <f>+'11. Final Load Forecast'!$N$32</f>
        <v>0</v>
      </c>
      <c r="H90" s="422" t="e">
        <f t="shared" si="14"/>
        <v>#DIV/0!</v>
      </c>
    </row>
    <row r="91" spans="2:8" ht="13.5" thickBot="1">
      <c r="B91" s="73">
        <v>2014</v>
      </c>
      <c r="C91" s="82">
        <f>'11. Final Load Forecast'!$O$30</f>
        <v>37</v>
      </c>
      <c r="D91" s="154">
        <f t="shared" si="12"/>
        <v>0</v>
      </c>
      <c r="E91" s="82">
        <f>+'11. Final Load Forecast'!$O$31</f>
        <v>264699.26880508452</v>
      </c>
      <c r="F91" s="154">
        <f t="shared" si="13"/>
        <v>2.8308871251535239E-6</v>
      </c>
      <c r="G91" s="82">
        <f>+'11. Final Load Forecast'!$O$32</f>
        <v>0</v>
      </c>
      <c r="H91" s="423" t="e">
        <f t="shared" si="14"/>
        <v>#DIV/0!</v>
      </c>
    </row>
    <row r="93" spans="2:8" ht="13.5" thickBot="1"/>
    <row r="94" spans="2:8" ht="13.5" thickBot="1">
      <c r="B94" s="1092">
        <f>+'11. Final Load Forecast'!B34</f>
        <v>0</v>
      </c>
      <c r="C94" s="1093"/>
      <c r="D94" s="1093"/>
      <c r="E94" s="1093"/>
      <c r="F94" s="1093"/>
      <c r="G94" s="1093"/>
      <c r="H94" s="1094"/>
    </row>
    <row r="95" spans="2:8" ht="13.5" thickBot="1">
      <c r="B95" s="68" t="s">
        <v>33</v>
      </c>
      <c r="C95" s="46" t="s">
        <v>48</v>
      </c>
      <c r="D95" s="47" t="s">
        <v>61</v>
      </c>
      <c r="E95" s="47" t="s">
        <v>36</v>
      </c>
      <c r="F95" s="47" t="s">
        <v>61</v>
      </c>
      <c r="G95" s="47" t="s">
        <v>37</v>
      </c>
      <c r="H95" s="49" t="s">
        <v>61</v>
      </c>
    </row>
    <row r="96" spans="2:8">
      <c r="B96" s="69">
        <v>2003</v>
      </c>
      <c r="C96" s="51">
        <f>'11. Final Load Forecast'!$D$34</f>
        <v>0</v>
      </c>
      <c r="D96" s="51"/>
      <c r="E96" s="51">
        <f>+'11. Final Load Forecast'!$D$35</f>
        <v>0</v>
      </c>
      <c r="F96" s="51"/>
      <c r="G96" s="51">
        <f>+'11. Final Load Forecast'!$D$36</f>
        <v>0</v>
      </c>
      <c r="H96" s="417"/>
    </row>
    <row r="97" spans="2:8">
      <c r="B97" s="70">
        <v>2004</v>
      </c>
      <c r="C97" s="53">
        <f>'11. Final Load Forecast'!$E$34</f>
        <v>0</v>
      </c>
      <c r="D97" s="152" t="e">
        <f t="shared" ref="D97:D107" si="15">(C97-C96)/C96</f>
        <v>#DIV/0!</v>
      </c>
      <c r="E97" s="53">
        <f>+'11. Final Load Forecast'!$E$35</f>
        <v>0</v>
      </c>
      <c r="F97" s="152" t="e">
        <f t="shared" ref="F97:F107" si="16">(E97-E96)/E96</f>
        <v>#DIV/0!</v>
      </c>
      <c r="G97" s="53">
        <f>+'11. Final Load Forecast'!$E$36</f>
        <v>0</v>
      </c>
      <c r="H97" s="421" t="e">
        <f t="shared" ref="H97:H107" si="17">(G97-G96)/G96</f>
        <v>#DIV/0!</v>
      </c>
    </row>
    <row r="98" spans="2:8">
      <c r="B98" s="70">
        <v>2005</v>
      </c>
      <c r="C98" s="53">
        <f>'11. Final Load Forecast'!$F$34</f>
        <v>0</v>
      </c>
      <c r="D98" s="152" t="e">
        <f t="shared" si="15"/>
        <v>#DIV/0!</v>
      </c>
      <c r="E98" s="53">
        <f>+'11. Final Load Forecast'!$F$35</f>
        <v>0</v>
      </c>
      <c r="F98" s="152" t="e">
        <f t="shared" si="16"/>
        <v>#DIV/0!</v>
      </c>
      <c r="G98" s="53">
        <f>+'11. Final Load Forecast'!$F$36</f>
        <v>0</v>
      </c>
      <c r="H98" s="421" t="e">
        <f t="shared" si="17"/>
        <v>#DIV/0!</v>
      </c>
    </row>
    <row r="99" spans="2:8">
      <c r="B99" s="70">
        <v>2006</v>
      </c>
      <c r="C99" s="53">
        <f>'11. Final Load Forecast'!$G$34</f>
        <v>0</v>
      </c>
      <c r="D99" s="152" t="e">
        <f t="shared" si="15"/>
        <v>#DIV/0!</v>
      </c>
      <c r="E99" s="53">
        <f>+'11. Final Load Forecast'!$G$35</f>
        <v>0</v>
      </c>
      <c r="F99" s="152" t="e">
        <f t="shared" si="16"/>
        <v>#DIV/0!</v>
      </c>
      <c r="G99" s="53">
        <f>+'11. Final Load Forecast'!$G$36</f>
        <v>0</v>
      </c>
      <c r="H99" s="421" t="e">
        <f t="shared" si="17"/>
        <v>#DIV/0!</v>
      </c>
    </row>
    <row r="100" spans="2:8">
      <c r="B100" s="71">
        <v>2007</v>
      </c>
      <c r="C100" s="53">
        <f>'11. Final Load Forecast'!$H$34</f>
        <v>0</v>
      </c>
      <c r="D100" s="152" t="e">
        <f t="shared" si="15"/>
        <v>#DIV/0!</v>
      </c>
      <c r="E100" s="53">
        <f>+'11. Final Load Forecast'!$H$35</f>
        <v>0</v>
      </c>
      <c r="F100" s="152" t="e">
        <f t="shared" si="16"/>
        <v>#DIV/0!</v>
      </c>
      <c r="G100" s="53">
        <f>+'11. Final Load Forecast'!$H$36</f>
        <v>0</v>
      </c>
      <c r="H100" s="421" t="e">
        <f t="shared" si="17"/>
        <v>#DIV/0!</v>
      </c>
    </row>
    <row r="101" spans="2:8">
      <c r="B101" s="71">
        <v>2008</v>
      </c>
      <c r="C101" s="53">
        <f>'11. Final Load Forecast'!$I$34</f>
        <v>0</v>
      </c>
      <c r="D101" s="152" t="e">
        <f t="shared" si="15"/>
        <v>#DIV/0!</v>
      </c>
      <c r="E101" s="53">
        <f>+'11. Final Load Forecast'!$I$35</f>
        <v>0</v>
      </c>
      <c r="F101" s="152" t="e">
        <f t="shared" si="16"/>
        <v>#DIV/0!</v>
      </c>
      <c r="G101" s="53">
        <f>+'11. Final Load Forecast'!$I$36</f>
        <v>0</v>
      </c>
      <c r="H101" s="421" t="e">
        <f t="shared" si="17"/>
        <v>#DIV/0!</v>
      </c>
    </row>
    <row r="102" spans="2:8">
      <c r="B102" s="71">
        <v>2009</v>
      </c>
      <c r="C102" s="53">
        <f>'11. Final Load Forecast'!$J$34</f>
        <v>0</v>
      </c>
      <c r="D102" s="152" t="e">
        <f t="shared" si="15"/>
        <v>#DIV/0!</v>
      </c>
      <c r="E102" s="53">
        <f>+'11. Final Load Forecast'!$J$35</f>
        <v>0</v>
      </c>
      <c r="F102" s="152" t="e">
        <f t="shared" si="16"/>
        <v>#DIV/0!</v>
      </c>
      <c r="G102" s="53">
        <f>+'11. Final Load Forecast'!$J$36</f>
        <v>0</v>
      </c>
      <c r="H102" s="421" t="e">
        <f t="shared" si="17"/>
        <v>#DIV/0!</v>
      </c>
    </row>
    <row r="103" spans="2:8">
      <c r="B103" s="71">
        <v>2010</v>
      </c>
      <c r="C103" s="53">
        <f>'11. Final Load Forecast'!$K$34</f>
        <v>0</v>
      </c>
      <c r="D103" s="152" t="e">
        <f t="shared" si="15"/>
        <v>#DIV/0!</v>
      </c>
      <c r="E103" s="53">
        <f>+'11. Final Load Forecast'!$K$35</f>
        <v>0</v>
      </c>
      <c r="F103" s="152" t="e">
        <f t="shared" si="16"/>
        <v>#DIV/0!</v>
      </c>
      <c r="G103" s="53">
        <f>+'11. Final Load Forecast'!$K$36</f>
        <v>0</v>
      </c>
      <c r="H103" s="421" t="e">
        <f t="shared" si="17"/>
        <v>#DIV/0!</v>
      </c>
    </row>
    <row r="104" spans="2:8">
      <c r="B104" s="71">
        <v>2011</v>
      </c>
      <c r="C104" s="53">
        <f>'11. Final Load Forecast'!$L$34</f>
        <v>0</v>
      </c>
      <c r="D104" s="152" t="e">
        <f t="shared" si="15"/>
        <v>#DIV/0!</v>
      </c>
      <c r="E104" s="53">
        <f>+'11. Final Load Forecast'!$L$35</f>
        <v>0</v>
      </c>
      <c r="F104" s="152" t="e">
        <f t="shared" si="16"/>
        <v>#DIV/0!</v>
      </c>
      <c r="G104" s="53">
        <f>+'11. Final Load Forecast'!$L$36</f>
        <v>0</v>
      </c>
      <c r="H104" s="421" t="e">
        <f t="shared" si="17"/>
        <v>#DIV/0!</v>
      </c>
    </row>
    <row r="105" spans="2:8">
      <c r="B105" s="71">
        <v>2012</v>
      </c>
      <c r="C105" s="53">
        <f>'11. Final Load Forecast'!$M$34</f>
        <v>0</v>
      </c>
      <c r="D105" s="152" t="e">
        <f t="shared" si="15"/>
        <v>#DIV/0!</v>
      </c>
      <c r="E105" s="53">
        <f>+'11. Final Load Forecast'!$M$35</f>
        <v>0</v>
      </c>
      <c r="F105" s="152" t="e">
        <f t="shared" si="16"/>
        <v>#DIV/0!</v>
      </c>
      <c r="G105" s="53">
        <f>+'11. Final Load Forecast'!$M$36</f>
        <v>0</v>
      </c>
      <c r="H105" s="421" t="e">
        <f t="shared" si="17"/>
        <v>#DIV/0!</v>
      </c>
    </row>
    <row r="106" spans="2:8">
      <c r="B106" s="72">
        <v>2013</v>
      </c>
      <c r="C106" s="53">
        <f>'11. Final Load Forecast'!$N$34</f>
        <v>0</v>
      </c>
      <c r="D106" s="153" t="e">
        <f t="shared" si="15"/>
        <v>#DIV/0!</v>
      </c>
      <c r="E106" s="53">
        <f>+'11. Final Load Forecast'!$N$35</f>
        <v>0</v>
      </c>
      <c r="F106" s="153" t="e">
        <f t="shared" si="16"/>
        <v>#DIV/0!</v>
      </c>
      <c r="G106" s="53">
        <f>+'11. Final Load Forecast'!$N$36</f>
        <v>0</v>
      </c>
      <c r="H106" s="422" t="e">
        <f t="shared" si="17"/>
        <v>#DIV/0!</v>
      </c>
    </row>
    <row r="107" spans="2:8" ht="13.5" thickBot="1">
      <c r="B107" s="73">
        <v>2014</v>
      </c>
      <c r="C107" s="82">
        <f>'11. Final Load Forecast'!$O$34</f>
        <v>0</v>
      </c>
      <c r="D107" s="154" t="e">
        <f t="shared" si="15"/>
        <v>#DIV/0!</v>
      </c>
      <c r="E107" s="82">
        <f>+'11. Final Load Forecast'!$O$35</f>
        <v>0</v>
      </c>
      <c r="F107" s="154" t="e">
        <f t="shared" si="16"/>
        <v>#DIV/0!</v>
      </c>
      <c r="G107" s="82">
        <f>+'11. Final Load Forecast'!$O$36</f>
        <v>0</v>
      </c>
      <c r="H107" s="423" t="e">
        <f t="shared" si="17"/>
        <v>#DIV/0!</v>
      </c>
    </row>
    <row r="109" spans="2:8" ht="13.5" thickBot="1"/>
    <row r="110" spans="2:8" ht="13.5" thickBot="1">
      <c r="B110" s="1092">
        <f>+'11. Final Load Forecast'!B38</f>
        <v>0</v>
      </c>
      <c r="C110" s="1093"/>
      <c r="D110" s="1093"/>
      <c r="E110" s="1093"/>
      <c r="F110" s="1093"/>
      <c r="G110" s="1093"/>
      <c r="H110" s="1094"/>
    </row>
    <row r="111" spans="2:8" ht="13.5" thickBot="1">
      <c r="B111" s="68" t="s">
        <v>33</v>
      </c>
      <c r="C111" s="46" t="s">
        <v>48</v>
      </c>
      <c r="D111" s="47" t="s">
        <v>61</v>
      </c>
      <c r="E111" s="47" t="s">
        <v>36</v>
      </c>
      <c r="F111" s="47" t="s">
        <v>61</v>
      </c>
      <c r="G111" s="47" t="s">
        <v>37</v>
      </c>
      <c r="H111" s="49" t="s">
        <v>61</v>
      </c>
    </row>
    <row r="112" spans="2:8">
      <c r="B112" s="69">
        <v>2003</v>
      </c>
      <c r="C112" s="51">
        <f>'11. Final Load Forecast'!$D$39</f>
        <v>0</v>
      </c>
      <c r="D112" s="51"/>
      <c r="E112" s="51">
        <f>+'11. Final Load Forecast'!$D$39</f>
        <v>0</v>
      </c>
      <c r="F112" s="51"/>
      <c r="G112" s="417">
        <f>+'11. Final Load Forecast'!$D$40</f>
        <v>0</v>
      </c>
      <c r="H112" s="417"/>
    </row>
    <row r="113" spans="2:8">
      <c r="B113" s="70">
        <v>2004</v>
      </c>
      <c r="C113" s="53">
        <f>'11. Final Load Forecast'!$E$38</f>
        <v>0</v>
      </c>
      <c r="D113" s="152" t="e">
        <f t="shared" ref="D113:D123" si="18">(C113-C112)/C112</f>
        <v>#DIV/0!</v>
      </c>
      <c r="E113" s="53">
        <f>+'11. Final Load Forecast'!$E$39</f>
        <v>0</v>
      </c>
      <c r="F113" s="152" t="e">
        <f t="shared" ref="F113:F123" si="19">(E113-E112)/E112</f>
        <v>#DIV/0!</v>
      </c>
      <c r="G113" s="81">
        <f>+'11. Final Load Forecast'!$E$40</f>
        <v>0</v>
      </c>
      <c r="H113" s="421" t="e">
        <f t="shared" ref="H113:H123" si="20">(G113-G112)/G112</f>
        <v>#DIV/0!</v>
      </c>
    </row>
    <row r="114" spans="2:8">
      <c r="B114" s="70">
        <v>2005</v>
      </c>
      <c r="C114" s="53">
        <f>'11. Final Load Forecast'!$F$38</f>
        <v>0</v>
      </c>
      <c r="D114" s="152" t="e">
        <f t="shared" si="18"/>
        <v>#DIV/0!</v>
      </c>
      <c r="E114" s="53">
        <f>+'11. Final Load Forecast'!$F$39</f>
        <v>0</v>
      </c>
      <c r="F114" s="152" t="e">
        <f t="shared" si="19"/>
        <v>#DIV/0!</v>
      </c>
      <c r="G114" s="81">
        <f>+'11. Final Load Forecast'!$F$40</f>
        <v>0</v>
      </c>
      <c r="H114" s="421" t="e">
        <f t="shared" si="20"/>
        <v>#DIV/0!</v>
      </c>
    </row>
    <row r="115" spans="2:8">
      <c r="B115" s="70">
        <v>2006</v>
      </c>
      <c r="C115" s="53">
        <f>'11. Final Load Forecast'!$G$38</f>
        <v>0</v>
      </c>
      <c r="D115" s="152" t="e">
        <f t="shared" si="18"/>
        <v>#DIV/0!</v>
      </c>
      <c r="E115" s="53">
        <f>+'11. Final Load Forecast'!$G$39</f>
        <v>0</v>
      </c>
      <c r="F115" s="152" t="e">
        <f t="shared" si="19"/>
        <v>#DIV/0!</v>
      </c>
      <c r="G115" s="81">
        <f>+'11. Final Load Forecast'!$G$40</f>
        <v>0</v>
      </c>
      <c r="H115" s="421" t="e">
        <f t="shared" si="20"/>
        <v>#DIV/0!</v>
      </c>
    </row>
    <row r="116" spans="2:8">
      <c r="B116" s="71">
        <v>2007</v>
      </c>
      <c r="C116" s="53">
        <f>'11. Final Load Forecast'!$H$38</f>
        <v>0</v>
      </c>
      <c r="D116" s="152" t="e">
        <f t="shared" si="18"/>
        <v>#DIV/0!</v>
      </c>
      <c r="E116" s="53">
        <f>+'11. Final Load Forecast'!$H$39</f>
        <v>0</v>
      </c>
      <c r="F116" s="152" t="e">
        <f t="shared" si="19"/>
        <v>#DIV/0!</v>
      </c>
      <c r="G116" s="81">
        <f>+'11. Final Load Forecast'!$H$40</f>
        <v>0</v>
      </c>
      <c r="H116" s="421" t="e">
        <f t="shared" si="20"/>
        <v>#DIV/0!</v>
      </c>
    </row>
    <row r="117" spans="2:8">
      <c r="B117" s="71">
        <v>2008</v>
      </c>
      <c r="C117" s="53">
        <f>'11. Final Load Forecast'!$I$38</f>
        <v>0</v>
      </c>
      <c r="D117" s="152" t="e">
        <f t="shared" si="18"/>
        <v>#DIV/0!</v>
      </c>
      <c r="E117" s="53">
        <f>+'11. Final Load Forecast'!$I$39</f>
        <v>0</v>
      </c>
      <c r="F117" s="152" t="e">
        <f t="shared" si="19"/>
        <v>#DIV/0!</v>
      </c>
      <c r="G117" s="81">
        <f>+'11. Final Load Forecast'!$I$40</f>
        <v>0</v>
      </c>
      <c r="H117" s="421" t="e">
        <f t="shared" si="20"/>
        <v>#DIV/0!</v>
      </c>
    </row>
    <row r="118" spans="2:8">
      <c r="B118" s="71">
        <v>2009</v>
      </c>
      <c r="C118" s="53">
        <f>'11. Final Load Forecast'!$J$38</f>
        <v>0</v>
      </c>
      <c r="D118" s="152" t="e">
        <f t="shared" si="18"/>
        <v>#DIV/0!</v>
      </c>
      <c r="E118" s="53">
        <f>+'11. Final Load Forecast'!$J$39</f>
        <v>0</v>
      </c>
      <c r="F118" s="152" t="e">
        <f t="shared" si="19"/>
        <v>#DIV/0!</v>
      </c>
      <c r="G118" s="81">
        <f>+'11. Final Load Forecast'!$J$40</f>
        <v>0</v>
      </c>
      <c r="H118" s="421" t="e">
        <f t="shared" si="20"/>
        <v>#DIV/0!</v>
      </c>
    </row>
    <row r="119" spans="2:8">
      <c r="B119" s="71">
        <v>2010</v>
      </c>
      <c r="C119" s="53">
        <f>'11. Final Load Forecast'!$K$38</f>
        <v>0</v>
      </c>
      <c r="D119" s="152" t="e">
        <f t="shared" si="18"/>
        <v>#DIV/0!</v>
      </c>
      <c r="E119" s="53">
        <f>+'11. Final Load Forecast'!$K$39</f>
        <v>0</v>
      </c>
      <c r="F119" s="152" t="e">
        <f t="shared" si="19"/>
        <v>#DIV/0!</v>
      </c>
      <c r="G119" s="81">
        <f>+'11. Final Load Forecast'!$K$40</f>
        <v>0</v>
      </c>
      <c r="H119" s="421" t="e">
        <f t="shared" si="20"/>
        <v>#DIV/0!</v>
      </c>
    </row>
    <row r="120" spans="2:8">
      <c r="B120" s="71">
        <v>2011</v>
      </c>
      <c r="C120" s="53">
        <f>'11. Final Load Forecast'!$L$38</f>
        <v>0</v>
      </c>
      <c r="D120" s="152" t="e">
        <f t="shared" si="18"/>
        <v>#DIV/0!</v>
      </c>
      <c r="E120" s="53">
        <f>+'11. Final Load Forecast'!$L$39</f>
        <v>0</v>
      </c>
      <c r="F120" s="152" t="e">
        <f t="shared" si="19"/>
        <v>#DIV/0!</v>
      </c>
      <c r="G120" s="81">
        <f>+'11. Final Load Forecast'!$L$40</f>
        <v>0</v>
      </c>
      <c r="H120" s="421" t="e">
        <f t="shared" si="20"/>
        <v>#DIV/0!</v>
      </c>
    </row>
    <row r="121" spans="2:8">
      <c r="B121" s="71">
        <v>2012</v>
      </c>
      <c r="C121" s="53">
        <f>'11. Final Load Forecast'!$M$38</f>
        <v>0</v>
      </c>
      <c r="D121" s="152" t="e">
        <f t="shared" si="18"/>
        <v>#DIV/0!</v>
      </c>
      <c r="E121" s="53">
        <f>+'11. Final Load Forecast'!$M$39</f>
        <v>0</v>
      </c>
      <c r="F121" s="152" t="e">
        <f t="shared" si="19"/>
        <v>#DIV/0!</v>
      </c>
      <c r="G121" s="81">
        <f>+'11. Final Load Forecast'!$M$40</f>
        <v>0</v>
      </c>
      <c r="H121" s="421" t="e">
        <f t="shared" si="20"/>
        <v>#DIV/0!</v>
      </c>
    </row>
    <row r="122" spans="2:8">
      <c r="B122" s="72">
        <v>2013</v>
      </c>
      <c r="C122" s="53">
        <f>'11. Final Load Forecast'!$N$38</f>
        <v>0</v>
      </c>
      <c r="D122" s="153" t="e">
        <f t="shared" si="18"/>
        <v>#DIV/0!</v>
      </c>
      <c r="E122" s="53">
        <f>+'11. Final Load Forecast'!$N$39</f>
        <v>0</v>
      </c>
      <c r="F122" s="153" t="e">
        <f t="shared" si="19"/>
        <v>#DIV/0!</v>
      </c>
      <c r="G122" s="81">
        <f>+'11. Final Load Forecast'!$N$40</f>
        <v>0</v>
      </c>
      <c r="H122" s="422" t="e">
        <f t="shared" si="20"/>
        <v>#DIV/0!</v>
      </c>
    </row>
    <row r="123" spans="2:8" ht="13.5" thickBot="1">
      <c r="B123" s="73">
        <v>2014</v>
      </c>
      <c r="C123" s="82">
        <f>'11. Final Load Forecast'!$O$38</f>
        <v>0</v>
      </c>
      <c r="D123" s="154" t="e">
        <f t="shared" si="18"/>
        <v>#DIV/0!</v>
      </c>
      <c r="E123" s="82">
        <f>+'11. Final Load Forecast'!$O$39</f>
        <v>0</v>
      </c>
      <c r="F123" s="154" t="e">
        <f t="shared" si="19"/>
        <v>#DIV/0!</v>
      </c>
      <c r="G123" s="83">
        <f>+'11. Final Load Forecast'!$O$40</f>
        <v>0</v>
      </c>
      <c r="H123" s="423" t="e">
        <f t="shared" si="20"/>
        <v>#DIV/0!</v>
      </c>
    </row>
  </sheetData>
  <mergeCells count="7">
    <mergeCell ref="B14:H14"/>
    <mergeCell ref="B78:H78"/>
    <mergeCell ref="B94:H94"/>
    <mergeCell ref="B110:H110"/>
    <mergeCell ref="B62:H62"/>
    <mergeCell ref="B46:H46"/>
    <mergeCell ref="B30:H3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sheetPr>
  <dimension ref="A1:M36"/>
  <sheetViews>
    <sheetView showGridLines="0" zoomScaleNormal="100" workbookViewId="0">
      <selection activeCell="C18" sqref="C18"/>
    </sheetView>
  </sheetViews>
  <sheetFormatPr defaultRowHeight="12.75"/>
  <cols>
    <col min="1" max="1" width="13.6640625" customWidth="1"/>
    <col min="2" max="2" width="68.6640625" customWidth="1"/>
    <col min="3" max="3" width="25.1640625" customWidth="1"/>
    <col min="4" max="4" width="29.5" style="116" customWidth="1"/>
    <col min="5" max="5" width="4.83203125" style="116" customWidth="1"/>
    <col min="6" max="6" width="12" style="116" customWidth="1"/>
    <col min="7" max="7" width="18" customWidth="1"/>
    <col min="9" max="9" width="14.83203125" bestFit="1" customWidth="1"/>
    <col min="10" max="10" width="2.1640625" bestFit="1" customWidth="1"/>
  </cols>
  <sheetData>
    <row r="1" spans="1:13" s="1" customFormat="1">
      <c r="A1" s="626" t="s">
        <v>255</v>
      </c>
    </row>
    <row r="2" spans="1:13" s="1" customFormat="1"/>
    <row r="3" spans="1:13" s="1" customFormat="1"/>
    <row r="4" spans="1:13" s="1" customFormat="1"/>
    <row r="5" spans="1:13" s="1" customFormat="1"/>
    <row r="6" spans="1:13" s="1" customFormat="1"/>
    <row r="7" spans="1:13" s="1" customFormat="1"/>
    <row r="8" spans="1:13" s="1" customFormat="1"/>
    <row r="9" spans="1:13" s="1" customFormat="1"/>
    <row r="10" spans="1:13" ht="12.75" customHeight="1">
      <c r="B10" s="945"/>
      <c r="C10" s="945"/>
      <c r="D10" s="945"/>
      <c r="E10" s="945"/>
      <c r="F10" s="945"/>
      <c r="G10" s="945"/>
      <c r="H10" s="945"/>
      <c r="I10" s="945"/>
      <c r="J10" s="117"/>
      <c r="K10" s="117"/>
      <c r="L10" s="117"/>
      <c r="M10" s="117"/>
    </row>
    <row r="11" spans="1:13" ht="23.25">
      <c r="B11" s="946" t="s">
        <v>146</v>
      </c>
      <c r="C11" s="946"/>
      <c r="D11" s="133"/>
      <c r="E11"/>
      <c r="F11" s="117"/>
      <c r="G11" s="117"/>
      <c r="H11" s="117"/>
    </row>
    <row r="12" spans="1:13" ht="18.75" thickBot="1">
      <c r="C12" s="117"/>
      <c r="D12" s="117"/>
      <c r="E12" s="117"/>
      <c r="F12" s="117"/>
      <c r="G12" s="117"/>
      <c r="H12" s="117"/>
      <c r="I12" s="117"/>
      <c r="J12" s="117"/>
    </row>
    <row r="13" spans="1:13" ht="72" customHeight="1">
      <c r="B13" s="611" t="s">
        <v>94</v>
      </c>
      <c r="C13" s="612" t="s">
        <v>124</v>
      </c>
      <c r="D13" s="613" t="s">
        <v>125</v>
      </c>
      <c r="E13"/>
      <c r="F13"/>
    </row>
    <row r="14" spans="1:13">
      <c r="B14" s="607" t="s">
        <v>6</v>
      </c>
      <c r="C14" s="632" t="s">
        <v>123</v>
      </c>
      <c r="D14" s="633" t="s">
        <v>126</v>
      </c>
      <c r="F14" s="947" t="s">
        <v>168</v>
      </c>
      <c r="G14" s="947"/>
      <c r="I14" s="446" t="s">
        <v>36</v>
      </c>
    </row>
    <row r="15" spans="1:13">
      <c r="B15" s="607" t="s">
        <v>95</v>
      </c>
      <c r="C15" s="632" t="s">
        <v>123</v>
      </c>
      <c r="D15" s="633" t="s">
        <v>126</v>
      </c>
      <c r="E15" s="606"/>
      <c r="F15" s="947"/>
      <c r="G15" s="947"/>
      <c r="I15" s="446" t="s">
        <v>36</v>
      </c>
    </row>
    <row r="16" spans="1:13">
      <c r="B16" s="607" t="s">
        <v>102</v>
      </c>
      <c r="C16" s="632" t="s">
        <v>42</v>
      </c>
      <c r="D16" s="633" t="s">
        <v>42</v>
      </c>
      <c r="E16" s="606"/>
      <c r="F16" s="947"/>
      <c r="G16" s="947"/>
      <c r="I16" s="446" t="s">
        <v>36</v>
      </c>
    </row>
    <row r="17" spans="2:9" ht="13.5" thickBot="1">
      <c r="B17" s="608"/>
      <c r="C17" s="634" t="s">
        <v>126</v>
      </c>
      <c r="D17" s="635" t="s">
        <v>126</v>
      </c>
      <c r="E17" s="606"/>
      <c r="F17" s="947"/>
      <c r="G17" s="947"/>
    </row>
    <row r="18" spans="2:9" ht="13.5" customHeight="1">
      <c r="B18" s="609" t="s">
        <v>327</v>
      </c>
      <c r="C18" s="636" t="s">
        <v>42</v>
      </c>
      <c r="D18" s="637" t="s">
        <v>42</v>
      </c>
      <c r="E18"/>
      <c r="F18" s="947" t="s">
        <v>169</v>
      </c>
      <c r="G18" s="947"/>
      <c r="I18" s="446" t="s">
        <v>37</v>
      </c>
    </row>
    <row r="19" spans="2:9">
      <c r="B19" s="610" t="s">
        <v>101</v>
      </c>
      <c r="C19" s="632" t="s">
        <v>42</v>
      </c>
      <c r="D19" s="633" t="s">
        <v>42</v>
      </c>
      <c r="E19"/>
      <c r="F19" s="947"/>
      <c r="G19" s="947"/>
      <c r="I19" s="446" t="s">
        <v>37</v>
      </c>
    </row>
    <row r="20" spans="2:9" ht="13.5" thickBot="1">
      <c r="B20" s="614"/>
      <c r="C20" s="638"/>
      <c r="D20" s="639"/>
      <c r="E20"/>
      <c r="F20" s="947"/>
      <c r="G20" s="947"/>
      <c r="I20" s="446" t="s">
        <v>37</v>
      </c>
    </row>
    <row r="21" spans="2:9" ht="13.5" thickBot="1">
      <c r="B21" s="615"/>
      <c r="C21" s="640"/>
      <c r="D21" s="641"/>
      <c r="E21"/>
      <c r="F21" s="440"/>
      <c r="G21" s="440"/>
      <c r="I21" s="446" t="s">
        <v>37</v>
      </c>
    </row>
    <row r="22" spans="2:9" hidden="1">
      <c r="B22" s="437" t="s">
        <v>103</v>
      </c>
      <c r="C22" s="438" t="s">
        <v>126</v>
      </c>
      <c r="D22" s="439" t="s">
        <v>126</v>
      </c>
      <c r="E22"/>
      <c r="F22"/>
    </row>
    <row r="23" spans="2:9" ht="13.5" hidden="1" thickBot="1">
      <c r="B23" s="239" t="s">
        <v>103</v>
      </c>
      <c r="C23" s="237" t="s">
        <v>126</v>
      </c>
      <c r="D23" s="238" t="s">
        <v>126</v>
      </c>
      <c r="E23"/>
      <c r="F23"/>
    </row>
    <row r="24" spans="2:9">
      <c r="D24"/>
      <c r="E24"/>
      <c r="F24"/>
    </row>
    <row r="25" spans="2:9">
      <c r="D25"/>
      <c r="E25"/>
      <c r="F25"/>
    </row>
    <row r="26" spans="2:9">
      <c r="D26"/>
      <c r="E26"/>
      <c r="F26"/>
    </row>
    <row r="27" spans="2:9">
      <c r="D27"/>
      <c r="E27"/>
      <c r="F27"/>
    </row>
    <row r="28" spans="2:9">
      <c r="D28"/>
      <c r="E28"/>
      <c r="F28"/>
    </row>
    <row r="29" spans="2:9">
      <c r="D29"/>
      <c r="E29"/>
      <c r="F29"/>
    </row>
    <row r="30" spans="2:9">
      <c r="D30"/>
      <c r="E30"/>
      <c r="F30"/>
    </row>
    <row r="31" spans="2:9">
      <c r="D31"/>
      <c r="E31"/>
      <c r="F31"/>
    </row>
    <row r="32" spans="2:9">
      <c r="D32"/>
      <c r="E32"/>
      <c r="F32"/>
    </row>
    <row r="33" spans="3:6">
      <c r="D33"/>
      <c r="E33"/>
      <c r="F33"/>
    </row>
    <row r="34" spans="3:6">
      <c r="D34"/>
      <c r="E34"/>
      <c r="F34"/>
    </row>
    <row r="35" spans="3:6">
      <c r="D35"/>
      <c r="E35"/>
      <c r="F35"/>
    </row>
    <row r="36" spans="3:6">
      <c r="C36" s="116"/>
      <c r="F36"/>
    </row>
  </sheetData>
  <mergeCells count="4">
    <mergeCell ref="B11:C11"/>
    <mergeCell ref="F14:G17"/>
    <mergeCell ref="F18:G20"/>
    <mergeCell ref="B10:I10"/>
  </mergeCells>
  <dataValidations count="1">
    <dataValidation type="list" allowBlank="1" showInputMessage="1" showErrorMessage="1" sqref="C14:D23" xr:uid="{00000000-0002-0000-0100-000000000000}">
      <formula1>"Weather-Sensitive,Non-Weather Sensitive,n/a"</formula1>
    </dataValidation>
  </dataValidations>
  <pageMargins left="0.7" right="0.7" top="0.75" bottom="0.75" header="0.3" footer="0.3"/>
  <pageSetup scale="71"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A1:AG174"/>
  <sheetViews>
    <sheetView showGridLines="0" topLeftCell="A4" zoomScale="92" zoomScaleNormal="92" workbookViewId="0">
      <pane ySplit="17" topLeftCell="A137" activePane="bottomLeft" state="frozen"/>
      <selection activeCell="A4" sqref="A4"/>
      <selection pane="bottomLeft" activeCell="F145" sqref="F145:F150"/>
    </sheetView>
  </sheetViews>
  <sheetFormatPr defaultRowHeight="12.75"/>
  <cols>
    <col min="1" max="1" width="13.6640625" style="1" customWidth="1"/>
    <col min="2" max="2" width="18" style="1" customWidth="1"/>
    <col min="3" max="3" width="16.83203125" style="23" customWidth="1"/>
    <col min="4" max="4" width="14.1640625" style="23" customWidth="1"/>
    <col min="5" max="5" width="14.1640625" style="22" customWidth="1"/>
    <col min="6" max="6" width="14.1640625" style="23" customWidth="1"/>
    <col min="7" max="7" width="14.1640625" style="22" customWidth="1"/>
    <col min="8" max="8" width="14.1640625" style="23" customWidth="1"/>
    <col min="9" max="9" width="15.1640625" style="22" customWidth="1"/>
    <col min="10" max="10" width="14.1640625" style="22" customWidth="1"/>
    <col min="11" max="11" width="13.33203125" style="22" customWidth="1"/>
    <col min="12" max="13" width="14.1640625" style="23" customWidth="1"/>
    <col min="14" max="14" width="14.1640625" style="22" customWidth="1"/>
    <col min="15" max="16" width="14.1640625" style="23" customWidth="1"/>
    <col min="17" max="17" width="14.1640625" style="22" customWidth="1"/>
    <col min="18" max="19" width="14.1640625" style="23" customWidth="1"/>
    <col min="20" max="20" width="14.1640625" style="22" customWidth="1"/>
    <col min="21" max="22" width="13.5" style="23" customWidth="1"/>
    <col min="23" max="23" width="13.5" style="22" customWidth="1"/>
    <col min="24" max="27" width="13.5" style="1" customWidth="1"/>
    <col min="28" max="28" width="12.83203125" style="1" bestFit="1" customWidth="1"/>
    <col min="29" max="29" width="14" style="1" bestFit="1" customWidth="1"/>
    <col min="30" max="31" width="9.33203125" style="1"/>
    <col min="32" max="32" width="10.5" style="1" bestFit="1" customWidth="1"/>
    <col min="33" max="33" width="12.5" style="1" bestFit="1" customWidth="1"/>
    <col min="34" max="16384" width="9.33203125" style="1"/>
  </cols>
  <sheetData>
    <row r="1" spans="1:23">
      <c r="A1" s="626" t="s">
        <v>255</v>
      </c>
      <c r="C1" s="1"/>
      <c r="D1" s="1"/>
      <c r="E1" s="1"/>
      <c r="F1" s="1"/>
      <c r="G1" s="1"/>
      <c r="H1" s="1"/>
      <c r="I1" s="1"/>
      <c r="J1" s="1"/>
      <c r="K1" s="1"/>
      <c r="L1" s="1"/>
      <c r="M1" s="1"/>
      <c r="N1" s="1"/>
      <c r="O1" s="1"/>
      <c r="P1" s="1"/>
      <c r="Q1" s="1"/>
      <c r="R1" s="1"/>
      <c r="S1" s="1"/>
      <c r="T1" s="1"/>
      <c r="U1" s="1"/>
      <c r="V1" s="1"/>
      <c r="W1" s="1"/>
    </row>
    <row r="2" spans="1:23">
      <c r="C2" s="1"/>
      <c r="D2" s="1"/>
      <c r="E2" s="1"/>
      <c r="F2" s="1"/>
      <c r="G2" s="1"/>
      <c r="H2" s="1"/>
      <c r="I2" s="1"/>
      <c r="J2" s="1"/>
      <c r="K2" s="1"/>
      <c r="L2" s="1"/>
      <c r="M2" s="1"/>
      <c r="N2" s="1"/>
      <c r="O2" s="1"/>
      <c r="P2" s="1"/>
      <c r="Q2" s="1"/>
      <c r="R2" s="1"/>
      <c r="S2" s="1"/>
      <c r="T2" s="1"/>
      <c r="U2" s="1"/>
      <c r="V2" s="1"/>
      <c r="W2" s="1"/>
    </row>
    <row r="3" spans="1:23">
      <c r="C3" s="1"/>
      <c r="D3" s="1"/>
      <c r="E3" s="1"/>
      <c r="F3" s="1"/>
      <c r="G3" s="1"/>
      <c r="H3" s="1"/>
      <c r="I3" s="1"/>
      <c r="J3" s="1"/>
      <c r="K3" s="1"/>
      <c r="L3" s="1"/>
      <c r="M3" s="1"/>
      <c r="N3" s="1"/>
      <c r="O3" s="1"/>
      <c r="P3" s="1"/>
      <c r="Q3" s="1"/>
      <c r="R3" s="1"/>
      <c r="S3" s="1"/>
      <c r="T3" s="1"/>
      <c r="U3" s="1"/>
      <c r="V3" s="1"/>
      <c r="W3" s="1"/>
    </row>
    <row r="4" spans="1:23">
      <c r="C4" s="1"/>
      <c r="D4" s="1"/>
      <c r="E4" s="1"/>
      <c r="F4" s="1"/>
      <c r="G4" s="1"/>
      <c r="H4" s="1"/>
      <c r="I4" s="1"/>
      <c r="J4" s="1"/>
      <c r="K4" s="1"/>
      <c r="L4" s="1"/>
      <c r="M4" s="1"/>
      <c r="N4" s="1"/>
      <c r="O4" s="1"/>
      <c r="P4" s="1"/>
      <c r="Q4" s="1"/>
      <c r="R4" s="1"/>
      <c r="S4" s="1"/>
      <c r="T4" s="1"/>
      <c r="U4" s="1"/>
      <c r="V4" s="1"/>
      <c r="W4" s="1"/>
    </row>
    <row r="5" spans="1:23">
      <c r="C5" s="1"/>
      <c r="D5" s="1"/>
      <c r="E5" s="1"/>
      <c r="F5" s="1"/>
      <c r="G5" s="1"/>
      <c r="H5" s="1"/>
      <c r="I5" s="1"/>
      <c r="J5" s="1"/>
      <c r="K5" s="1"/>
      <c r="L5" s="1"/>
      <c r="M5" s="1"/>
      <c r="N5" s="1"/>
      <c r="O5" s="1"/>
      <c r="P5" s="1"/>
      <c r="Q5" s="1"/>
      <c r="R5" s="1"/>
      <c r="S5" s="1"/>
      <c r="T5" s="1"/>
      <c r="U5" s="1"/>
      <c r="V5" s="1"/>
      <c r="W5" s="1"/>
    </row>
    <row r="6" spans="1:23">
      <c r="C6" s="1"/>
      <c r="D6" s="1"/>
      <c r="E6" s="1"/>
      <c r="F6" s="1"/>
      <c r="G6" s="1"/>
      <c r="H6" s="1"/>
      <c r="I6" s="1"/>
      <c r="J6" s="1"/>
      <c r="K6" s="1"/>
      <c r="L6" s="1"/>
      <c r="M6" s="1"/>
      <c r="N6" s="1"/>
      <c r="O6" s="1"/>
      <c r="P6" s="1"/>
      <c r="Q6" s="1"/>
      <c r="R6" s="1"/>
      <c r="S6" s="1"/>
      <c r="T6" s="1"/>
      <c r="U6" s="1"/>
      <c r="V6" s="1"/>
      <c r="W6" s="1"/>
    </row>
    <row r="7" spans="1:23">
      <c r="C7" s="1"/>
      <c r="D7" s="1"/>
      <c r="E7" s="1"/>
      <c r="F7" s="1"/>
      <c r="G7" s="1"/>
      <c r="H7" s="1"/>
      <c r="I7" s="1"/>
      <c r="J7" s="1"/>
      <c r="K7" s="1"/>
      <c r="L7" s="1"/>
      <c r="M7" s="1"/>
      <c r="N7" s="1"/>
      <c r="O7" s="1"/>
      <c r="P7" s="1"/>
      <c r="Q7" s="1"/>
      <c r="R7" s="1"/>
      <c r="S7" s="1"/>
      <c r="T7" s="1"/>
      <c r="U7" s="1"/>
      <c r="V7" s="1"/>
      <c r="W7" s="1"/>
    </row>
    <row r="8" spans="1:23">
      <c r="C8" s="1"/>
      <c r="D8" s="1"/>
      <c r="E8" s="1"/>
      <c r="F8" s="1"/>
      <c r="G8" s="1"/>
      <c r="H8" s="1"/>
      <c r="I8" s="1"/>
      <c r="J8" s="1"/>
      <c r="K8" s="1"/>
      <c r="L8" s="1"/>
      <c r="M8" s="1"/>
      <c r="N8" s="1"/>
      <c r="O8" s="1"/>
      <c r="P8" s="1"/>
      <c r="Q8" s="1"/>
      <c r="R8" s="1"/>
      <c r="S8" s="1"/>
      <c r="T8" s="1"/>
      <c r="U8" s="1"/>
      <c r="V8" s="1"/>
      <c r="W8" s="1"/>
    </row>
    <row r="9" spans="1:23">
      <c r="C9" s="1"/>
      <c r="D9" s="1"/>
      <c r="E9" s="1"/>
      <c r="F9" s="1"/>
      <c r="G9" s="1"/>
      <c r="H9" s="1"/>
      <c r="I9" s="1"/>
      <c r="J9" s="1"/>
      <c r="K9" s="1"/>
      <c r="L9" s="1"/>
      <c r="M9" s="1"/>
      <c r="N9" s="1"/>
      <c r="O9" s="1"/>
      <c r="P9" s="1"/>
      <c r="Q9" s="1"/>
      <c r="R9" s="1"/>
      <c r="S9" s="1"/>
      <c r="T9" s="1"/>
      <c r="U9" s="1"/>
      <c r="V9" s="1"/>
      <c r="W9" s="1"/>
    </row>
    <row r="10" spans="1:23" customFormat="1" ht="12.75" customHeight="1">
      <c r="B10" s="945"/>
      <c r="C10" s="945"/>
      <c r="D10" s="945"/>
      <c r="E10" s="945"/>
      <c r="F10" s="945"/>
      <c r="G10" s="945"/>
      <c r="H10" s="945"/>
      <c r="I10" s="945"/>
      <c r="J10" s="117"/>
      <c r="K10" s="117"/>
      <c r="L10" s="117"/>
      <c r="M10" s="117"/>
    </row>
    <row r="11" spans="1:23" ht="23.25">
      <c r="A11"/>
      <c r="B11" s="114" t="s">
        <v>98</v>
      </c>
      <c r="C11" s="1"/>
      <c r="E11" s="23"/>
      <c r="G11" s="23"/>
      <c r="H11" s="1"/>
      <c r="I11" s="1"/>
      <c r="J11" s="1"/>
      <c r="K11" s="1"/>
      <c r="M11" s="1"/>
      <c r="N11" s="23"/>
      <c r="P11" s="1"/>
      <c r="Q11" s="23"/>
      <c r="R11" s="1"/>
      <c r="S11" s="1"/>
      <c r="T11" s="1"/>
      <c r="U11" s="1"/>
      <c r="V11" s="1"/>
      <c r="W11" s="1"/>
    </row>
    <row r="12" spans="1:23" ht="15">
      <c r="B12" s="45" t="s">
        <v>63</v>
      </c>
      <c r="C12" s="1"/>
      <c r="D12" s="84"/>
      <c r="E12" s="84"/>
      <c r="F12" s="84"/>
      <c r="G12" s="84"/>
      <c r="H12"/>
      <c r="L12" s="84"/>
      <c r="M12" s="84"/>
      <c r="N12" s="84"/>
      <c r="O12" s="84"/>
      <c r="P12" s="84"/>
      <c r="Q12" s="84"/>
      <c r="R12" s="84"/>
      <c r="T12" s="23"/>
      <c r="U12" s="22"/>
      <c r="V12" s="1"/>
      <c r="W12" s="1"/>
    </row>
    <row r="13" spans="1:23" ht="14.25">
      <c r="B13" s="85" t="s">
        <v>67</v>
      </c>
      <c r="C13" s="1"/>
      <c r="D13" s="85"/>
      <c r="E13" s="85"/>
      <c r="F13" s="85"/>
      <c r="G13" s="84"/>
      <c r="L13" s="84"/>
      <c r="M13" s="84"/>
      <c r="N13" s="84"/>
      <c r="O13" s="84"/>
      <c r="P13" s="84"/>
      <c r="Q13" s="84"/>
      <c r="R13" s="84"/>
      <c r="T13" s="23"/>
      <c r="U13" s="22"/>
      <c r="V13" s="1"/>
      <c r="W13" s="1"/>
    </row>
    <row r="14" spans="1:23" ht="14.25">
      <c r="B14" s="85" t="s">
        <v>66</v>
      </c>
      <c r="C14" s="1"/>
      <c r="D14" s="85"/>
      <c r="E14" s="85"/>
      <c r="F14" s="85"/>
      <c r="G14" s="84"/>
      <c r="L14" s="84"/>
      <c r="M14" s="84"/>
      <c r="N14" s="84"/>
      <c r="O14" s="84"/>
      <c r="P14" s="84"/>
      <c r="Q14" s="84"/>
      <c r="R14" s="84"/>
      <c r="S14" s="84"/>
      <c r="T14" s="84"/>
    </row>
    <row r="15" spans="1:23" ht="14.25">
      <c r="B15" s="85" t="s">
        <v>68</v>
      </c>
      <c r="C15" s="1"/>
      <c r="D15" s="85"/>
      <c r="E15" s="85"/>
      <c r="F15" s="85"/>
      <c r="G15" s="84"/>
      <c r="L15" s="84"/>
      <c r="M15" s="84"/>
      <c r="N15" s="84"/>
      <c r="O15" s="84"/>
      <c r="P15" s="84"/>
      <c r="Q15" s="84"/>
      <c r="R15" s="84"/>
      <c r="S15" s="84"/>
      <c r="T15" s="84"/>
    </row>
    <row r="16" spans="1:23" ht="14.25">
      <c r="B16" s="85" t="s">
        <v>65</v>
      </c>
      <c r="C16" s="1"/>
      <c r="D16" s="85"/>
      <c r="E16" s="85"/>
      <c r="F16" s="85"/>
      <c r="G16" s="84"/>
      <c r="L16" s="84"/>
      <c r="M16" s="84"/>
      <c r="N16" s="84"/>
      <c r="O16" s="84"/>
      <c r="P16" s="84"/>
      <c r="Q16" s="84"/>
      <c r="R16" s="84"/>
      <c r="S16" s="84"/>
      <c r="T16" s="84"/>
    </row>
    <row r="17" spans="2:31" ht="14.25">
      <c r="C17" s="85"/>
      <c r="D17" s="85"/>
      <c r="E17" s="85"/>
      <c r="F17" s="85"/>
      <c r="G17" s="84"/>
      <c r="L17" s="84"/>
      <c r="M17" s="84"/>
      <c r="N17" s="84"/>
      <c r="O17" s="84"/>
      <c r="P17" s="84"/>
      <c r="Q17" s="84"/>
      <c r="R17" s="84"/>
      <c r="S17" s="84"/>
      <c r="T17" s="84"/>
    </row>
    <row r="18" spans="2:31" ht="15">
      <c r="B18" s="86" t="s">
        <v>64</v>
      </c>
      <c r="C18" s="1"/>
      <c r="D18" s="86"/>
      <c r="E18" s="85"/>
      <c r="F18" s="85"/>
      <c r="G18" s="84"/>
      <c r="L18" s="84"/>
      <c r="M18" s="84"/>
      <c r="N18" s="84"/>
      <c r="O18" s="84"/>
      <c r="P18" s="84"/>
      <c r="Q18" s="84"/>
      <c r="R18" s="84"/>
      <c r="S18" s="84"/>
      <c r="T18" s="84"/>
    </row>
    <row r="19" spans="2:31" ht="13.5" thickBot="1"/>
    <row r="20" spans="2:31" ht="12.75" customHeight="1">
      <c r="B20" s="24"/>
      <c r="C20" s="24"/>
      <c r="D20" s="958" t="str">
        <f>'2. Customer Classes'!B14</f>
        <v>Residential</v>
      </c>
      <c r="E20" s="951"/>
      <c r="F20" s="958" t="str">
        <f>'2. Customer Classes'!B15</f>
        <v>General Service &lt; 50 kW</v>
      </c>
      <c r="G20" s="951"/>
      <c r="H20" s="960" t="str">
        <f>+'2. Customer Classes'!B16</f>
        <v>Unmetered Scattered Load</v>
      </c>
      <c r="I20" s="961"/>
      <c r="J20" s="950">
        <f>+'2. Customer Classes'!B17</f>
        <v>0</v>
      </c>
      <c r="K20" s="951"/>
      <c r="L20" s="958" t="str">
        <f>'2. Customer Classes'!B18</f>
        <v>General Service &gt; 50 kW - 4999 kW</v>
      </c>
      <c r="M20" s="959"/>
      <c r="N20" s="951"/>
      <c r="O20" s="952" t="str">
        <f>'2. Customer Classes'!B19</f>
        <v>Streetlighting</v>
      </c>
      <c r="P20" s="953"/>
      <c r="Q20" s="954"/>
      <c r="R20" s="952">
        <f>'2. Customer Classes'!B20</f>
        <v>0</v>
      </c>
      <c r="S20" s="953"/>
      <c r="T20" s="954"/>
      <c r="U20" s="955">
        <f>'2. Customer Classes'!B21</f>
        <v>0</v>
      </c>
      <c r="V20" s="956"/>
      <c r="W20" s="951"/>
      <c r="X20" s="955" t="str">
        <f>'2. Customer Classes'!B22</f>
        <v>other</v>
      </c>
      <c r="Y20" s="951"/>
      <c r="Z20" s="955" t="str">
        <f>'2. Customer Classes'!B23</f>
        <v>other</v>
      </c>
      <c r="AA20" s="951"/>
    </row>
    <row r="21" spans="2:31" ht="12.75" customHeight="1">
      <c r="B21" s="134"/>
      <c r="C21" s="134"/>
      <c r="D21" s="948" t="s">
        <v>118</v>
      </c>
      <c r="E21" s="949"/>
      <c r="F21" s="948" t="s">
        <v>118</v>
      </c>
      <c r="G21" s="949"/>
      <c r="H21" s="948" t="s">
        <v>118</v>
      </c>
      <c r="I21" s="949"/>
      <c r="J21" s="948" t="s">
        <v>118</v>
      </c>
      <c r="K21" s="949"/>
      <c r="L21" s="948" t="s">
        <v>118</v>
      </c>
      <c r="M21" s="957"/>
      <c r="N21" s="949"/>
      <c r="O21" s="948" t="s">
        <v>118</v>
      </c>
      <c r="P21" s="957"/>
      <c r="Q21" s="949"/>
      <c r="R21" s="948" t="s">
        <v>118</v>
      </c>
      <c r="S21" s="957"/>
      <c r="T21" s="949"/>
      <c r="U21" s="948" t="s">
        <v>118</v>
      </c>
      <c r="V21" s="957"/>
      <c r="W21" s="949"/>
      <c r="X21" s="948" t="s">
        <v>118</v>
      </c>
      <c r="Y21" s="949"/>
      <c r="Z21" s="948" t="s">
        <v>118</v>
      </c>
      <c r="AA21" s="949"/>
    </row>
    <row r="22" spans="2:31">
      <c r="B22" s="25"/>
      <c r="C22" s="25"/>
      <c r="D22" s="26"/>
      <c r="E22" s="27" t="s">
        <v>35</v>
      </c>
      <c r="F22" s="26"/>
      <c r="G22" s="27" t="s">
        <v>35</v>
      </c>
      <c r="H22" s="26"/>
      <c r="I22" s="27" t="s">
        <v>35</v>
      </c>
      <c r="J22" s="26"/>
      <c r="K22" s="27" t="s">
        <v>35</v>
      </c>
      <c r="L22" s="26"/>
      <c r="M22" s="9"/>
      <c r="N22" s="27" t="s">
        <v>35</v>
      </c>
      <c r="O22" s="26"/>
      <c r="P22" s="9"/>
      <c r="Q22" s="27" t="s">
        <v>35</v>
      </c>
      <c r="R22" s="26"/>
      <c r="S22" s="9"/>
      <c r="T22" s="27" t="s">
        <v>35</v>
      </c>
      <c r="U22" s="26"/>
      <c r="V22" s="448"/>
      <c r="W22" s="27" t="s">
        <v>35</v>
      </c>
      <c r="X22" s="26"/>
      <c r="Y22" s="27" t="s">
        <v>35</v>
      </c>
      <c r="Z22" s="26"/>
      <c r="AA22" s="27" t="s">
        <v>35</v>
      </c>
    </row>
    <row r="23" spans="2:31" ht="13.5" thickBot="1">
      <c r="B23" s="28"/>
      <c r="C23" s="28"/>
      <c r="D23" s="29" t="s">
        <v>36</v>
      </c>
      <c r="E23" s="30" t="s">
        <v>0</v>
      </c>
      <c r="F23" s="29" t="s">
        <v>36</v>
      </c>
      <c r="G23" s="30" t="s">
        <v>0</v>
      </c>
      <c r="H23" s="31" t="s">
        <v>36</v>
      </c>
      <c r="I23" s="32" t="s">
        <v>0</v>
      </c>
      <c r="J23" s="31" t="s">
        <v>36</v>
      </c>
      <c r="K23" s="32" t="s">
        <v>0</v>
      </c>
      <c r="L23" s="29" t="s">
        <v>36</v>
      </c>
      <c r="M23" s="16" t="s">
        <v>37</v>
      </c>
      <c r="N23" s="30" t="s">
        <v>0</v>
      </c>
      <c r="O23" s="29" t="s">
        <v>36</v>
      </c>
      <c r="P23" s="16" t="s">
        <v>37</v>
      </c>
      <c r="Q23" s="30" t="s">
        <v>0</v>
      </c>
      <c r="R23" s="29" t="s">
        <v>36</v>
      </c>
      <c r="S23" s="16" t="s">
        <v>37</v>
      </c>
      <c r="T23" s="30" t="s">
        <v>0</v>
      </c>
      <c r="U23" s="31" t="s">
        <v>36</v>
      </c>
      <c r="V23" s="31" t="s">
        <v>37</v>
      </c>
      <c r="W23" s="32" t="s">
        <v>0</v>
      </c>
      <c r="X23" s="31" t="s">
        <v>36</v>
      </c>
      <c r="Y23" s="32" t="s">
        <v>0</v>
      </c>
      <c r="Z23" s="31" t="s">
        <v>36</v>
      </c>
      <c r="AA23" s="32" t="s">
        <v>0</v>
      </c>
    </row>
    <row r="24" spans="2:31" ht="15.75" customHeight="1" thickBot="1">
      <c r="B24" s="24" t="s">
        <v>33</v>
      </c>
      <c r="C24" s="24" t="s">
        <v>104</v>
      </c>
      <c r="D24" s="233"/>
      <c r="E24" s="234"/>
      <c r="F24" s="233"/>
      <c r="G24" s="234"/>
      <c r="H24" s="235"/>
      <c r="I24" s="234"/>
      <c r="J24" s="235"/>
      <c r="K24" s="234"/>
      <c r="L24" s="233"/>
      <c r="M24" s="236"/>
      <c r="N24" s="234"/>
      <c r="O24" s="233"/>
      <c r="P24" s="236"/>
      <c r="Q24" s="234"/>
      <c r="R24" s="233"/>
      <c r="S24" s="236"/>
      <c r="T24" s="234"/>
      <c r="U24" s="34"/>
      <c r="V24" s="34"/>
      <c r="W24" s="33"/>
      <c r="X24" s="34"/>
      <c r="Y24" s="33"/>
      <c r="Z24" s="34"/>
      <c r="AA24" s="33"/>
    </row>
    <row r="25" spans="2:31">
      <c r="B25" s="135">
        <f>'1. LDC Info'!$F$27-11</f>
        <v>2013</v>
      </c>
      <c r="C25" s="35" t="s">
        <v>109</v>
      </c>
      <c r="D25" s="452">
        <v>3419045</v>
      </c>
      <c r="E25" s="462">
        <v>3722</v>
      </c>
      <c r="F25" s="452">
        <v>1151542</v>
      </c>
      <c r="G25" s="462">
        <v>435</v>
      </c>
      <c r="H25" s="464">
        <v>13202</v>
      </c>
      <c r="I25" s="462">
        <v>34</v>
      </c>
      <c r="J25" s="464"/>
      <c r="K25" s="462"/>
      <c r="L25" s="452">
        <v>3962929</v>
      </c>
      <c r="M25" s="463">
        <v>10081.099999999999</v>
      </c>
      <c r="N25" s="462">
        <v>59</v>
      </c>
      <c r="O25" s="452">
        <v>118692</v>
      </c>
      <c r="P25" s="463">
        <v>258.7</v>
      </c>
      <c r="Q25" s="462">
        <v>1190</v>
      </c>
      <c r="R25" s="464"/>
      <c r="S25" s="463"/>
      <c r="T25" s="462">
        <v>0</v>
      </c>
      <c r="U25" s="464"/>
      <c r="V25" s="463"/>
      <c r="W25" s="462"/>
      <c r="X25" s="181"/>
      <c r="Y25" s="36"/>
      <c r="Z25" s="181"/>
      <c r="AA25" s="36"/>
      <c r="AC25" s="229"/>
      <c r="AE25" s="229">
        <f>E25+G25+N25</f>
        <v>4216</v>
      </c>
    </row>
    <row r="26" spans="2:31">
      <c r="B26" s="135">
        <f>'1. LDC Info'!$F$27-11</f>
        <v>2013</v>
      </c>
      <c r="C26" s="35" t="s">
        <v>110</v>
      </c>
      <c r="D26" s="452">
        <v>2950851</v>
      </c>
      <c r="E26" s="462">
        <v>3723</v>
      </c>
      <c r="F26" s="452">
        <v>1093321</v>
      </c>
      <c r="G26" s="462">
        <v>435</v>
      </c>
      <c r="H26" s="464">
        <v>12947</v>
      </c>
      <c r="I26" s="462">
        <v>33</v>
      </c>
      <c r="J26" s="464"/>
      <c r="K26" s="462"/>
      <c r="L26" s="452">
        <v>3482427</v>
      </c>
      <c r="M26" s="463">
        <v>9537.4999999999982</v>
      </c>
      <c r="N26" s="462">
        <v>59</v>
      </c>
      <c r="O26" s="452">
        <v>107648</v>
      </c>
      <c r="P26" s="463">
        <v>258.7</v>
      </c>
      <c r="Q26" s="462">
        <v>1190</v>
      </c>
      <c r="R26" s="464"/>
      <c r="S26" s="463"/>
      <c r="T26" s="462">
        <v>0</v>
      </c>
      <c r="U26" s="464"/>
      <c r="V26" s="463"/>
      <c r="W26" s="462"/>
      <c r="X26" s="181"/>
      <c r="Y26" s="36"/>
      <c r="Z26" s="181"/>
      <c r="AA26" s="36"/>
      <c r="AE26" s="229">
        <f t="shared" ref="AE26:AE89" si="0">E26+G26+N26</f>
        <v>4217</v>
      </c>
    </row>
    <row r="27" spans="2:31">
      <c r="B27" s="135">
        <f>'1. LDC Info'!$F$27-11</f>
        <v>2013</v>
      </c>
      <c r="C27" s="35" t="s">
        <v>111</v>
      </c>
      <c r="D27" s="452">
        <v>2804468</v>
      </c>
      <c r="E27" s="462">
        <v>3723</v>
      </c>
      <c r="F27" s="452">
        <v>1018555</v>
      </c>
      <c r="G27" s="462">
        <v>435</v>
      </c>
      <c r="H27" s="464">
        <v>12947</v>
      </c>
      <c r="I27" s="462">
        <v>33</v>
      </c>
      <c r="J27" s="464"/>
      <c r="K27" s="462"/>
      <c r="L27" s="452">
        <v>3752994</v>
      </c>
      <c r="M27" s="463">
        <v>9484.3999999999978</v>
      </c>
      <c r="N27" s="462">
        <v>59</v>
      </c>
      <c r="O27" s="452">
        <v>96617</v>
      </c>
      <c r="P27" s="463">
        <v>258.7</v>
      </c>
      <c r="Q27" s="462">
        <v>1190</v>
      </c>
      <c r="R27" s="464"/>
      <c r="S27" s="463"/>
      <c r="T27" s="462">
        <v>0</v>
      </c>
      <c r="U27" s="464"/>
      <c r="V27" s="463"/>
      <c r="W27" s="462"/>
      <c r="X27" s="181"/>
      <c r="Y27" s="36"/>
      <c r="Z27" s="181"/>
      <c r="AA27" s="36"/>
      <c r="AE27" s="229">
        <f t="shared" si="0"/>
        <v>4217</v>
      </c>
    </row>
    <row r="28" spans="2:31">
      <c r="B28" s="135">
        <f>'1. LDC Info'!$F$27-11</f>
        <v>2013</v>
      </c>
      <c r="C28" s="35" t="s">
        <v>112</v>
      </c>
      <c r="D28" s="452">
        <v>2240885</v>
      </c>
      <c r="E28" s="462">
        <v>3724</v>
      </c>
      <c r="F28" s="452">
        <v>950166</v>
      </c>
      <c r="G28" s="462">
        <v>435</v>
      </c>
      <c r="H28" s="464">
        <v>12947</v>
      </c>
      <c r="I28" s="462">
        <v>33</v>
      </c>
      <c r="J28" s="464"/>
      <c r="K28" s="462"/>
      <c r="L28" s="452">
        <v>3503680</v>
      </c>
      <c r="M28" s="463">
        <v>9517.6999999999989</v>
      </c>
      <c r="N28" s="462">
        <v>59</v>
      </c>
      <c r="O28" s="452">
        <v>80835</v>
      </c>
      <c r="P28" s="463">
        <v>258.7</v>
      </c>
      <c r="Q28" s="462">
        <v>1190</v>
      </c>
      <c r="R28" s="464"/>
      <c r="S28" s="463"/>
      <c r="T28" s="462">
        <v>0</v>
      </c>
      <c r="U28" s="464"/>
      <c r="V28" s="463"/>
      <c r="W28" s="462"/>
      <c r="X28" s="181"/>
      <c r="Y28" s="36"/>
      <c r="Z28" s="181"/>
      <c r="AA28" s="36"/>
      <c r="AE28" s="229">
        <f t="shared" si="0"/>
        <v>4218</v>
      </c>
    </row>
    <row r="29" spans="2:31">
      <c r="B29" s="135">
        <f>'1. LDC Info'!$F$27-11</f>
        <v>2013</v>
      </c>
      <c r="C29" s="35" t="s">
        <v>113</v>
      </c>
      <c r="D29" s="452">
        <v>1961453</v>
      </c>
      <c r="E29" s="462">
        <v>3725</v>
      </c>
      <c r="F29" s="452">
        <v>860520</v>
      </c>
      <c r="G29" s="462">
        <v>435</v>
      </c>
      <c r="H29" s="464">
        <v>12947</v>
      </c>
      <c r="I29" s="462">
        <v>33</v>
      </c>
      <c r="J29" s="464"/>
      <c r="K29" s="462"/>
      <c r="L29" s="452">
        <v>3590064</v>
      </c>
      <c r="M29" s="463">
        <v>9927.0999999999985</v>
      </c>
      <c r="N29" s="462">
        <v>59</v>
      </c>
      <c r="O29" s="452">
        <v>72685</v>
      </c>
      <c r="P29" s="463">
        <v>258.7</v>
      </c>
      <c r="Q29" s="462">
        <v>1190</v>
      </c>
      <c r="R29" s="464"/>
      <c r="S29" s="463"/>
      <c r="T29" s="462">
        <v>0</v>
      </c>
      <c r="U29" s="464"/>
      <c r="V29" s="463"/>
      <c r="W29" s="462"/>
      <c r="X29" s="181"/>
      <c r="Y29" s="36"/>
      <c r="Z29" s="181"/>
      <c r="AA29" s="36"/>
      <c r="AE29" s="229">
        <f t="shared" si="0"/>
        <v>4219</v>
      </c>
    </row>
    <row r="30" spans="2:31">
      <c r="B30" s="135">
        <f>'1. LDC Info'!$F$27-11</f>
        <v>2013</v>
      </c>
      <c r="C30" s="35" t="s">
        <v>114</v>
      </c>
      <c r="D30" s="452">
        <v>1917707</v>
      </c>
      <c r="E30" s="462">
        <v>3726</v>
      </c>
      <c r="F30" s="452">
        <v>973318</v>
      </c>
      <c r="G30" s="462">
        <v>435</v>
      </c>
      <c r="H30" s="464">
        <v>12947</v>
      </c>
      <c r="I30" s="462">
        <v>33</v>
      </c>
      <c r="J30" s="464"/>
      <c r="K30" s="462"/>
      <c r="L30" s="452">
        <v>3567291</v>
      </c>
      <c r="M30" s="463">
        <v>9827.0999999999985</v>
      </c>
      <c r="N30" s="462">
        <v>59</v>
      </c>
      <c r="O30" s="452">
        <v>64148</v>
      </c>
      <c r="P30" s="463">
        <v>258.7</v>
      </c>
      <c r="Q30" s="462">
        <v>1190</v>
      </c>
      <c r="R30" s="464"/>
      <c r="S30" s="463"/>
      <c r="T30" s="462">
        <v>0</v>
      </c>
      <c r="U30" s="464"/>
      <c r="V30" s="463"/>
      <c r="W30" s="462"/>
      <c r="X30" s="181"/>
      <c r="Y30" s="36"/>
      <c r="Z30" s="181"/>
      <c r="AA30" s="36"/>
      <c r="AE30" s="229">
        <f t="shared" si="0"/>
        <v>4220</v>
      </c>
    </row>
    <row r="31" spans="2:31">
      <c r="B31" s="135">
        <f>'1. LDC Info'!$F$27-11</f>
        <v>2013</v>
      </c>
      <c r="C31" s="35" t="s">
        <v>115</v>
      </c>
      <c r="D31" s="452">
        <v>2624105</v>
      </c>
      <c r="E31" s="462">
        <v>3726</v>
      </c>
      <c r="F31" s="452">
        <v>888859</v>
      </c>
      <c r="G31" s="462">
        <v>436</v>
      </c>
      <c r="H31" s="464">
        <v>12947</v>
      </c>
      <c r="I31" s="462">
        <v>33</v>
      </c>
      <c r="J31" s="464"/>
      <c r="K31" s="462"/>
      <c r="L31" s="452">
        <v>3891164</v>
      </c>
      <c r="M31" s="463">
        <v>9816.6999999999989</v>
      </c>
      <c r="N31" s="462">
        <v>59</v>
      </c>
      <c r="O31" s="452">
        <v>69710</v>
      </c>
      <c r="P31" s="463">
        <v>258.7</v>
      </c>
      <c r="Q31" s="462">
        <v>1190</v>
      </c>
      <c r="R31" s="464"/>
      <c r="S31" s="463"/>
      <c r="T31" s="462">
        <v>0</v>
      </c>
      <c r="U31" s="464"/>
      <c r="V31" s="463"/>
      <c r="W31" s="462"/>
      <c r="X31" s="181"/>
      <c r="Y31" s="36"/>
      <c r="Z31" s="181"/>
      <c r="AA31" s="36"/>
      <c r="AE31" s="229">
        <f t="shared" si="0"/>
        <v>4221</v>
      </c>
    </row>
    <row r="32" spans="2:31">
      <c r="B32" s="135">
        <f>'1. LDC Info'!$F$27-11</f>
        <v>2013</v>
      </c>
      <c r="C32" s="35" t="s">
        <v>116</v>
      </c>
      <c r="D32" s="452">
        <v>2165514</v>
      </c>
      <c r="E32" s="462">
        <v>3727</v>
      </c>
      <c r="F32" s="452">
        <v>908420</v>
      </c>
      <c r="G32" s="462">
        <v>436</v>
      </c>
      <c r="H32" s="464">
        <v>12947</v>
      </c>
      <c r="I32" s="462">
        <v>33</v>
      </c>
      <c r="J32" s="464"/>
      <c r="K32" s="462"/>
      <c r="L32" s="452">
        <v>3781799</v>
      </c>
      <c r="M32" s="463">
        <v>9649.1999999999989</v>
      </c>
      <c r="N32" s="462">
        <v>59</v>
      </c>
      <c r="O32" s="452">
        <v>79735</v>
      </c>
      <c r="P32" s="463">
        <v>258.7</v>
      </c>
      <c r="Q32" s="462">
        <v>1190</v>
      </c>
      <c r="R32" s="464"/>
      <c r="S32" s="463"/>
      <c r="T32" s="462">
        <v>0</v>
      </c>
      <c r="U32" s="464"/>
      <c r="V32" s="463"/>
      <c r="W32" s="462"/>
      <c r="X32" s="181"/>
      <c r="Y32" s="36"/>
      <c r="Z32" s="181"/>
      <c r="AA32" s="36"/>
      <c r="AE32" s="229">
        <f t="shared" si="0"/>
        <v>4222</v>
      </c>
    </row>
    <row r="33" spans="2:31">
      <c r="B33" s="135">
        <f>'1. LDC Info'!$F$27-11</f>
        <v>2013</v>
      </c>
      <c r="C33" s="35" t="s">
        <v>106</v>
      </c>
      <c r="D33" s="452">
        <v>1996203</v>
      </c>
      <c r="E33" s="462">
        <v>3728</v>
      </c>
      <c r="F33" s="452">
        <v>809160</v>
      </c>
      <c r="G33" s="462">
        <v>436</v>
      </c>
      <c r="H33" s="464">
        <v>12947</v>
      </c>
      <c r="I33" s="462">
        <v>33</v>
      </c>
      <c r="J33" s="464"/>
      <c r="K33" s="462"/>
      <c r="L33" s="452">
        <v>3441770</v>
      </c>
      <c r="M33" s="463">
        <v>9486.3999999999978</v>
      </c>
      <c r="N33" s="462">
        <v>59</v>
      </c>
      <c r="O33" s="452">
        <v>89050</v>
      </c>
      <c r="P33" s="463">
        <v>258.7</v>
      </c>
      <c r="Q33" s="462">
        <v>1190</v>
      </c>
      <c r="R33" s="464"/>
      <c r="S33" s="463"/>
      <c r="T33" s="462">
        <v>0</v>
      </c>
      <c r="U33" s="464"/>
      <c r="V33" s="463"/>
      <c r="W33" s="462"/>
      <c r="X33" s="181"/>
      <c r="Y33" s="36"/>
      <c r="Z33" s="181"/>
      <c r="AA33" s="36"/>
      <c r="AE33" s="229">
        <f t="shared" si="0"/>
        <v>4223</v>
      </c>
    </row>
    <row r="34" spans="2:31">
      <c r="B34" s="135">
        <f>'1. LDC Info'!$F$27-11</f>
        <v>2013</v>
      </c>
      <c r="C34" s="35" t="s">
        <v>107</v>
      </c>
      <c r="D34" s="452">
        <v>2098986</v>
      </c>
      <c r="E34" s="462">
        <v>3728</v>
      </c>
      <c r="F34" s="452">
        <v>859143</v>
      </c>
      <c r="G34" s="462">
        <v>436</v>
      </c>
      <c r="H34" s="464">
        <v>12947</v>
      </c>
      <c r="I34" s="462">
        <v>33</v>
      </c>
      <c r="J34" s="464"/>
      <c r="K34" s="462"/>
      <c r="L34" s="452">
        <v>3651805</v>
      </c>
      <c r="M34" s="463">
        <v>9388.1999999999989</v>
      </c>
      <c r="N34" s="462">
        <v>59</v>
      </c>
      <c r="O34" s="452">
        <v>105154</v>
      </c>
      <c r="P34" s="463">
        <v>258.7</v>
      </c>
      <c r="Q34" s="462">
        <v>1190</v>
      </c>
      <c r="R34" s="464"/>
      <c r="S34" s="463"/>
      <c r="T34" s="462">
        <v>0</v>
      </c>
      <c r="U34" s="464"/>
      <c r="V34" s="463"/>
      <c r="W34" s="462"/>
      <c r="X34" s="181"/>
      <c r="Y34" s="36"/>
      <c r="Z34" s="181"/>
      <c r="AA34" s="36"/>
      <c r="AE34" s="229">
        <f t="shared" si="0"/>
        <v>4223</v>
      </c>
    </row>
    <row r="35" spans="2:31">
      <c r="B35" s="135">
        <f>'1. LDC Info'!$F$27-11</f>
        <v>2013</v>
      </c>
      <c r="C35" s="35" t="s">
        <v>108</v>
      </c>
      <c r="D35" s="452">
        <v>2738214</v>
      </c>
      <c r="E35" s="462">
        <v>3729</v>
      </c>
      <c r="F35" s="452">
        <v>889999</v>
      </c>
      <c r="G35" s="462">
        <v>436</v>
      </c>
      <c r="H35" s="464">
        <v>12947</v>
      </c>
      <c r="I35" s="462">
        <v>33</v>
      </c>
      <c r="J35" s="464"/>
      <c r="K35" s="462"/>
      <c r="L35" s="452">
        <v>3622883</v>
      </c>
      <c r="M35" s="463">
        <v>9374.2999999999993</v>
      </c>
      <c r="N35" s="462">
        <v>59</v>
      </c>
      <c r="O35" s="452">
        <v>112658</v>
      </c>
      <c r="P35" s="463">
        <v>258.7</v>
      </c>
      <c r="Q35" s="462">
        <v>1190</v>
      </c>
      <c r="R35" s="464"/>
      <c r="S35" s="463"/>
      <c r="T35" s="462">
        <v>0</v>
      </c>
      <c r="U35" s="464"/>
      <c r="V35" s="463"/>
      <c r="W35" s="462"/>
      <c r="X35" s="181"/>
      <c r="Y35" s="36"/>
      <c r="Z35" s="181"/>
      <c r="AA35" s="36"/>
      <c r="AE35" s="229">
        <f t="shared" si="0"/>
        <v>4224</v>
      </c>
    </row>
    <row r="36" spans="2:31">
      <c r="B36" s="135">
        <f>'1. LDC Info'!$F$27-11</f>
        <v>2013</v>
      </c>
      <c r="C36" s="35" t="s">
        <v>105</v>
      </c>
      <c r="D36" s="452">
        <v>3569300</v>
      </c>
      <c r="E36" s="462">
        <v>3730</v>
      </c>
      <c r="F36" s="452">
        <v>1128239</v>
      </c>
      <c r="G36" s="462">
        <v>436</v>
      </c>
      <c r="H36" s="464">
        <v>12947</v>
      </c>
      <c r="I36" s="462">
        <v>33</v>
      </c>
      <c r="J36" s="464"/>
      <c r="K36" s="462"/>
      <c r="L36" s="452">
        <v>3870548</v>
      </c>
      <c r="M36" s="463">
        <v>9722.7999999999993</v>
      </c>
      <c r="N36" s="462">
        <v>59</v>
      </c>
      <c r="O36" s="452">
        <v>121778</v>
      </c>
      <c r="P36" s="463">
        <v>258.7</v>
      </c>
      <c r="Q36" s="462">
        <v>1190</v>
      </c>
      <c r="R36" s="464"/>
      <c r="S36" s="463"/>
      <c r="T36" s="462">
        <v>0</v>
      </c>
      <c r="U36" s="464"/>
      <c r="V36" s="463"/>
      <c r="W36" s="462"/>
      <c r="X36" s="181"/>
      <c r="Y36" s="36"/>
      <c r="Z36" s="181"/>
      <c r="AA36" s="36"/>
      <c r="AE36" s="229">
        <f t="shared" si="0"/>
        <v>4225</v>
      </c>
    </row>
    <row r="37" spans="2:31">
      <c r="B37" s="135">
        <f>'1. LDC Info'!$F$27-10</f>
        <v>2014</v>
      </c>
      <c r="C37" s="35" t="s">
        <v>109</v>
      </c>
      <c r="D37" s="452">
        <v>3700996</v>
      </c>
      <c r="E37" s="462">
        <v>3732</v>
      </c>
      <c r="F37" s="452">
        <v>1169560</v>
      </c>
      <c r="G37" s="462">
        <v>436</v>
      </c>
      <c r="H37" s="465">
        <v>12918</v>
      </c>
      <c r="I37" s="462">
        <v>33</v>
      </c>
      <c r="J37" s="465"/>
      <c r="K37" s="462"/>
      <c r="L37" s="452">
        <v>4015886</v>
      </c>
      <c r="M37" s="463">
        <v>9821.2999999999993</v>
      </c>
      <c r="N37" s="462">
        <v>59</v>
      </c>
      <c r="O37" s="452">
        <v>118882</v>
      </c>
      <c r="P37" s="463">
        <v>258.7</v>
      </c>
      <c r="Q37" s="462">
        <v>1190</v>
      </c>
      <c r="R37" s="464"/>
      <c r="S37" s="463"/>
      <c r="T37" s="462">
        <v>0</v>
      </c>
      <c r="U37" s="465"/>
      <c r="V37" s="463"/>
      <c r="W37" s="462"/>
      <c r="X37" s="181"/>
      <c r="Y37" s="36"/>
      <c r="Z37" s="181"/>
      <c r="AA37" s="36"/>
      <c r="AE37" s="229">
        <f t="shared" si="0"/>
        <v>4227</v>
      </c>
    </row>
    <row r="38" spans="2:31">
      <c r="B38" s="135">
        <f>'1. LDC Info'!$F$27-10</f>
        <v>2014</v>
      </c>
      <c r="C38" s="35" t="s">
        <v>110</v>
      </c>
      <c r="D38" s="452">
        <v>2997869</v>
      </c>
      <c r="E38" s="462">
        <v>3734</v>
      </c>
      <c r="F38" s="452">
        <v>1108139</v>
      </c>
      <c r="G38" s="462">
        <v>434</v>
      </c>
      <c r="H38" s="465">
        <v>12918</v>
      </c>
      <c r="I38" s="462">
        <v>33</v>
      </c>
      <c r="J38" s="465"/>
      <c r="K38" s="462"/>
      <c r="L38" s="452">
        <v>3593828</v>
      </c>
      <c r="M38" s="463">
        <v>9564.5</v>
      </c>
      <c r="N38" s="462">
        <v>59</v>
      </c>
      <c r="O38" s="452">
        <v>107821</v>
      </c>
      <c r="P38" s="463">
        <v>258.7</v>
      </c>
      <c r="Q38" s="462">
        <v>1190</v>
      </c>
      <c r="R38" s="464"/>
      <c r="S38" s="463"/>
      <c r="T38" s="462">
        <v>0</v>
      </c>
      <c r="U38" s="465"/>
      <c r="V38" s="463"/>
      <c r="W38" s="462"/>
      <c r="X38" s="181"/>
      <c r="Y38" s="36"/>
      <c r="Z38" s="181"/>
      <c r="AA38" s="36"/>
      <c r="AE38" s="229">
        <f t="shared" si="0"/>
        <v>4227</v>
      </c>
    </row>
    <row r="39" spans="2:31">
      <c r="B39" s="135">
        <f>'1. LDC Info'!$F$27-10</f>
        <v>2014</v>
      </c>
      <c r="C39" s="35" t="s">
        <v>111</v>
      </c>
      <c r="D39" s="452">
        <v>3135074</v>
      </c>
      <c r="E39" s="462">
        <v>3737</v>
      </c>
      <c r="F39" s="452">
        <v>1100430</v>
      </c>
      <c r="G39" s="462">
        <v>434</v>
      </c>
      <c r="H39" s="465">
        <v>12918</v>
      </c>
      <c r="I39" s="462">
        <v>33</v>
      </c>
      <c r="J39" s="465"/>
      <c r="K39" s="462"/>
      <c r="L39" s="452">
        <v>3848846</v>
      </c>
      <c r="M39" s="463">
        <v>9498.4</v>
      </c>
      <c r="N39" s="462">
        <v>59</v>
      </c>
      <c r="O39" s="452">
        <v>96632</v>
      </c>
      <c r="P39" s="463">
        <v>258.7</v>
      </c>
      <c r="Q39" s="462">
        <v>1190</v>
      </c>
      <c r="R39" s="464"/>
      <c r="S39" s="463"/>
      <c r="T39" s="462">
        <v>0</v>
      </c>
      <c r="U39" s="465"/>
      <c r="V39" s="463"/>
      <c r="W39" s="462"/>
      <c r="X39" s="181"/>
      <c r="Y39" s="36"/>
      <c r="Z39" s="181"/>
      <c r="AA39" s="36"/>
      <c r="AE39" s="229">
        <f t="shared" si="0"/>
        <v>4230</v>
      </c>
    </row>
    <row r="40" spans="2:31">
      <c r="B40" s="135">
        <f>'1. LDC Info'!$F$27-10</f>
        <v>2014</v>
      </c>
      <c r="C40" s="35" t="s">
        <v>112</v>
      </c>
      <c r="D40" s="452">
        <v>2232958</v>
      </c>
      <c r="E40" s="462">
        <v>3739</v>
      </c>
      <c r="F40" s="452">
        <v>929018</v>
      </c>
      <c r="G40" s="462">
        <v>434</v>
      </c>
      <c r="H40" s="465">
        <v>12919</v>
      </c>
      <c r="I40" s="462">
        <v>33</v>
      </c>
      <c r="J40" s="465"/>
      <c r="K40" s="462"/>
      <c r="L40" s="452">
        <v>3386148</v>
      </c>
      <c r="M40" s="463">
        <v>9240.0999999999985</v>
      </c>
      <c r="N40" s="462">
        <v>59</v>
      </c>
      <c r="O40" s="452">
        <v>80851</v>
      </c>
      <c r="P40" s="463">
        <v>258.7</v>
      </c>
      <c r="Q40" s="462">
        <v>1190</v>
      </c>
      <c r="R40" s="464"/>
      <c r="S40" s="463"/>
      <c r="T40" s="462">
        <v>0</v>
      </c>
      <c r="U40" s="465"/>
      <c r="V40" s="463"/>
      <c r="W40" s="462"/>
      <c r="X40" s="181"/>
      <c r="Y40" s="36"/>
      <c r="Z40" s="181"/>
      <c r="AA40" s="36"/>
      <c r="AE40" s="229">
        <f t="shared" si="0"/>
        <v>4232</v>
      </c>
    </row>
    <row r="41" spans="2:31">
      <c r="B41" s="135">
        <f>'1. LDC Info'!$F$27-10</f>
        <v>2014</v>
      </c>
      <c r="C41" s="35" t="s">
        <v>113</v>
      </c>
      <c r="D41" s="452">
        <v>1934533</v>
      </c>
      <c r="E41" s="462">
        <v>3741</v>
      </c>
      <c r="F41" s="452">
        <v>825341</v>
      </c>
      <c r="G41" s="462">
        <v>431</v>
      </c>
      <c r="H41" s="465">
        <v>12918</v>
      </c>
      <c r="I41" s="462">
        <v>33</v>
      </c>
      <c r="J41" s="465"/>
      <c r="K41" s="462"/>
      <c r="L41" s="452">
        <v>3462381</v>
      </c>
      <c r="M41" s="463">
        <v>9760.7999999999993</v>
      </c>
      <c r="N41" s="462">
        <v>60</v>
      </c>
      <c r="O41" s="452">
        <v>72700</v>
      </c>
      <c r="P41" s="463">
        <v>258.7</v>
      </c>
      <c r="Q41" s="462">
        <v>1190</v>
      </c>
      <c r="R41" s="464"/>
      <c r="S41" s="463"/>
      <c r="T41" s="462">
        <v>0</v>
      </c>
      <c r="U41" s="465"/>
      <c r="V41" s="463"/>
      <c r="W41" s="462"/>
      <c r="X41" s="181"/>
      <c r="Y41" s="36"/>
      <c r="Z41" s="181"/>
      <c r="AA41" s="36"/>
      <c r="AE41" s="229">
        <f t="shared" si="0"/>
        <v>4232</v>
      </c>
    </row>
    <row r="42" spans="2:31">
      <c r="B42" s="135">
        <f>'1. LDC Info'!$F$27-10</f>
        <v>2014</v>
      </c>
      <c r="C42" s="35" t="s">
        <v>114</v>
      </c>
      <c r="D42" s="452">
        <v>2012232</v>
      </c>
      <c r="E42" s="462">
        <v>3743</v>
      </c>
      <c r="F42" s="452">
        <v>881584</v>
      </c>
      <c r="G42" s="462">
        <v>431</v>
      </c>
      <c r="H42" s="465">
        <v>12918</v>
      </c>
      <c r="I42" s="462">
        <v>33</v>
      </c>
      <c r="J42" s="465"/>
      <c r="K42" s="462"/>
      <c r="L42" s="452">
        <v>3614005</v>
      </c>
      <c r="M42" s="463">
        <v>8459.4</v>
      </c>
      <c r="N42" s="462">
        <v>60</v>
      </c>
      <c r="O42" s="452">
        <v>64163</v>
      </c>
      <c r="P42" s="463">
        <v>258.7</v>
      </c>
      <c r="Q42" s="462">
        <v>1190</v>
      </c>
      <c r="R42" s="464"/>
      <c r="S42" s="463"/>
      <c r="T42" s="462">
        <v>0</v>
      </c>
      <c r="U42" s="465"/>
      <c r="V42" s="463"/>
      <c r="W42" s="462"/>
      <c r="X42" s="181"/>
      <c r="Y42" s="36"/>
      <c r="Z42" s="181"/>
      <c r="AA42" s="36"/>
      <c r="AE42" s="229">
        <f t="shared" si="0"/>
        <v>4234</v>
      </c>
    </row>
    <row r="43" spans="2:31">
      <c r="B43" s="135">
        <f>'1. LDC Info'!$F$27-10</f>
        <v>2014</v>
      </c>
      <c r="C43" s="35" t="s">
        <v>115</v>
      </c>
      <c r="D43" s="452">
        <v>2212930</v>
      </c>
      <c r="E43" s="462">
        <v>3745</v>
      </c>
      <c r="F43" s="452">
        <v>877658</v>
      </c>
      <c r="G43" s="462">
        <v>431</v>
      </c>
      <c r="H43" s="465">
        <v>12918</v>
      </c>
      <c r="I43" s="462">
        <v>33</v>
      </c>
      <c r="J43" s="465"/>
      <c r="K43" s="462"/>
      <c r="L43" s="452">
        <v>3684049</v>
      </c>
      <c r="M43" s="463">
        <v>9700.0999999999985</v>
      </c>
      <c r="N43" s="462">
        <v>60</v>
      </c>
      <c r="O43" s="452">
        <v>69994</v>
      </c>
      <c r="P43" s="463">
        <v>258.7</v>
      </c>
      <c r="Q43" s="462">
        <v>1190</v>
      </c>
      <c r="R43" s="464"/>
      <c r="S43" s="463"/>
      <c r="T43" s="462">
        <v>0</v>
      </c>
      <c r="U43" s="465"/>
      <c r="V43" s="463"/>
      <c r="W43" s="462"/>
      <c r="X43" s="181"/>
      <c r="Y43" s="36"/>
      <c r="Z43" s="181"/>
      <c r="AA43" s="36"/>
      <c r="AE43" s="229">
        <f t="shared" si="0"/>
        <v>4236</v>
      </c>
    </row>
    <row r="44" spans="2:31">
      <c r="B44" s="135">
        <f>'1. LDC Info'!$F$27-10</f>
        <v>2014</v>
      </c>
      <c r="C44" s="35" t="s">
        <v>116</v>
      </c>
      <c r="D44" s="452">
        <v>2131998</v>
      </c>
      <c r="E44" s="462">
        <v>3748</v>
      </c>
      <c r="F44" s="452">
        <v>893558</v>
      </c>
      <c r="G44" s="462">
        <v>431</v>
      </c>
      <c r="H44" s="465">
        <v>12919</v>
      </c>
      <c r="I44" s="462">
        <v>33</v>
      </c>
      <c r="J44" s="465"/>
      <c r="K44" s="462"/>
      <c r="L44" s="452">
        <v>3566443</v>
      </c>
      <c r="M44" s="463">
        <v>9560.9000000000015</v>
      </c>
      <c r="N44" s="462">
        <v>60</v>
      </c>
      <c r="O44" s="452">
        <v>80069</v>
      </c>
      <c r="P44" s="463">
        <v>259.8</v>
      </c>
      <c r="Q44" s="462">
        <v>1190</v>
      </c>
      <c r="R44" s="464"/>
      <c r="S44" s="463"/>
      <c r="T44" s="462">
        <v>0</v>
      </c>
      <c r="U44" s="465"/>
      <c r="V44" s="463"/>
      <c r="W44" s="462"/>
      <c r="X44" s="181"/>
      <c r="Y44" s="36"/>
      <c r="Z44" s="181"/>
      <c r="AA44" s="36"/>
      <c r="AE44" s="229">
        <f t="shared" si="0"/>
        <v>4239</v>
      </c>
    </row>
    <row r="45" spans="2:31">
      <c r="B45" s="135">
        <f>'1. LDC Info'!$F$27-10</f>
        <v>2014</v>
      </c>
      <c r="C45" s="35" t="s">
        <v>106</v>
      </c>
      <c r="D45" s="452">
        <v>1956637</v>
      </c>
      <c r="E45" s="462">
        <v>3750</v>
      </c>
      <c r="F45" s="452">
        <v>794367</v>
      </c>
      <c r="G45" s="462">
        <v>431</v>
      </c>
      <c r="H45" s="465">
        <v>12918</v>
      </c>
      <c r="I45" s="462">
        <v>33</v>
      </c>
      <c r="J45" s="465"/>
      <c r="K45" s="462"/>
      <c r="L45" s="452">
        <v>3531265</v>
      </c>
      <c r="M45" s="463">
        <v>9698.5</v>
      </c>
      <c r="N45" s="462">
        <v>61</v>
      </c>
      <c r="O45" s="452">
        <v>89419</v>
      </c>
      <c r="P45" s="463">
        <v>259.8</v>
      </c>
      <c r="Q45" s="462">
        <v>1190</v>
      </c>
      <c r="R45" s="464"/>
      <c r="S45" s="463"/>
      <c r="T45" s="462">
        <v>0</v>
      </c>
      <c r="U45" s="465"/>
      <c r="V45" s="463"/>
      <c r="W45" s="462"/>
      <c r="X45" s="181"/>
      <c r="Y45" s="36"/>
      <c r="Z45" s="181"/>
      <c r="AA45" s="36"/>
      <c r="AE45" s="229">
        <f t="shared" si="0"/>
        <v>4242</v>
      </c>
    </row>
    <row r="46" spans="2:31">
      <c r="B46" s="135">
        <f>'1. LDC Info'!$F$27-10</f>
        <v>2014</v>
      </c>
      <c r="C46" s="35" t="s">
        <v>107</v>
      </c>
      <c r="D46" s="452">
        <v>2059738</v>
      </c>
      <c r="E46" s="462">
        <v>3752</v>
      </c>
      <c r="F46" s="452">
        <v>829622</v>
      </c>
      <c r="G46" s="462">
        <v>429</v>
      </c>
      <c r="H46" s="465">
        <v>12918</v>
      </c>
      <c r="I46" s="462">
        <v>33</v>
      </c>
      <c r="J46" s="465"/>
      <c r="K46" s="462"/>
      <c r="L46" s="452">
        <v>3650979</v>
      </c>
      <c r="M46" s="463">
        <v>9521.2000000000007</v>
      </c>
      <c r="N46" s="462">
        <v>61</v>
      </c>
      <c r="O46" s="452">
        <v>105588</v>
      </c>
      <c r="P46" s="463">
        <v>259.8</v>
      </c>
      <c r="Q46" s="462">
        <v>1190</v>
      </c>
      <c r="R46" s="464"/>
      <c r="S46" s="463"/>
      <c r="T46" s="462">
        <v>0</v>
      </c>
      <c r="U46" s="465"/>
      <c r="V46" s="463"/>
      <c r="W46" s="462"/>
      <c r="X46" s="181"/>
      <c r="Y46" s="36"/>
      <c r="Z46" s="181"/>
      <c r="AA46" s="36"/>
      <c r="AE46" s="229">
        <f t="shared" si="0"/>
        <v>4242</v>
      </c>
    </row>
    <row r="47" spans="2:31">
      <c r="B47" s="135">
        <f>'1. LDC Info'!$F$27-10</f>
        <v>2014</v>
      </c>
      <c r="C47" s="35" t="s">
        <v>108</v>
      </c>
      <c r="D47" s="452">
        <v>2588061</v>
      </c>
      <c r="E47" s="462">
        <v>3754</v>
      </c>
      <c r="F47" s="452">
        <v>851469</v>
      </c>
      <c r="G47" s="462">
        <v>429</v>
      </c>
      <c r="H47" s="465">
        <v>12918</v>
      </c>
      <c r="I47" s="462">
        <v>33</v>
      </c>
      <c r="J47" s="465"/>
      <c r="K47" s="462"/>
      <c r="L47" s="452">
        <v>3525045</v>
      </c>
      <c r="M47" s="463">
        <v>9538.9000000000015</v>
      </c>
      <c r="N47" s="462">
        <v>61</v>
      </c>
      <c r="O47" s="452">
        <v>113121</v>
      </c>
      <c r="P47" s="463">
        <v>259.8</v>
      </c>
      <c r="Q47" s="462">
        <v>1190</v>
      </c>
      <c r="R47" s="464"/>
      <c r="S47" s="463"/>
      <c r="T47" s="462">
        <v>0</v>
      </c>
      <c r="U47" s="465"/>
      <c r="V47" s="463"/>
      <c r="W47" s="462"/>
      <c r="X47" s="181"/>
      <c r="Y47" s="36"/>
      <c r="Z47" s="181"/>
      <c r="AA47" s="36"/>
      <c r="AE47" s="229">
        <f t="shared" si="0"/>
        <v>4244</v>
      </c>
    </row>
    <row r="48" spans="2:31">
      <c r="B48" s="135">
        <f>'1. LDC Info'!$F$27-10</f>
        <v>2014</v>
      </c>
      <c r="C48" s="35" t="s">
        <v>105</v>
      </c>
      <c r="D48" s="452">
        <v>3073985</v>
      </c>
      <c r="E48" s="462">
        <v>3756</v>
      </c>
      <c r="F48" s="452">
        <v>1033379</v>
      </c>
      <c r="G48" s="462">
        <v>429</v>
      </c>
      <c r="H48" s="464">
        <v>12919</v>
      </c>
      <c r="I48" s="462">
        <v>33</v>
      </c>
      <c r="J48" s="464"/>
      <c r="K48" s="462"/>
      <c r="L48" s="452">
        <v>3761749</v>
      </c>
      <c r="M48" s="463">
        <v>9816</v>
      </c>
      <c r="N48" s="462">
        <v>61</v>
      </c>
      <c r="O48" s="452">
        <v>122279</v>
      </c>
      <c r="P48" s="463">
        <v>259.8</v>
      </c>
      <c r="Q48" s="462">
        <v>1190</v>
      </c>
      <c r="R48" s="464"/>
      <c r="S48" s="463"/>
      <c r="T48" s="462">
        <v>0</v>
      </c>
      <c r="U48" s="464"/>
      <c r="V48" s="463"/>
      <c r="W48" s="462"/>
      <c r="X48" s="181"/>
      <c r="Y48" s="36"/>
      <c r="Z48" s="181"/>
      <c r="AA48" s="36"/>
      <c r="AE48" s="229">
        <f t="shared" si="0"/>
        <v>4246</v>
      </c>
    </row>
    <row r="49" spans="2:31">
      <c r="B49" s="135">
        <f>'1. LDC Info'!$F$27-9</f>
        <v>2015</v>
      </c>
      <c r="C49" s="35" t="s">
        <v>109</v>
      </c>
      <c r="D49" s="452">
        <v>3641077</v>
      </c>
      <c r="E49" s="462">
        <v>3756</v>
      </c>
      <c r="F49" s="452">
        <v>1119187</v>
      </c>
      <c r="G49" s="462">
        <v>429</v>
      </c>
      <c r="H49" s="465">
        <v>12947</v>
      </c>
      <c r="I49" s="462">
        <v>33</v>
      </c>
      <c r="J49" s="465"/>
      <c r="K49" s="462"/>
      <c r="L49" s="452">
        <v>4131569</v>
      </c>
      <c r="M49" s="463">
        <v>10149.200000000001</v>
      </c>
      <c r="N49" s="462">
        <v>61</v>
      </c>
      <c r="O49" s="452">
        <v>119355</v>
      </c>
      <c r="P49" s="463">
        <v>259.8</v>
      </c>
      <c r="Q49" s="462">
        <v>1190</v>
      </c>
      <c r="R49" s="464"/>
      <c r="S49" s="463"/>
      <c r="T49" s="462">
        <v>0</v>
      </c>
      <c r="U49" s="465"/>
      <c r="V49" s="463"/>
      <c r="W49" s="462"/>
      <c r="X49" s="181"/>
      <c r="Y49" s="36"/>
      <c r="Z49" s="181"/>
      <c r="AA49" s="36"/>
      <c r="AE49" s="229">
        <f t="shared" si="0"/>
        <v>4246</v>
      </c>
    </row>
    <row r="50" spans="2:31">
      <c r="B50" s="135">
        <f>'1. LDC Info'!$F$27-9</f>
        <v>2015</v>
      </c>
      <c r="C50" s="35" t="s">
        <v>110</v>
      </c>
      <c r="D50" s="452">
        <v>3368271</v>
      </c>
      <c r="E50" s="462">
        <v>3757</v>
      </c>
      <c r="F50" s="452">
        <v>1122313</v>
      </c>
      <c r="G50" s="462">
        <v>428</v>
      </c>
      <c r="H50" s="465">
        <v>12947</v>
      </c>
      <c r="I50" s="462">
        <v>33</v>
      </c>
      <c r="J50" s="465"/>
      <c r="K50" s="462"/>
      <c r="L50" s="452">
        <v>3852713</v>
      </c>
      <c r="M50" s="463">
        <v>10038.1</v>
      </c>
      <c r="N50" s="462">
        <v>62</v>
      </c>
      <c r="O50" s="452">
        <v>108251</v>
      </c>
      <c r="P50" s="463">
        <v>259.8</v>
      </c>
      <c r="Q50" s="462">
        <v>1190</v>
      </c>
      <c r="R50" s="464"/>
      <c r="S50" s="463"/>
      <c r="T50" s="462">
        <v>0</v>
      </c>
      <c r="U50" s="465"/>
      <c r="V50" s="463"/>
      <c r="W50" s="462"/>
      <c r="X50" s="181"/>
      <c r="Y50" s="36"/>
      <c r="Z50" s="181"/>
      <c r="AA50" s="36"/>
      <c r="AE50" s="229">
        <f t="shared" si="0"/>
        <v>4247</v>
      </c>
    </row>
    <row r="51" spans="2:31">
      <c r="B51" s="135">
        <f>'1. LDC Info'!$F$27-9</f>
        <v>2015</v>
      </c>
      <c r="C51" s="35" t="s">
        <v>111</v>
      </c>
      <c r="D51" s="452">
        <v>2944310</v>
      </c>
      <c r="E51" s="462">
        <v>3759</v>
      </c>
      <c r="F51" s="452">
        <v>1015103</v>
      </c>
      <c r="G51" s="462">
        <v>428</v>
      </c>
      <c r="H51" s="465">
        <v>12947</v>
      </c>
      <c r="I51" s="462">
        <v>33</v>
      </c>
      <c r="J51" s="465"/>
      <c r="K51" s="462"/>
      <c r="L51" s="452">
        <v>4047106</v>
      </c>
      <c r="M51" s="463">
        <v>9349.2000000000007</v>
      </c>
      <c r="N51" s="462">
        <v>62</v>
      </c>
      <c r="O51" s="452">
        <v>97017</v>
      </c>
      <c r="P51" s="463">
        <v>259.8</v>
      </c>
      <c r="Q51" s="462">
        <v>1190</v>
      </c>
      <c r="R51" s="464"/>
      <c r="S51" s="463"/>
      <c r="T51" s="462">
        <v>0</v>
      </c>
      <c r="U51" s="465"/>
      <c r="V51" s="463"/>
      <c r="W51" s="462"/>
      <c r="X51" s="181"/>
      <c r="Y51" s="36"/>
      <c r="Z51" s="181"/>
      <c r="AA51" s="36"/>
      <c r="AE51" s="229">
        <f t="shared" si="0"/>
        <v>4249</v>
      </c>
    </row>
    <row r="52" spans="2:31">
      <c r="B52" s="135">
        <f>'1. LDC Info'!$F$27-9</f>
        <v>2015</v>
      </c>
      <c r="C52" s="35" t="s">
        <v>112</v>
      </c>
      <c r="D52" s="452">
        <v>2115977</v>
      </c>
      <c r="E52" s="462">
        <v>3759</v>
      </c>
      <c r="F52" s="452">
        <v>861874</v>
      </c>
      <c r="G52" s="462">
        <v>428</v>
      </c>
      <c r="H52" s="465">
        <v>12947</v>
      </c>
      <c r="I52" s="462">
        <v>33</v>
      </c>
      <c r="J52" s="465"/>
      <c r="K52" s="462"/>
      <c r="L52" s="452">
        <v>3399683</v>
      </c>
      <c r="M52" s="463">
        <v>9137</v>
      </c>
      <c r="N52" s="462">
        <v>62</v>
      </c>
      <c r="O52" s="452">
        <v>81172</v>
      </c>
      <c r="P52" s="463">
        <v>259.8</v>
      </c>
      <c r="Q52" s="462">
        <v>1190</v>
      </c>
      <c r="R52" s="464"/>
      <c r="S52" s="463"/>
      <c r="T52" s="462">
        <v>0</v>
      </c>
      <c r="U52" s="465"/>
      <c r="V52" s="463"/>
      <c r="W52" s="462"/>
      <c r="X52" s="181"/>
      <c r="Y52" s="36"/>
      <c r="Z52" s="181"/>
      <c r="AA52" s="36"/>
      <c r="AE52" s="229">
        <f t="shared" si="0"/>
        <v>4249</v>
      </c>
    </row>
    <row r="53" spans="2:31">
      <c r="B53" s="135">
        <f>'1. LDC Info'!$F$27-9</f>
        <v>2015</v>
      </c>
      <c r="C53" s="35" t="s">
        <v>113</v>
      </c>
      <c r="D53" s="452">
        <v>1969813</v>
      </c>
      <c r="E53" s="462">
        <v>3761</v>
      </c>
      <c r="F53" s="452">
        <v>786211</v>
      </c>
      <c r="G53" s="462">
        <v>427</v>
      </c>
      <c r="H53" s="465">
        <v>12947</v>
      </c>
      <c r="I53" s="462">
        <v>33</v>
      </c>
      <c r="J53" s="465"/>
      <c r="K53" s="462"/>
      <c r="L53" s="452">
        <v>3597117</v>
      </c>
      <c r="M53" s="463">
        <v>9537.5</v>
      </c>
      <c r="N53" s="462">
        <v>62</v>
      </c>
      <c r="O53" s="452">
        <v>72990</v>
      </c>
      <c r="P53" s="463">
        <v>259.8</v>
      </c>
      <c r="Q53" s="462">
        <v>1190</v>
      </c>
      <c r="R53" s="464"/>
      <c r="S53" s="463"/>
      <c r="T53" s="462">
        <v>0</v>
      </c>
      <c r="U53" s="465"/>
      <c r="V53" s="463"/>
      <c r="W53" s="462"/>
      <c r="X53" s="181"/>
      <c r="Y53" s="36"/>
      <c r="Z53" s="181"/>
      <c r="AA53" s="36"/>
      <c r="AE53" s="229">
        <f t="shared" si="0"/>
        <v>4250</v>
      </c>
    </row>
    <row r="54" spans="2:31">
      <c r="B54" s="135">
        <f>'1. LDC Info'!$F$27-9</f>
        <v>2015</v>
      </c>
      <c r="C54" s="35" t="s">
        <v>114</v>
      </c>
      <c r="D54" s="452">
        <v>1837743</v>
      </c>
      <c r="E54" s="462">
        <v>3761</v>
      </c>
      <c r="F54" s="452">
        <v>833207</v>
      </c>
      <c r="G54" s="462">
        <v>427</v>
      </c>
      <c r="H54" s="465">
        <v>12947</v>
      </c>
      <c r="I54" s="462">
        <v>33</v>
      </c>
      <c r="J54" s="465"/>
      <c r="K54" s="462"/>
      <c r="L54" s="452">
        <v>3662217</v>
      </c>
      <c r="M54" s="463">
        <v>9872.2000000000007</v>
      </c>
      <c r="N54" s="462">
        <v>62</v>
      </c>
      <c r="O54" s="452">
        <v>64418</v>
      </c>
      <c r="P54" s="463">
        <v>259.8</v>
      </c>
      <c r="Q54" s="462">
        <v>1190</v>
      </c>
      <c r="R54" s="464"/>
      <c r="S54" s="463"/>
      <c r="T54" s="462">
        <v>0</v>
      </c>
      <c r="U54" s="465"/>
      <c r="V54" s="463"/>
      <c r="W54" s="462"/>
      <c r="X54" s="181"/>
      <c r="Y54" s="36"/>
      <c r="Z54" s="181"/>
      <c r="AA54" s="36"/>
      <c r="AE54" s="229">
        <f t="shared" si="0"/>
        <v>4250</v>
      </c>
    </row>
    <row r="55" spans="2:31">
      <c r="B55" s="135">
        <f>'1. LDC Info'!$F$27-9</f>
        <v>2015</v>
      </c>
      <c r="C55" s="35" t="s">
        <v>115</v>
      </c>
      <c r="D55" s="452">
        <v>2455341</v>
      </c>
      <c r="E55" s="462">
        <v>3763</v>
      </c>
      <c r="F55" s="452">
        <v>882853</v>
      </c>
      <c r="G55" s="462">
        <v>428</v>
      </c>
      <c r="H55" s="465">
        <v>12947</v>
      </c>
      <c r="I55" s="462">
        <v>33</v>
      </c>
      <c r="J55" s="465"/>
      <c r="K55" s="462"/>
      <c r="L55" s="452">
        <v>4036078</v>
      </c>
      <c r="M55" s="463">
        <v>9843.7999999999993</v>
      </c>
      <c r="N55" s="462">
        <v>62</v>
      </c>
      <c r="O55" s="452">
        <v>70005</v>
      </c>
      <c r="P55" s="463">
        <v>259.8</v>
      </c>
      <c r="Q55" s="462">
        <v>1190</v>
      </c>
      <c r="R55" s="464"/>
      <c r="S55" s="463"/>
      <c r="T55" s="462">
        <v>0</v>
      </c>
      <c r="U55" s="465"/>
      <c r="V55" s="463"/>
      <c r="W55" s="462"/>
      <c r="X55" s="181"/>
      <c r="Y55" s="36"/>
      <c r="Z55" s="181"/>
      <c r="AA55" s="36"/>
      <c r="AE55" s="229">
        <f t="shared" si="0"/>
        <v>4253</v>
      </c>
    </row>
    <row r="56" spans="2:31">
      <c r="B56" s="135">
        <f>'1. LDC Info'!$F$27-9</f>
        <v>2015</v>
      </c>
      <c r="C56" s="35" t="s">
        <v>116</v>
      </c>
      <c r="D56" s="452">
        <v>2262798</v>
      </c>
      <c r="E56" s="462">
        <v>3763</v>
      </c>
      <c r="F56" s="452">
        <v>877729</v>
      </c>
      <c r="G56" s="462">
        <v>430</v>
      </c>
      <c r="H56" s="465">
        <v>12947</v>
      </c>
      <c r="I56" s="462">
        <v>33</v>
      </c>
      <c r="J56" s="465"/>
      <c r="K56" s="462"/>
      <c r="L56" s="452">
        <v>3843635</v>
      </c>
      <c r="M56" s="463">
        <v>9727.2999999999993</v>
      </c>
      <c r="N56" s="462">
        <v>62</v>
      </c>
      <c r="O56" s="452">
        <v>80068</v>
      </c>
      <c r="P56" s="463">
        <v>259.8</v>
      </c>
      <c r="Q56" s="462">
        <v>1190</v>
      </c>
      <c r="R56" s="464"/>
      <c r="S56" s="463"/>
      <c r="T56" s="462">
        <v>0</v>
      </c>
      <c r="U56" s="465"/>
      <c r="V56" s="463"/>
      <c r="W56" s="462"/>
      <c r="X56" s="181"/>
      <c r="Y56" s="36"/>
      <c r="Z56" s="181"/>
      <c r="AA56" s="36"/>
      <c r="AE56" s="229">
        <f t="shared" si="0"/>
        <v>4255</v>
      </c>
    </row>
    <row r="57" spans="2:31">
      <c r="B57" s="135">
        <f>'1. LDC Info'!$F$27-9</f>
        <v>2015</v>
      </c>
      <c r="C57" s="35" t="s">
        <v>106</v>
      </c>
      <c r="D57" s="452">
        <v>2049497</v>
      </c>
      <c r="E57" s="462">
        <v>3765</v>
      </c>
      <c r="F57" s="452">
        <v>838998</v>
      </c>
      <c r="G57" s="462">
        <v>430</v>
      </c>
      <c r="H57" s="465">
        <v>12947</v>
      </c>
      <c r="I57" s="462">
        <v>33</v>
      </c>
      <c r="J57" s="465"/>
      <c r="K57" s="462"/>
      <c r="L57" s="452">
        <v>3845765</v>
      </c>
      <c r="M57" s="463">
        <v>9814.5</v>
      </c>
      <c r="N57" s="462">
        <v>62</v>
      </c>
      <c r="O57" s="452">
        <v>89419</v>
      </c>
      <c r="P57" s="463">
        <v>259.8</v>
      </c>
      <c r="Q57" s="462">
        <v>1190</v>
      </c>
      <c r="R57" s="464"/>
      <c r="S57" s="463"/>
      <c r="T57" s="462">
        <v>0</v>
      </c>
      <c r="U57" s="465"/>
      <c r="V57" s="463"/>
      <c r="W57" s="462"/>
      <c r="X57" s="181"/>
      <c r="Y57" s="36"/>
      <c r="Z57" s="181"/>
      <c r="AA57" s="36"/>
      <c r="AE57" s="229">
        <f t="shared" si="0"/>
        <v>4257</v>
      </c>
    </row>
    <row r="58" spans="2:31">
      <c r="B58" s="135">
        <f>'1. LDC Info'!$F$27-9</f>
        <v>2015</v>
      </c>
      <c r="C58" s="35" t="s">
        <v>107</v>
      </c>
      <c r="D58" s="452">
        <v>2067391</v>
      </c>
      <c r="E58" s="462">
        <v>3770</v>
      </c>
      <c r="F58" s="452">
        <v>793451</v>
      </c>
      <c r="G58" s="462">
        <v>430</v>
      </c>
      <c r="H58" s="465">
        <v>12947</v>
      </c>
      <c r="I58" s="462">
        <v>33</v>
      </c>
      <c r="J58" s="465"/>
      <c r="K58" s="462"/>
      <c r="L58" s="452">
        <v>3544666</v>
      </c>
      <c r="M58" s="463">
        <v>9224.0999999999985</v>
      </c>
      <c r="N58" s="462">
        <v>62</v>
      </c>
      <c r="O58" s="452">
        <v>105588</v>
      </c>
      <c r="P58" s="463">
        <v>259.8</v>
      </c>
      <c r="Q58" s="462">
        <v>1190</v>
      </c>
      <c r="R58" s="464"/>
      <c r="S58" s="463"/>
      <c r="T58" s="462">
        <v>0</v>
      </c>
      <c r="U58" s="465"/>
      <c r="V58" s="463"/>
      <c r="W58" s="462"/>
      <c r="X58" s="181"/>
      <c r="Y58" s="36"/>
      <c r="Z58" s="181"/>
      <c r="AA58" s="36"/>
      <c r="AE58" s="229">
        <f t="shared" si="0"/>
        <v>4262</v>
      </c>
    </row>
    <row r="59" spans="2:31">
      <c r="B59" s="135">
        <f>'1. LDC Info'!$F$27-9</f>
        <v>2015</v>
      </c>
      <c r="C59" s="35" t="s">
        <v>108</v>
      </c>
      <c r="D59" s="452">
        <v>2254741</v>
      </c>
      <c r="E59" s="462">
        <v>3774</v>
      </c>
      <c r="F59" s="452">
        <v>802100</v>
      </c>
      <c r="G59" s="462">
        <v>430</v>
      </c>
      <c r="H59" s="465">
        <v>12947</v>
      </c>
      <c r="I59" s="462">
        <v>33</v>
      </c>
      <c r="J59" s="465"/>
      <c r="K59" s="462"/>
      <c r="L59" s="452">
        <v>3597203</v>
      </c>
      <c r="M59" s="463">
        <v>8498.9</v>
      </c>
      <c r="N59" s="462">
        <v>61</v>
      </c>
      <c r="O59" s="452">
        <v>113121</v>
      </c>
      <c r="P59" s="463">
        <v>259.8</v>
      </c>
      <c r="Q59" s="462">
        <v>1190</v>
      </c>
      <c r="R59" s="464"/>
      <c r="S59" s="463"/>
      <c r="T59" s="462">
        <v>0</v>
      </c>
      <c r="U59" s="465"/>
      <c r="V59" s="463"/>
      <c r="W59" s="462"/>
      <c r="X59" s="181"/>
      <c r="Y59" s="36"/>
      <c r="Z59" s="181"/>
      <c r="AA59" s="36"/>
      <c r="AE59" s="229">
        <f t="shared" si="0"/>
        <v>4265</v>
      </c>
    </row>
    <row r="60" spans="2:31">
      <c r="B60" s="135">
        <f>'1. LDC Info'!$F$27-9</f>
        <v>2015</v>
      </c>
      <c r="C60" s="35" t="s">
        <v>105</v>
      </c>
      <c r="D60" s="452">
        <v>2622203</v>
      </c>
      <c r="E60" s="462">
        <v>3779</v>
      </c>
      <c r="F60" s="452">
        <v>910286</v>
      </c>
      <c r="G60" s="462">
        <v>430</v>
      </c>
      <c r="H60" s="464">
        <v>12947</v>
      </c>
      <c r="I60" s="462">
        <v>33</v>
      </c>
      <c r="J60" s="464"/>
      <c r="K60" s="462"/>
      <c r="L60" s="452">
        <v>3537814</v>
      </c>
      <c r="M60" s="463">
        <v>8730.1999999999989</v>
      </c>
      <c r="N60" s="462">
        <v>61</v>
      </c>
      <c r="O60" s="452">
        <v>122278</v>
      </c>
      <c r="P60" s="463">
        <v>259.8</v>
      </c>
      <c r="Q60" s="462">
        <v>1190</v>
      </c>
      <c r="R60" s="464"/>
      <c r="S60" s="463"/>
      <c r="T60" s="462">
        <v>0</v>
      </c>
      <c r="U60" s="464"/>
      <c r="V60" s="463"/>
      <c r="W60" s="462"/>
      <c r="X60" s="181"/>
      <c r="Y60" s="36"/>
      <c r="Z60" s="181"/>
      <c r="AA60" s="36"/>
      <c r="AE60" s="229">
        <f t="shared" si="0"/>
        <v>4270</v>
      </c>
    </row>
    <row r="61" spans="2:31">
      <c r="B61" s="135">
        <f>'1. LDC Info'!$F$27-8</f>
        <v>2016</v>
      </c>
      <c r="C61" s="35" t="s">
        <v>109</v>
      </c>
      <c r="D61" s="452">
        <v>3090872</v>
      </c>
      <c r="E61" s="462">
        <v>3779</v>
      </c>
      <c r="F61" s="464">
        <v>1030754</v>
      </c>
      <c r="G61" s="462">
        <v>430</v>
      </c>
      <c r="H61" s="465">
        <v>12945</v>
      </c>
      <c r="I61" s="462">
        <v>33</v>
      </c>
      <c r="J61" s="465"/>
      <c r="K61" s="462"/>
      <c r="L61" s="452">
        <v>3916090</v>
      </c>
      <c r="M61" s="463">
        <v>9584.2999999999993</v>
      </c>
      <c r="N61" s="462">
        <v>62</v>
      </c>
      <c r="O61" s="452">
        <v>119355</v>
      </c>
      <c r="P61" s="463">
        <v>267.7</v>
      </c>
      <c r="Q61" s="462">
        <v>1197</v>
      </c>
      <c r="R61" s="464"/>
      <c r="S61" s="463"/>
      <c r="T61" s="462">
        <v>0</v>
      </c>
      <c r="U61" s="465"/>
      <c r="V61" s="463"/>
      <c r="W61" s="462"/>
      <c r="X61" s="181"/>
      <c r="Y61" s="36"/>
      <c r="Z61" s="181"/>
      <c r="AA61" s="36"/>
      <c r="AE61" s="229">
        <f t="shared" si="0"/>
        <v>4271</v>
      </c>
    </row>
    <row r="62" spans="2:31">
      <c r="B62" s="135">
        <f>'1. LDC Info'!$F$27-8</f>
        <v>2016</v>
      </c>
      <c r="C62" s="35" t="s">
        <v>110</v>
      </c>
      <c r="D62" s="452">
        <v>2916104</v>
      </c>
      <c r="E62" s="462">
        <v>3779</v>
      </c>
      <c r="F62" s="464">
        <v>1026076</v>
      </c>
      <c r="G62" s="462">
        <v>429</v>
      </c>
      <c r="H62" s="465">
        <v>12687</v>
      </c>
      <c r="I62" s="462">
        <v>33</v>
      </c>
      <c r="J62" s="465"/>
      <c r="K62" s="462"/>
      <c r="L62" s="452">
        <v>3766661</v>
      </c>
      <c r="M62" s="463">
        <v>9601.2000000000007</v>
      </c>
      <c r="N62" s="462">
        <v>62</v>
      </c>
      <c r="O62" s="452">
        <v>111953</v>
      </c>
      <c r="P62" s="463">
        <v>267.7</v>
      </c>
      <c r="Q62" s="462">
        <v>1197</v>
      </c>
      <c r="R62" s="464"/>
      <c r="S62" s="463"/>
      <c r="T62" s="462">
        <v>0</v>
      </c>
      <c r="U62" s="465"/>
      <c r="V62" s="463"/>
      <c r="W62" s="462"/>
      <c r="X62" s="181"/>
      <c r="Y62" s="36"/>
      <c r="Z62" s="181"/>
      <c r="AA62" s="36"/>
      <c r="AE62" s="229">
        <f t="shared" si="0"/>
        <v>4270</v>
      </c>
    </row>
    <row r="63" spans="2:31">
      <c r="B63" s="135">
        <f>'1. LDC Info'!$F$27-8</f>
        <v>2016</v>
      </c>
      <c r="C63" s="35" t="s">
        <v>111</v>
      </c>
      <c r="D63" s="452">
        <v>2627820</v>
      </c>
      <c r="E63" s="462">
        <v>3779</v>
      </c>
      <c r="F63" s="464">
        <v>966085</v>
      </c>
      <c r="G63" s="462">
        <v>429</v>
      </c>
      <c r="H63" s="465">
        <v>12687</v>
      </c>
      <c r="I63" s="462">
        <v>33</v>
      </c>
      <c r="J63" s="465"/>
      <c r="K63" s="462"/>
      <c r="L63" s="452">
        <v>3795742</v>
      </c>
      <c r="M63" s="463">
        <v>9776.9</v>
      </c>
      <c r="N63" s="462">
        <v>63</v>
      </c>
      <c r="O63" s="452">
        <v>97017</v>
      </c>
      <c r="P63" s="463">
        <v>263.7</v>
      </c>
      <c r="Q63" s="462">
        <v>1197</v>
      </c>
      <c r="R63" s="464"/>
      <c r="S63" s="463"/>
      <c r="T63" s="462">
        <v>0</v>
      </c>
      <c r="U63" s="465"/>
      <c r="V63" s="463"/>
      <c r="W63" s="462"/>
      <c r="X63" s="181"/>
      <c r="Y63" s="36"/>
      <c r="Z63" s="181"/>
      <c r="AA63" s="36"/>
      <c r="AE63" s="229">
        <f t="shared" si="0"/>
        <v>4271</v>
      </c>
    </row>
    <row r="64" spans="2:31">
      <c r="B64" s="135">
        <f>'1. LDC Info'!$F$27-8</f>
        <v>2016</v>
      </c>
      <c r="C64" s="35" t="s">
        <v>112</v>
      </c>
      <c r="D64" s="452">
        <v>2172971</v>
      </c>
      <c r="E64" s="462">
        <v>3784</v>
      </c>
      <c r="F64" s="464">
        <v>853432</v>
      </c>
      <c r="G64" s="462">
        <v>429</v>
      </c>
      <c r="H64" s="465">
        <v>12687</v>
      </c>
      <c r="I64" s="462">
        <v>33</v>
      </c>
      <c r="J64" s="465"/>
      <c r="K64" s="462"/>
      <c r="L64" s="452">
        <v>3416898</v>
      </c>
      <c r="M64" s="463">
        <v>9377.5000000000018</v>
      </c>
      <c r="N64" s="462">
        <v>63</v>
      </c>
      <c r="O64" s="452">
        <v>81172</v>
      </c>
      <c r="P64" s="463">
        <v>259.8</v>
      </c>
      <c r="Q64" s="462">
        <v>1197</v>
      </c>
      <c r="R64" s="464"/>
      <c r="S64" s="463"/>
      <c r="T64" s="462">
        <v>0</v>
      </c>
      <c r="U64" s="465"/>
      <c r="V64" s="463"/>
      <c r="W64" s="462"/>
      <c r="X64" s="181"/>
      <c r="Y64" s="36"/>
      <c r="Z64" s="181"/>
      <c r="AA64" s="36"/>
      <c r="AE64" s="229">
        <f t="shared" si="0"/>
        <v>4276</v>
      </c>
    </row>
    <row r="65" spans="2:31">
      <c r="B65" s="135">
        <f>'1. LDC Info'!$F$27-8</f>
        <v>2016</v>
      </c>
      <c r="C65" s="35" t="s">
        <v>113</v>
      </c>
      <c r="D65" s="452">
        <v>1967387</v>
      </c>
      <c r="E65" s="462">
        <v>3787</v>
      </c>
      <c r="F65" s="464">
        <v>799205</v>
      </c>
      <c r="G65" s="462">
        <v>429</v>
      </c>
      <c r="H65" s="465">
        <v>12687</v>
      </c>
      <c r="I65" s="462">
        <v>33</v>
      </c>
      <c r="J65" s="465"/>
      <c r="K65" s="462"/>
      <c r="L65" s="452">
        <v>3602513</v>
      </c>
      <c r="M65" s="463">
        <v>9894.0000000000018</v>
      </c>
      <c r="N65" s="462">
        <v>63</v>
      </c>
      <c r="O65" s="452">
        <v>72990</v>
      </c>
      <c r="P65" s="463">
        <v>259.8</v>
      </c>
      <c r="Q65" s="462">
        <v>1197</v>
      </c>
      <c r="R65" s="464"/>
      <c r="S65" s="463"/>
      <c r="T65" s="462">
        <v>0</v>
      </c>
      <c r="U65" s="465"/>
      <c r="V65" s="463"/>
      <c r="W65" s="462"/>
      <c r="X65" s="181"/>
      <c r="Y65" s="36"/>
      <c r="Z65" s="181"/>
      <c r="AA65" s="36"/>
      <c r="AE65" s="229">
        <f t="shared" si="0"/>
        <v>4279</v>
      </c>
    </row>
    <row r="66" spans="2:31">
      <c r="B66" s="135">
        <f>'1. LDC Info'!$F$27-8</f>
        <v>2016</v>
      </c>
      <c r="C66" s="35" t="s">
        <v>114</v>
      </c>
      <c r="D66" s="452">
        <v>2074873</v>
      </c>
      <c r="E66" s="462">
        <v>3787</v>
      </c>
      <c r="F66" s="464">
        <v>854069</v>
      </c>
      <c r="G66" s="462">
        <v>429</v>
      </c>
      <c r="H66" s="465">
        <v>12687</v>
      </c>
      <c r="I66" s="462">
        <v>33</v>
      </c>
      <c r="J66" s="465"/>
      <c r="K66" s="462"/>
      <c r="L66" s="452">
        <v>3962683</v>
      </c>
      <c r="M66" s="463">
        <v>10262.100000000002</v>
      </c>
      <c r="N66" s="462">
        <v>63</v>
      </c>
      <c r="O66" s="452">
        <v>64418</v>
      </c>
      <c r="P66" s="463">
        <v>259.8</v>
      </c>
      <c r="Q66" s="462">
        <v>1197</v>
      </c>
      <c r="R66" s="464"/>
      <c r="S66" s="463"/>
      <c r="T66" s="462">
        <v>0</v>
      </c>
      <c r="U66" s="465"/>
      <c r="V66" s="463"/>
      <c r="W66" s="462"/>
      <c r="X66" s="181"/>
      <c r="Y66" s="36"/>
      <c r="Z66" s="181"/>
      <c r="AA66" s="36"/>
      <c r="AE66" s="229">
        <f t="shared" si="0"/>
        <v>4279</v>
      </c>
    </row>
    <row r="67" spans="2:31">
      <c r="B67" s="135">
        <f>'1. LDC Info'!$F$27-8</f>
        <v>2016</v>
      </c>
      <c r="C67" s="35" t="s">
        <v>115</v>
      </c>
      <c r="D67" s="452">
        <v>2456219</v>
      </c>
      <c r="E67" s="462">
        <v>3787</v>
      </c>
      <c r="F67" s="464">
        <v>882756</v>
      </c>
      <c r="G67" s="462">
        <v>430</v>
      </c>
      <c r="H67" s="465">
        <v>13940</v>
      </c>
      <c r="I67" s="462">
        <v>34</v>
      </c>
      <c r="J67" s="465"/>
      <c r="K67" s="462"/>
      <c r="L67" s="452">
        <v>4119692</v>
      </c>
      <c r="M67" s="463">
        <v>10131.800000000001</v>
      </c>
      <c r="N67" s="462">
        <v>63</v>
      </c>
      <c r="O67" s="452">
        <v>70003</v>
      </c>
      <c r="P67" s="463">
        <v>259.8</v>
      </c>
      <c r="Q67" s="462">
        <v>1197</v>
      </c>
      <c r="R67" s="464"/>
      <c r="S67" s="463"/>
      <c r="T67" s="462">
        <v>0</v>
      </c>
      <c r="U67" s="465"/>
      <c r="V67" s="463"/>
      <c r="W67" s="462"/>
      <c r="X67" s="181"/>
      <c r="Y67" s="36"/>
      <c r="Z67" s="181"/>
      <c r="AA67" s="36"/>
      <c r="AE67" s="229">
        <f t="shared" si="0"/>
        <v>4280</v>
      </c>
    </row>
    <row r="68" spans="2:31">
      <c r="B68" s="135">
        <f>'1. LDC Info'!$F$27-8</f>
        <v>2016</v>
      </c>
      <c r="C68" s="35" t="s">
        <v>116</v>
      </c>
      <c r="D68" s="452">
        <v>2530232</v>
      </c>
      <c r="E68" s="462">
        <v>3786</v>
      </c>
      <c r="F68" s="464">
        <v>963504</v>
      </c>
      <c r="G68" s="462">
        <v>432</v>
      </c>
      <c r="H68" s="465">
        <v>13940</v>
      </c>
      <c r="I68" s="462">
        <v>34</v>
      </c>
      <c r="J68" s="465"/>
      <c r="K68" s="462"/>
      <c r="L68" s="452">
        <v>3926668</v>
      </c>
      <c r="M68" s="463">
        <v>9701.0000000000018</v>
      </c>
      <c r="N68" s="462">
        <v>63</v>
      </c>
      <c r="O68" s="452">
        <v>80068</v>
      </c>
      <c r="P68" s="463">
        <v>259.8</v>
      </c>
      <c r="Q68" s="462">
        <v>1197</v>
      </c>
      <c r="R68" s="464"/>
      <c r="S68" s="463"/>
      <c r="T68" s="462">
        <v>0</v>
      </c>
      <c r="U68" s="465"/>
      <c r="V68" s="463"/>
      <c r="W68" s="462"/>
      <c r="X68" s="181"/>
      <c r="Y68" s="36"/>
      <c r="Z68" s="181"/>
      <c r="AA68" s="36"/>
      <c r="AE68" s="229">
        <f t="shared" si="0"/>
        <v>4281</v>
      </c>
    </row>
    <row r="69" spans="2:31">
      <c r="B69" s="135">
        <f>'1. LDC Info'!$F$27-8</f>
        <v>2016</v>
      </c>
      <c r="C69" s="35" t="s">
        <v>106</v>
      </c>
      <c r="D69" s="452">
        <v>1907736</v>
      </c>
      <c r="E69" s="462">
        <v>3786</v>
      </c>
      <c r="F69" s="464">
        <v>806389</v>
      </c>
      <c r="G69" s="462">
        <v>432</v>
      </c>
      <c r="H69" s="465">
        <v>13940</v>
      </c>
      <c r="I69" s="462">
        <v>34</v>
      </c>
      <c r="J69" s="465"/>
      <c r="K69" s="462"/>
      <c r="L69" s="452">
        <v>3636455</v>
      </c>
      <c r="M69" s="463">
        <v>9878.2000000000007</v>
      </c>
      <c r="N69" s="462">
        <v>63</v>
      </c>
      <c r="O69" s="452">
        <v>89419</v>
      </c>
      <c r="P69" s="463">
        <v>259.8</v>
      </c>
      <c r="Q69" s="462">
        <v>1197</v>
      </c>
      <c r="R69" s="464"/>
      <c r="S69" s="463"/>
      <c r="T69" s="462">
        <v>0</v>
      </c>
      <c r="U69" s="465"/>
      <c r="V69" s="463"/>
      <c r="W69" s="462"/>
      <c r="X69" s="181"/>
      <c r="Y69" s="36"/>
      <c r="Z69" s="181"/>
      <c r="AA69" s="36"/>
      <c r="AE69" s="229">
        <f t="shared" si="0"/>
        <v>4281</v>
      </c>
    </row>
    <row r="70" spans="2:31">
      <c r="B70" s="135">
        <f>'1. LDC Info'!$F$27-8</f>
        <v>2016</v>
      </c>
      <c r="C70" s="35" t="s">
        <v>107</v>
      </c>
      <c r="D70" s="452">
        <v>2004133</v>
      </c>
      <c r="E70" s="462">
        <v>3785</v>
      </c>
      <c r="F70" s="464">
        <v>793433</v>
      </c>
      <c r="G70" s="462">
        <v>432</v>
      </c>
      <c r="H70" s="465">
        <v>13940</v>
      </c>
      <c r="I70" s="462">
        <v>34</v>
      </c>
      <c r="J70" s="465"/>
      <c r="K70" s="462"/>
      <c r="L70" s="452">
        <v>3545640</v>
      </c>
      <c r="M70" s="463">
        <v>9558.7999999999993</v>
      </c>
      <c r="N70" s="462">
        <v>62</v>
      </c>
      <c r="O70" s="452">
        <v>105588</v>
      </c>
      <c r="P70" s="463">
        <v>259.8</v>
      </c>
      <c r="Q70" s="462">
        <v>1197</v>
      </c>
      <c r="R70" s="464"/>
      <c r="S70" s="463"/>
      <c r="T70" s="462">
        <v>0</v>
      </c>
      <c r="U70" s="465"/>
      <c r="V70" s="463"/>
      <c r="W70" s="462"/>
      <c r="X70" s="181"/>
      <c r="Y70" s="36"/>
      <c r="Z70" s="181"/>
      <c r="AA70" s="36"/>
      <c r="AE70" s="229">
        <f t="shared" si="0"/>
        <v>4279</v>
      </c>
    </row>
    <row r="71" spans="2:31">
      <c r="B71" s="135">
        <f>'1. LDC Info'!$F$27-8</f>
        <v>2016</v>
      </c>
      <c r="C71" s="35" t="s">
        <v>108</v>
      </c>
      <c r="D71" s="452">
        <v>2190224</v>
      </c>
      <c r="E71" s="462">
        <v>3783</v>
      </c>
      <c r="F71" s="464">
        <v>859841</v>
      </c>
      <c r="G71" s="462">
        <v>434</v>
      </c>
      <c r="H71" s="465">
        <v>13940</v>
      </c>
      <c r="I71" s="462">
        <v>34</v>
      </c>
      <c r="J71" s="465"/>
      <c r="K71" s="462"/>
      <c r="L71" s="452">
        <v>3600303</v>
      </c>
      <c r="M71" s="463">
        <v>9134.9000000000015</v>
      </c>
      <c r="N71" s="462">
        <v>60</v>
      </c>
      <c r="O71" s="452">
        <v>113121</v>
      </c>
      <c r="P71" s="463">
        <v>259.8</v>
      </c>
      <c r="Q71" s="462">
        <v>1197</v>
      </c>
      <c r="R71" s="464"/>
      <c r="S71" s="463"/>
      <c r="T71" s="462">
        <v>0</v>
      </c>
      <c r="U71" s="465"/>
      <c r="V71" s="463"/>
      <c r="W71" s="462"/>
      <c r="X71" s="181"/>
      <c r="Y71" s="36"/>
      <c r="Z71" s="181"/>
      <c r="AA71" s="36"/>
      <c r="AB71" s="229"/>
      <c r="AE71" s="229">
        <f t="shared" si="0"/>
        <v>4277</v>
      </c>
    </row>
    <row r="72" spans="2:31">
      <c r="B72" s="135">
        <f>'1. LDC Info'!$F$27-8</f>
        <v>2016</v>
      </c>
      <c r="C72" s="35" t="s">
        <v>105</v>
      </c>
      <c r="D72" s="452">
        <v>2952047</v>
      </c>
      <c r="E72" s="462">
        <v>3780</v>
      </c>
      <c r="F72" s="452">
        <v>985332</v>
      </c>
      <c r="G72" s="462">
        <v>435</v>
      </c>
      <c r="H72" s="464">
        <v>11434</v>
      </c>
      <c r="I72" s="462">
        <v>34</v>
      </c>
      <c r="J72" s="464"/>
      <c r="K72" s="462"/>
      <c r="L72" s="452">
        <v>3661240</v>
      </c>
      <c r="M72" s="463">
        <v>9447.0000000000018</v>
      </c>
      <c r="N72" s="462">
        <v>60</v>
      </c>
      <c r="O72" s="452">
        <v>122279</v>
      </c>
      <c r="P72" s="463">
        <v>259.8</v>
      </c>
      <c r="Q72" s="462">
        <v>1197</v>
      </c>
      <c r="R72" s="464"/>
      <c r="S72" s="463"/>
      <c r="T72" s="462">
        <v>0</v>
      </c>
      <c r="U72" s="464"/>
      <c r="V72" s="463"/>
      <c r="W72" s="462"/>
      <c r="X72" s="181"/>
      <c r="Y72" s="36"/>
      <c r="Z72" s="181"/>
      <c r="AA72" s="36"/>
      <c r="AB72" s="229"/>
      <c r="AE72" s="229">
        <f t="shared" si="0"/>
        <v>4275</v>
      </c>
    </row>
    <row r="73" spans="2:31">
      <c r="B73" s="135">
        <f>'1. LDC Info'!$F$27-7</f>
        <v>2017</v>
      </c>
      <c r="C73" s="35" t="s">
        <v>109</v>
      </c>
      <c r="D73" s="452">
        <v>2878051</v>
      </c>
      <c r="E73" s="462">
        <v>3784</v>
      </c>
      <c r="F73" s="464">
        <v>1014493</v>
      </c>
      <c r="G73" s="462">
        <v>436</v>
      </c>
      <c r="H73" s="465">
        <v>12688</v>
      </c>
      <c r="I73" s="462">
        <v>34</v>
      </c>
      <c r="J73" s="465"/>
      <c r="K73" s="462"/>
      <c r="L73" s="452">
        <v>3891522</v>
      </c>
      <c r="M73" s="463">
        <v>9387.6</v>
      </c>
      <c r="N73" s="462">
        <v>58</v>
      </c>
      <c r="O73" s="452">
        <v>119356</v>
      </c>
      <c r="P73" s="463">
        <v>259.8</v>
      </c>
      <c r="Q73" s="462">
        <v>1193</v>
      </c>
      <c r="R73" s="464"/>
      <c r="S73" s="463"/>
      <c r="T73" s="462">
        <v>0</v>
      </c>
      <c r="U73" s="465"/>
      <c r="V73" s="463"/>
      <c r="W73" s="462"/>
      <c r="X73" s="181"/>
      <c r="Y73" s="36"/>
      <c r="Z73" s="181"/>
      <c r="AA73" s="36"/>
      <c r="AB73" s="229">
        <f>D73+F73+H73+L73+O73+R73+U73</f>
        <v>7916110</v>
      </c>
      <c r="AE73" s="229">
        <f t="shared" si="0"/>
        <v>4278</v>
      </c>
    </row>
    <row r="74" spans="2:31">
      <c r="B74" s="135">
        <f>'1. LDC Info'!$F$27-7</f>
        <v>2017</v>
      </c>
      <c r="C74" s="35" t="s">
        <v>110</v>
      </c>
      <c r="D74" s="452">
        <v>2509132</v>
      </c>
      <c r="E74" s="462">
        <v>3787</v>
      </c>
      <c r="F74" s="464">
        <v>1040278</v>
      </c>
      <c r="G74" s="462">
        <v>438</v>
      </c>
      <c r="H74" s="465">
        <v>12688</v>
      </c>
      <c r="I74" s="462">
        <v>34</v>
      </c>
      <c r="J74" s="465"/>
      <c r="K74" s="462"/>
      <c r="L74" s="452">
        <v>3475149</v>
      </c>
      <c r="M74" s="463">
        <v>9288.4000000000015</v>
      </c>
      <c r="N74" s="462">
        <v>56</v>
      </c>
      <c r="O74" s="452">
        <v>108251</v>
      </c>
      <c r="P74" s="463">
        <v>259.8</v>
      </c>
      <c r="Q74" s="462">
        <v>1193</v>
      </c>
      <c r="R74" s="464"/>
      <c r="S74" s="463"/>
      <c r="T74" s="462">
        <v>0</v>
      </c>
      <c r="U74" s="465"/>
      <c r="V74" s="463"/>
      <c r="W74" s="462"/>
      <c r="X74" s="181"/>
      <c r="Y74" s="36"/>
      <c r="Z74" s="181"/>
      <c r="AA74" s="36"/>
      <c r="AB74" s="229">
        <f t="shared" ref="AB74:AB137" si="1">D74+F74+H74+L74+O74+R74+U74</f>
        <v>7145498</v>
      </c>
      <c r="AE74" s="229">
        <f t="shared" si="0"/>
        <v>4281</v>
      </c>
    </row>
    <row r="75" spans="2:31">
      <c r="B75" s="135">
        <f>'1. LDC Info'!$F$27-7</f>
        <v>2017</v>
      </c>
      <c r="C75" s="35" t="s">
        <v>111</v>
      </c>
      <c r="D75" s="452">
        <v>2757185</v>
      </c>
      <c r="E75" s="462">
        <v>3787</v>
      </c>
      <c r="F75" s="464">
        <v>1063361</v>
      </c>
      <c r="G75" s="462">
        <v>439</v>
      </c>
      <c r="H75" s="465">
        <v>13088</v>
      </c>
      <c r="I75" s="462">
        <v>34</v>
      </c>
      <c r="J75" s="465"/>
      <c r="K75" s="462"/>
      <c r="L75" s="452">
        <v>4070478</v>
      </c>
      <c r="M75" s="463">
        <v>9431.1</v>
      </c>
      <c r="N75" s="462">
        <v>53</v>
      </c>
      <c r="O75" s="452">
        <v>97017</v>
      </c>
      <c r="P75" s="463">
        <v>259.8</v>
      </c>
      <c r="Q75" s="462">
        <v>1193</v>
      </c>
      <c r="R75" s="464"/>
      <c r="S75" s="463"/>
      <c r="T75" s="462">
        <v>0</v>
      </c>
      <c r="U75" s="465"/>
      <c r="V75" s="463"/>
      <c r="W75" s="462"/>
      <c r="X75" s="181"/>
      <c r="Y75" s="36"/>
      <c r="Z75" s="181"/>
      <c r="AA75" s="36"/>
      <c r="AB75" s="229">
        <f t="shared" si="1"/>
        <v>8001129</v>
      </c>
      <c r="AE75" s="229">
        <f t="shared" si="0"/>
        <v>4279</v>
      </c>
    </row>
    <row r="76" spans="2:31">
      <c r="B76" s="135">
        <f>'1. LDC Info'!$F$27-7</f>
        <v>2017</v>
      </c>
      <c r="C76" s="35" t="s">
        <v>112</v>
      </c>
      <c r="D76" s="452">
        <v>2092113</v>
      </c>
      <c r="E76" s="462">
        <v>3789</v>
      </c>
      <c r="F76" s="464">
        <v>838978</v>
      </c>
      <c r="G76" s="462">
        <v>439</v>
      </c>
      <c r="H76" s="465">
        <v>13088</v>
      </c>
      <c r="I76" s="462">
        <v>34</v>
      </c>
      <c r="J76" s="465"/>
      <c r="K76" s="462"/>
      <c r="L76" s="452">
        <v>3349212</v>
      </c>
      <c r="M76" s="463">
        <v>9049.9000000000015</v>
      </c>
      <c r="N76" s="462">
        <v>53</v>
      </c>
      <c r="O76" s="452">
        <v>81172</v>
      </c>
      <c r="P76" s="463">
        <v>259.8</v>
      </c>
      <c r="Q76" s="462">
        <v>1193</v>
      </c>
      <c r="R76" s="464"/>
      <c r="S76" s="463"/>
      <c r="T76" s="462">
        <v>0</v>
      </c>
      <c r="U76" s="465"/>
      <c r="V76" s="463"/>
      <c r="W76" s="462"/>
      <c r="X76" s="181"/>
      <c r="Y76" s="36"/>
      <c r="Z76" s="181"/>
      <c r="AA76" s="36"/>
      <c r="AB76" s="229">
        <f t="shared" si="1"/>
        <v>6374563</v>
      </c>
      <c r="AE76" s="229">
        <f t="shared" si="0"/>
        <v>4281</v>
      </c>
    </row>
    <row r="77" spans="2:31">
      <c r="B77" s="135">
        <f>'1. LDC Info'!$F$27-7</f>
        <v>2017</v>
      </c>
      <c r="C77" s="35" t="s">
        <v>113</v>
      </c>
      <c r="D77" s="452">
        <v>1988422</v>
      </c>
      <c r="E77" s="462">
        <v>3793</v>
      </c>
      <c r="F77" s="464">
        <v>822873</v>
      </c>
      <c r="G77" s="462">
        <v>436</v>
      </c>
      <c r="H77" s="465">
        <v>13088</v>
      </c>
      <c r="I77" s="462">
        <v>35</v>
      </c>
      <c r="J77" s="465"/>
      <c r="K77" s="462"/>
      <c r="L77" s="452">
        <v>3591608</v>
      </c>
      <c r="M77" s="463">
        <v>9574.3000000000011</v>
      </c>
      <c r="N77" s="462">
        <v>54</v>
      </c>
      <c r="O77" s="452">
        <v>72990</v>
      </c>
      <c r="P77" s="463">
        <v>259.8</v>
      </c>
      <c r="Q77" s="462">
        <v>1193</v>
      </c>
      <c r="R77" s="464"/>
      <c r="S77" s="463"/>
      <c r="T77" s="462">
        <v>0</v>
      </c>
      <c r="U77" s="465"/>
      <c r="V77" s="463"/>
      <c r="W77" s="462"/>
      <c r="X77" s="181"/>
      <c r="Y77" s="36"/>
      <c r="Z77" s="181"/>
      <c r="AA77" s="36"/>
      <c r="AB77" s="229">
        <f t="shared" si="1"/>
        <v>6488981</v>
      </c>
      <c r="AE77" s="229">
        <f t="shared" si="0"/>
        <v>4283</v>
      </c>
    </row>
    <row r="78" spans="2:31">
      <c r="B78" s="135">
        <f>'1. LDC Info'!$F$27-7</f>
        <v>2017</v>
      </c>
      <c r="C78" s="35" t="s">
        <v>114</v>
      </c>
      <c r="D78" s="452">
        <v>2006987</v>
      </c>
      <c r="E78" s="462">
        <v>3794</v>
      </c>
      <c r="F78" s="464">
        <v>825105</v>
      </c>
      <c r="G78" s="462">
        <v>436</v>
      </c>
      <c r="H78" s="465">
        <v>13589</v>
      </c>
      <c r="I78" s="462">
        <v>35</v>
      </c>
      <c r="J78" s="465"/>
      <c r="K78" s="462"/>
      <c r="L78" s="452">
        <v>3783567</v>
      </c>
      <c r="M78" s="463">
        <v>9618.5</v>
      </c>
      <c r="N78" s="462">
        <v>54</v>
      </c>
      <c r="O78" s="452">
        <v>64418</v>
      </c>
      <c r="P78" s="463">
        <v>259.8</v>
      </c>
      <c r="Q78" s="462">
        <v>1193</v>
      </c>
      <c r="R78" s="464"/>
      <c r="S78" s="463"/>
      <c r="T78" s="462">
        <v>0</v>
      </c>
      <c r="U78" s="465"/>
      <c r="V78" s="463"/>
      <c r="W78" s="462"/>
      <c r="X78" s="181"/>
      <c r="Y78" s="36"/>
      <c r="Z78" s="181"/>
      <c r="AA78" s="36"/>
      <c r="AB78" s="229">
        <f t="shared" si="1"/>
        <v>6693666</v>
      </c>
      <c r="AE78" s="229">
        <f t="shared" si="0"/>
        <v>4284</v>
      </c>
    </row>
    <row r="79" spans="2:31">
      <c r="B79" s="135">
        <f>'1. LDC Info'!$F$27-7</f>
        <v>2017</v>
      </c>
      <c r="C79" s="35" t="s">
        <v>115</v>
      </c>
      <c r="D79" s="452">
        <v>2281178</v>
      </c>
      <c r="E79" s="462">
        <v>3800</v>
      </c>
      <c r="F79" s="464">
        <v>904401</v>
      </c>
      <c r="G79" s="462">
        <v>436</v>
      </c>
      <c r="H79" s="465">
        <v>14340</v>
      </c>
      <c r="I79" s="462">
        <v>35</v>
      </c>
      <c r="J79" s="465"/>
      <c r="K79" s="462"/>
      <c r="L79" s="452">
        <v>3722961</v>
      </c>
      <c r="M79" s="463">
        <v>9475.8000000000011</v>
      </c>
      <c r="N79" s="462">
        <v>54</v>
      </c>
      <c r="O79" s="452">
        <v>70003</v>
      </c>
      <c r="P79" s="463">
        <v>259.8</v>
      </c>
      <c r="Q79" s="462">
        <v>1193</v>
      </c>
      <c r="R79" s="464"/>
      <c r="S79" s="463"/>
      <c r="T79" s="462">
        <v>0</v>
      </c>
      <c r="U79" s="465"/>
      <c r="V79" s="463"/>
      <c r="W79" s="462"/>
      <c r="X79" s="181"/>
      <c r="Y79" s="36"/>
      <c r="Z79" s="181"/>
      <c r="AA79" s="36"/>
      <c r="AB79" s="229">
        <f t="shared" si="1"/>
        <v>6992883</v>
      </c>
      <c r="AE79" s="229">
        <f t="shared" si="0"/>
        <v>4290</v>
      </c>
    </row>
    <row r="80" spans="2:31">
      <c r="B80" s="135">
        <f>'1. LDC Info'!$F$27-7</f>
        <v>2017</v>
      </c>
      <c r="C80" s="35" t="s">
        <v>116</v>
      </c>
      <c r="D80" s="452">
        <v>2115335</v>
      </c>
      <c r="E80" s="462">
        <v>3801</v>
      </c>
      <c r="F80" s="464">
        <v>875686</v>
      </c>
      <c r="G80" s="462">
        <v>436</v>
      </c>
      <c r="H80" s="465">
        <v>14772</v>
      </c>
      <c r="I80" s="462">
        <v>35</v>
      </c>
      <c r="J80" s="465"/>
      <c r="K80" s="462"/>
      <c r="L80" s="452">
        <v>3874136</v>
      </c>
      <c r="M80" s="463">
        <v>9909.4000000000015</v>
      </c>
      <c r="N80" s="462">
        <v>54</v>
      </c>
      <c r="O80" s="452">
        <v>80068</v>
      </c>
      <c r="P80" s="463">
        <v>259.8</v>
      </c>
      <c r="Q80" s="462">
        <v>1193</v>
      </c>
      <c r="R80" s="464"/>
      <c r="S80" s="463"/>
      <c r="T80" s="462">
        <v>0</v>
      </c>
      <c r="U80" s="465"/>
      <c r="V80" s="463"/>
      <c r="W80" s="462"/>
      <c r="X80" s="181"/>
      <c r="Y80" s="36"/>
      <c r="Z80" s="181"/>
      <c r="AA80" s="36"/>
      <c r="AB80" s="229">
        <f t="shared" si="1"/>
        <v>6959997</v>
      </c>
      <c r="AE80" s="229">
        <f t="shared" si="0"/>
        <v>4291</v>
      </c>
    </row>
    <row r="81" spans="1:33">
      <c r="B81" s="135">
        <f>'1. LDC Info'!$F$27-7</f>
        <v>2017</v>
      </c>
      <c r="C81" s="35" t="s">
        <v>106</v>
      </c>
      <c r="D81" s="452">
        <v>2006293</v>
      </c>
      <c r="E81" s="462">
        <v>3803</v>
      </c>
      <c r="F81" s="464">
        <v>837195</v>
      </c>
      <c r="G81" s="462">
        <v>436</v>
      </c>
      <c r="H81" s="465">
        <v>14340</v>
      </c>
      <c r="I81" s="462">
        <v>35</v>
      </c>
      <c r="J81" s="465"/>
      <c r="K81" s="462"/>
      <c r="L81" s="452">
        <v>3824889</v>
      </c>
      <c r="M81" s="463">
        <v>10072.300000000001</v>
      </c>
      <c r="N81" s="462">
        <v>54</v>
      </c>
      <c r="O81" s="452">
        <v>89419</v>
      </c>
      <c r="P81" s="463">
        <v>259.8</v>
      </c>
      <c r="Q81" s="462">
        <v>1193</v>
      </c>
      <c r="R81" s="464"/>
      <c r="S81" s="463"/>
      <c r="T81" s="462">
        <v>0</v>
      </c>
      <c r="U81" s="465"/>
      <c r="V81" s="463"/>
      <c r="W81" s="462"/>
      <c r="X81" s="181"/>
      <c r="Y81" s="36"/>
      <c r="Z81" s="181"/>
      <c r="AA81" s="36"/>
      <c r="AB81" s="229">
        <f t="shared" si="1"/>
        <v>6772136</v>
      </c>
      <c r="AE81" s="229">
        <f t="shared" si="0"/>
        <v>4293</v>
      </c>
    </row>
    <row r="82" spans="1:33">
      <c r="B82" s="135">
        <f>'1. LDC Info'!$F$27-7</f>
        <v>2017</v>
      </c>
      <c r="C82" s="35" t="s">
        <v>107</v>
      </c>
      <c r="D82" s="452">
        <v>1924853</v>
      </c>
      <c r="E82" s="462">
        <v>3805</v>
      </c>
      <c r="F82" s="464">
        <v>774012</v>
      </c>
      <c r="G82" s="462">
        <v>436</v>
      </c>
      <c r="H82" s="465">
        <v>14018</v>
      </c>
      <c r="I82" s="462">
        <v>35</v>
      </c>
      <c r="J82" s="465"/>
      <c r="K82" s="462"/>
      <c r="L82" s="452">
        <v>3697263</v>
      </c>
      <c r="M82" s="463">
        <v>9583.3000000000011</v>
      </c>
      <c r="N82" s="462">
        <v>54</v>
      </c>
      <c r="O82" s="452">
        <v>105588</v>
      </c>
      <c r="P82" s="463">
        <v>259.8</v>
      </c>
      <c r="Q82" s="462">
        <v>1193</v>
      </c>
      <c r="R82" s="464"/>
      <c r="S82" s="463"/>
      <c r="T82" s="462">
        <v>0</v>
      </c>
      <c r="U82" s="465"/>
      <c r="V82" s="463"/>
      <c r="W82" s="462"/>
      <c r="X82" s="181"/>
      <c r="Y82" s="36"/>
      <c r="Z82" s="181"/>
      <c r="AA82" s="36"/>
      <c r="AB82" s="229">
        <f t="shared" si="1"/>
        <v>6515734</v>
      </c>
      <c r="AE82" s="229">
        <f t="shared" si="0"/>
        <v>4295</v>
      </c>
    </row>
    <row r="83" spans="1:33">
      <c r="B83" s="135">
        <f>'1. LDC Info'!$F$27-7</f>
        <v>2017</v>
      </c>
      <c r="C83" s="35" t="s">
        <v>108</v>
      </c>
      <c r="D83" s="452">
        <v>2431597</v>
      </c>
      <c r="E83" s="462">
        <v>3807</v>
      </c>
      <c r="F83" s="464">
        <v>885505</v>
      </c>
      <c r="G83" s="462">
        <v>436</v>
      </c>
      <c r="H83" s="465">
        <v>13088</v>
      </c>
      <c r="I83" s="462">
        <v>34</v>
      </c>
      <c r="J83" s="465"/>
      <c r="K83" s="462"/>
      <c r="L83" s="452">
        <v>3729193</v>
      </c>
      <c r="M83" s="463">
        <v>9431.2000000000007</v>
      </c>
      <c r="N83" s="462">
        <v>54</v>
      </c>
      <c r="O83" s="452">
        <v>113121</v>
      </c>
      <c r="P83" s="463">
        <v>259.8</v>
      </c>
      <c r="Q83" s="462">
        <v>1193</v>
      </c>
      <c r="R83" s="464"/>
      <c r="S83" s="463"/>
      <c r="T83" s="462">
        <v>0</v>
      </c>
      <c r="U83" s="465"/>
      <c r="V83" s="463"/>
      <c r="W83" s="462"/>
      <c r="X83" s="181"/>
      <c r="Y83" s="36"/>
      <c r="Z83" s="181"/>
      <c r="AA83" s="36"/>
      <c r="AB83" s="229">
        <f t="shared" si="1"/>
        <v>7172504</v>
      </c>
      <c r="AE83" s="229">
        <f t="shared" si="0"/>
        <v>4297</v>
      </c>
    </row>
    <row r="84" spans="1:33">
      <c r="B84" s="135">
        <f>'1. LDC Info'!$F$27-7</f>
        <v>2017</v>
      </c>
      <c r="C84" s="35" t="s">
        <v>105</v>
      </c>
      <c r="D84" s="452">
        <v>3160062</v>
      </c>
      <c r="E84" s="462">
        <v>3810</v>
      </c>
      <c r="F84" s="452">
        <v>1025904</v>
      </c>
      <c r="G84" s="462">
        <v>436</v>
      </c>
      <c r="H84" s="464">
        <v>13088</v>
      </c>
      <c r="I84" s="462">
        <v>34</v>
      </c>
      <c r="J84" s="464"/>
      <c r="K84" s="462"/>
      <c r="L84" s="452">
        <v>3810192</v>
      </c>
      <c r="M84" s="463">
        <v>9470.6</v>
      </c>
      <c r="N84" s="462">
        <v>54</v>
      </c>
      <c r="O84" s="452">
        <v>122278</v>
      </c>
      <c r="P84" s="463">
        <v>259.8</v>
      </c>
      <c r="Q84" s="462">
        <v>1193</v>
      </c>
      <c r="R84" s="464"/>
      <c r="S84" s="463"/>
      <c r="T84" s="462">
        <v>0</v>
      </c>
      <c r="U84" s="464"/>
      <c r="V84" s="463"/>
      <c r="W84" s="462"/>
      <c r="X84" s="181"/>
      <c r="Y84" s="36"/>
      <c r="Z84" s="181"/>
      <c r="AA84" s="36"/>
      <c r="AB84" s="229">
        <f t="shared" si="1"/>
        <v>8131524</v>
      </c>
      <c r="AC84" s="229">
        <f>SUM(AB73:AB84)</f>
        <v>85164725</v>
      </c>
      <c r="AD84" s="1">
        <v>2015</v>
      </c>
      <c r="AE84" s="229">
        <f t="shared" si="0"/>
        <v>4300</v>
      </c>
    </row>
    <row r="85" spans="1:33">
      <c r="A85" s="229"/>
      <c r="B85" s="135">
        <f>'1. LDC Info'!$F$27-6</f>
        <v>2018</v>
      </c>
      <c r="C85" s="35" t="s">
        <v>109</v>
      </c>
      <c r="D85" s="452">
        <v>3248711</v>
      </c>
      <c r="E85" s="462">
        <v>3810</v>
      </c>
      <c r="F85" s="452">
        <v>1156451</v>
      </c>
      <c r="G85" s="462">
        <v>438</v>
      </c>
      <c r="H85" s="465">
        <v>13146</v>
      </c>
      <c r="I85" s="462">
        <v>34</v>
      </c>
      <c r="J85" s="465"/>
      <c r="K85" s="462"/>
      <c r="L85" s="452">
        <v>4085602</v>
      </c>
      <c r="M85" s="453">
        <v>9683.0999999999985</v>
      </c>
      <c r="N85" s="462">
        <v>54</v>
      </c>
      <c r="O85" s="452">
        <v>116359</v>
      </c>
      <c r="P85" s="453">
        <v>253.2</v>
      </c>
      <c r="Q85" s="462">
        <v>1195</v>
      </c>
      <c r="R85" s="464"/>
      <c r="S85" s="463"/>
      <c r="T85" s="462">
        <v>0</v>
      </c>
      <c r="U85" s="465"/>
      <c r="V85" s="463"/>
      <c r="W85" s="462"/>
      <c r="X85" s="181"/>
      <c r="Y85" s="36"/>
      <c r="Z85" s="181"/>
      <c r="AA85" s="36"/>
      <c r="AB85" s="229">
        <f t="shared" si="1"/>
        <v>8620269</v>
      </c>
      <c r="AE85" s="229">
        <f t="shared" si="0"/>
        <v>4302</v>
      </c>
      <c r="AG85" s="229"/>
    </row>
    <row r="86" spans="1:33">
      <c r="A86" s="229"/>
      <c r="B86" s="135">
        <f>'1. LDC Info'!$F$27-6</f>
        <v>2018</v>
      </c>
      <c r="C86" s="35" t="s">
        <v>110</v>
      </c>
      <c r="D86" s="452">
        <v>2584747</v>
      </c>
      <c r="E86" s="462">
        <v>3810</v>
      </c>
      <c r="F86" s="452">
        <v>1004047</v>
      </c>
      <c r="G86" s="462">
        <v>441</v>
      </c>
      <c r="H86" s="465">
        <v>14228</v>
      </c>
      <c r="I86" s="462">
        <v>36</v>
      </c>
      <c r="J86" s="465"/>
      <c r="K86" s="462"/>
      <c r="L86" s="452">
        <v>3464285</v>
      </c>
      <c r="M86" s="453">
        <v>9354</v>
      </c>
      <c r="N86" s="462">
        <v>54</v>
      </c>
      <c r="O86" s="452">
        <v>105534</v>
      </c>
      <c r="P86" s="463">
        <v>253.2</v>
      </c>
      <c r="Q86" s="462">
        <v>1195</v>
      </c>
      <c r="R86" s="464"/>
      <c r="S86" s="463"/>
      <c r="T86" s="462">
        <v>0</v>
      </c>
      <c r="U86" s="465"/>
      <c r="V86" s="463"/>
      <c r="W86" s="462"/>
      <c r="X86" s="181"/>
      <c r="Y86" s="36"/>
      <c r="Z86" s="181"/>
      <c r="AA86" s="36"/>
      <c r="AB86" s="229">
        <f t="shared" si="1"/>
        <v>7172841</v>
      </c>
      <c r="AE86" s="229">
        <f t="shared" si="0"/>
        <v>4305</v>
      </c>
      <c r="AG86" s="229"/>
    </row>
    <row r="87" spans="1:33">
      <c r="A87" s="229"/>
      <c r="B87" s="135">
        <f>'1. LDC Info'!$F$27-6</f>
        <v>2018</v>
      </c>
      <c r="C87" s="35" t="s">
        <v>111</v>
      </c>
      <c r="D87" s="452">
        <v>2601695</v>
      </c>
      <c r="E87" s="462">
        <v>3810</v>
      </c>
      <c r="F87" s="452">
        <v>989507</v>
      </c>
      <c r="G87" s="462">
        <v>411</v>
      </c>
      <c r="H87" s="465">
        <v>14228</v>
      </c>
      <c r="I87" s="462">
        <v>36</v>
      </c>
      <c r="J87" s="465"/>
      <c r="K87" s="462"/>
      <c r="L87" s="452">
        <v>3840535</v>
      </c>
      <c r="M87" s="453">
        <v>9230.5999999999985</v>
      </c>
      <c r="N87" s="462">
        <v>54</v>
      </c>
      <c r="O87" s="452">
        <v>94582</v>
      </c>
      <c r="P87" s="453">
        <v>253.2</v>
      </c>
      <c r="Q87" s="462">
        <v>1195</v>
      </c>
      <c r="R87" s="464"/>
      <c r="S87" s="463"/>
      <c r="T87" s="462">
        <v>0</v>
      </c>
      <c r="U87" s="465"/>
      <c r="V87" s="463"/>
      <c r="W87" s="462"/>
      <c r="X87" s="181"/>
      <c r="Y87" s="36"/>
      <c r="Z87" s="181"/>
      <c r="AA87" s="36"/>
      <c r="AB87" s="229">
        <f t="shared" si="1"/>
        <v>7540547</v>
      </c>
      <c r="AE87" s="229">
        <f t="shared" si="0"/>
        <v>4275</v>
      </c>
      <c r="AG87" s="229"/>
    </row>
    <row r="88" spans="1:33">
      <c r="A88" s="229"/>
      <c r="B88" s="135">
        <f>'1. LDC Info'!$F$27-6</f>
        <v>2018</v>
      </c>
      <c r="C88" s="35" t="s">
        <v>112</v>
      </c>
      <c r="D88" s="452">
        <v>2318047</v>
      </c>
      <c r="E88" s="462">
        <v>3811</v>
      </c>
      <c r="F88" s="452">
        <v>891556</v>
      </c>
      <c r="G88" s="462">
        <v>411</v>
      </c>
      <c r="H88" s="465">
        <v>14228</v>
      </c>
      <c r="I88" s="462">
        <v>36</v>
      </c>
      <c r="J88" s="465"/>
      <c r="K88" s="462"/>
      <c r="L88" s="452">
        <v>3467052</v>
      </c>
      <c r="M88" s="453">
        <v>9248.4</v>
      </c>
      <c r="N88" s="462">
        <v>54</v>
      </c>
      <c r="O88" s="452">
        <v>79134</v>
      </c>
      <c r="P88" s="463">
        <v>253.2</v>
      </c>
      <c r="Q88" s="462">
        <v>1195</v>
      </c>
      <c r="R88" s="464"/>
      <c r="S88" s="463"/>
      <c r="T88" s="462">
        <v>0</v>
      </c>
      <c r="U88" s="465"/>
      <c r="V88" s="463"/>
      <c r="W88" s="462"/>
      <c r="X88" s="181"/>
      <c r="Y88" s="36"/>
      <c r="Z88" s="181"/>
      <c r="AA88" s="36"/>
      <c r="AB88" s="229">
        <f t="shared" si="1"/>
        <v>6770017</v>
      </c>
      <c r="AE88" s="229">
        <f t="shared" si="0"/>
        <v>4276</v>
      </c>
      <c r="AG88" s="229"/>
    </row>
    <row r="89" spans="1:33">
      <c r="A89" s="229"/>
      <c r="B89" s="135">
        <f>'1. LDC Info'!$F$27-6</f>
        <v>2018</v>
      </c>
      <c r="C89" s="35" t="s">
        <v>113</v>
      </c>
      <c r="D89" s="452">
        <v>1912306</v>
      </c>
      <c r="E89" s="462">
        <v>3811</v>
      </c>
      <c r="F89" s="452">
        <v>823930</v>
      </c>
      <c r="G89" s="462">
        <v>411</v>
      </c>
      <c r="H89" s="465">
        <v>14200</v>
      </c>
      <c r="I89" s="462">
        <v>37</v>
      </c>
      <c r="J89" s="465"/>
      <c r="K89" s="462"/>
      <c r="L89" s="452">
        <v>3665351</v>
      </c>
      <c r="M89" s="453">
        <v>9098.9</v>
      </c>
      <c r="N89" s="462">
        <v>54</v>
      </c>
      <c r="O89" s="452">
        <v>71158</v>
      </c>
      <c r="P89" s="453">
        <v>253.2</v>
      </c>
      <c r="Q89" s="462">
        <v>1195</v>
      </c>
      <c r="R89" s="464"/>
      <c r="S89" s="463"/>
      <c r="T89" s="462">
        <v>0</v>
      </c>
      <c r="U89" s="465"/>
      <c r="V89" s="463"/>
      <c r="W89" s="462"/>
      <c r="X89" s="181"/>
      <c r="Y89" s="36"/>
      <c r="Z89" s="181"/>
      <c r="AA89" s="36"/>
      <c r="AB89" s="229">
        <f t="shared" si="1"/>
        <v>6486945</v>
      </c>
      <c r="AE89" s="229">
        <f t="shared" si="0"/>
        <v>4276</v>
      </c>
      <c r="AG89" s="229"/>
    </row>
    <row r="90" spans="1:33">
      <c r="A90" s="229"/>
      <c r="B90" s="135">
        <f>'1. LDC Info'!$F$27-6</f>
        <v>2018</v>
      </c>
      <c r="C90" s="35" t="s">
        <v>114</v>
      </c>
      <c r="D90" s="452">
        <v>2008520</v>
      </c>
      <c r="E90" s="462">
        <v>3811</v>
      </c>
      <c r="F90" s="452">
        <v>810649</v>
      </c>
      <c r="G90" s="462">
        <v>411</v>
      </c>
      <c r="H90" s="465">
        <v>14700</v>
      </c>
      <c r="I90" s="462">
        <v>37</v>
      </c>
      <c r="J90" s="465"/>
      <c r="K90" s="462"/>
      <c r="L90" s="452">
        <v>3497739</v>
      </c>
      <c r="M90" s="453">
        <v>9364</v>
      </c>
      <c r="N90" s="462">
        <v>54</v>
      </c>
      <c r="O90" s="452">
        <v>62801</v>
      </c>
      <c r="P90" s="463">
        <v>253.2</v>
      </c>
      <c r="Q90" s="462">
        <v>1195</v>
      </c>
      <c r="R90" s="464"/>
      <c r="S90" s="463"/>
      <c r="T90" s="462">
        <v>0</v>
      </c>
      <c r="U90" s="465"/>
      <c r="V90" s="463"/>
      <c r="W90" s="462"/>
      <c r="X90" s="181"/>
      <c r="Y90" s="36"/>
      <c r="Z90" s="181"/>
      <c r="AA90" s="36"/>
      <c r="AB90" s="229">
        <f t="shared" si="1"/>
        <v>6394409</v>
      </c>
      <c r="AE90" s="229">
        <f t="shared" ref="AE90:AE144" si="2">E90+G90+N90</f>
        <v>4276</v>
      </c>
      <c r="AG90" s="229"/>
    </row>
    <row r="91" spans="1:33">
      <c r="A91" s="229"/>
      <c r="B91" s="135">
        <f>'1. LDC Info'!$F$27-6</f>
        <v>2018</v>
      </c>
      <c r="C91" s="35" t="s">
        <v>115</v>
      </c>
      <c r="D91" s="452">
        <v>2821929</v>
      </c>
      <c r="E91" s="462">
        <v>3814</v>
      </c>
      <c r="F91" s="452">
        <v>979981</v>
      </c>
      <c r="G91" s="462">
        <v>411</v>
      </c>
      <c r="H91" s="465">
        <v>15452</v>
      </c>
      <c r="I91" s="462">
        <v>37</v>
      </c>
      <c r="J91" s="465"/>
      <c r="K91" s="462"/>
      <c r="L91" s="452">
        <v>3920349</v>
      </c>
      <c r="M91" s="453">
        <v>9249.5</v>
      </c>
      <c r="N91" s="462">
        <v>54</v>
      </c>
      <c r="O91" s="452">
        <v>68245</v>
      </c>
      <c r="P91" s="453">
        <v>253.2</v>
      </c>
      <c r="Q91" s="462">
        <v>1195</v>
      </c>
      <c r="R91" s="464"/>
      <c r="S91" s="463"/>
      <c r="T91" s="462">
        <v>0</v>
      </c>
      <c r="U91" s="465"/>
      <c r="V91" s="463"/>
      <c r="W91" s="462"/>
      <c r="X91" s="181"/>
      <c r="Y91" s="36"/>
      <c r="Z91" s="181"/>
      <c r="AA91" s="36"/>
      <c r="AB91" s="229">
        <f t="shared" si="1"/>
        <v>7805956</v>
      </c>
      <c r="AE91" s="229">
        <f t="shared" si="2"/>
        <v>4279</v>
      </c>
      <c r="AG91" s="229"/>
    </row>
    <row r="92" spans="1:33">
      <c r="A92" s="229"/>
      <c r="B92" s="135">
        <f>'1. LDC Info'!$F$27-6</f>
        <v>2018</v>
      </c>
      <c r="C92" s="35" t="s">
        <v>116</v>
      </c>
      <c r="D92" s="452">
        <v>2590408</v>
      </c>
      <c r="E92" s="462">
        <v>3814</v>
      </c>
      <c r="F92" s="452">
        <v>943520</v>
      </c>
      <c r="G92" s="462">
        <v>411</v>
      </c>
      <c r="H92" s="465">
        <v>15452</v>
      </c>
      <c r="I92" s="462">
        <v>37</v>
      </c>
      <c r="J92" s="465"/>
      <c r="K92" s="462"/>
      <c r="L92" s="452">
        <v>3973679</v>
      </c>
      <c r="M92" s="453">
        <v>8732.5</v>
      </c>
      <c r="N92" s="462">
        <v>54</v>
      </c>
      <c r="O92" s="452">
        <v>78058</v>
      </c>
      <c r="P92" s="463">
        <v>253.2</v>
      </c>
      <c r="Q92" s="462">
        <v>1195</v>
      </c>
      <c r="R92" s="464"/>
      <c r="S92" s="463"/>
      <c r="T92" s="462">
        <v>0</v>
      </c>
      <c r="U92" s="465"/>
      <c r="V92" s="463"/>
      <c r="W92" s="462"/>
      <c r="X92" s="181"/>
      <c r="Y92" s="36"/>
      <c r="Z92" s="181"/>
      <c r="AA92" s="36"/>
      <c r="AB92" s="229">
        <f t="shared" si="1"/>
        <v>7601117</v>
      </c>
      <c r="AE92" s="229">
        <f t="shared" si="2"/>
        <v>4279</v>
      </c>
      <c r="AG92" s="229"/>
    </row>
    <row r="93" spans="1:33">
      <c r="A93" s="229"/>
      <c r="B93" s="135">
        <f>'1. LDC Info'!$F$27-6</f>
        <v>2018</v>
      </c>
      <c r="C93" s="35" t="s">
        <v>106</v>
      </c>
      <c r="D93" s="452">
        <v>2087138</v>
      </c>
      <c r="E93" s="462">
        <v>3817</v>
      </c>
      <c r="F93" s="452">
        <v>806800</v>
      </c>
      <c r="G93" s="462">
        <v>411</v>
      </c>
      <c r="H93" s="465">
        <v>15452</v>
      </c>
      <c r="I93" s="462">
        <v>37</v>
      </c>
      <c r="J93" s="465"/>
      <c r="K93" s="462"/>
      <c r="L93" s="452">
        <v>3535688</v>
      </c>
      <c r="M93" s="453">
        <v>9082</v>
      </c>
      <c r="N93" s="462">
        <v>54</v>
      </c>
      <c r="O93" s="452">
        <v>87175</v>
      </c>
      <c r="P93" s="453">
        <v>253.2</v>
      </c>
      <c r="Q93" s="462">
        <v>1195</v>
      </c>
      <c r="R93" s="464"/>
      <c r="S93" s="463"/>
      <c r="T93" s="462">
        <v>0</v>
      </c>
      <c r="U93" s="465"/>
      <c r="V93" s="463"/>
      <c r="W93" s="462"/>
      <c r="X93" s="181"/>
      <c r="Y93" s="36"/>
      <c r="Z93" s="181"/>
      <c r="AA93" s="36"/>
      <c r="AB93" s="229">
        <f t="shared" si="1"/>
        <v>6532253</v>
      </c>
      <c r="AE93" s="229">
        <f t="shared" si="2"/>
        <v>4282</v>
      </c>
      <c r="AG93" s="229"/>
    </row>
    <row r="94" spans="1:33">
      <c r="A94" s="229"/>
      <c r="B94" s="135">
        <f>'1. LDC Info'!$F$27-6</f>
        <v>2018</v>
      </c>
      <c r="C94" s="35" t="s">
        <v>107</v>
      </c>
      <c r="D94" s="452">
        <v>2126685</v>
      </c>
      <c r="E94" s="462">
        <v>3817</v>
      </c>
      <c r="F94" s="452">
        <v>804695</v>
      </c>
      <c r="G94" s="462">
        <v>411</v>
      </c>
      <c r="H94" s="465">
        <v>15452</v>
      </c>
      <c r="I94" s="462">
        <v>37</v>
      </c>
      <c r="J94" s="465"/>
      <c r="K94" s="462"/>
      <c r="L94" s="452">
        <v>3608606</v>
      </c>
      <c r="M94" s="453">
        <v>8657.7999999999993</v>
      </c>
      <c r="N94" s="462">
        <v>54</v>
      </c>
      <c r="O94" s="452">
        <v>102938</v>
      </c>
      <c r="P94" s="463">
        <v>253.2</v>
      </c>
      <c r="Q94" s="462">
        <v>1195</v>
      </c>
      <c r="R94" s="464"/>
      <c r="S94" s="463"/>
      <c r="T94" s="462">
        <v>0</v>
      </c>
      <c r="U94" s="465"/>
      <c r="V94" s="463"/>
      <c r="W94" s="462"/>
      <c r="X94" s="181"/>
      <c r="Y94" s="36"/>
      <c r="Z94" s="181"/>
      <c r="AA94" s="36"/>
      <c r="AB94" s="229">
        <f t="shared" si="1"/>
        <v>6658376</v>
      </c>
      <c r="AE94" s="229">
        <f t="shared" si="2"/>
        <v>4282</v>
      </c>
      <c r="AG94" s="229"/>
    </row>
    <row r="95" spans="1:33">
      <c r="A95" s="229"/>
      <c r="B95" s="135">
        <f>'1. LDC Info'!$F$27-6</f>
        <v>2018</v>
      </c>
      <c r="C95" s="35" t="s">
        <v>108</v>
      </c>
      <c r="D95" s="452">
        <v>2536827</v>
      </c>
      <c r="E95" s="462">
        <v>3817</v>
      </c>
      <c r="F95" s="452">
        <v>908815</v>
      </c>
      <c r="G95" s="462">
        <v>411</v>
      </c>
      <c r="H95" s="465">
        <v>15421</v>
      </c>
      <c r="I95" s="462">
        <v>37</v>
      </c>
      <c r="J95" s="465"/>
      <c r="K95" s="462"/>
      <c r="L95" s="452">
        <v>3754636</v>
      </c>
      <c r="M95" s="453">
        <v>7884.9000000000005</v>
      </c>
      <c r="N95" s="462">
        <v>54</v>
      </c>
      <c r="O95" s="452">
        <v>110282</v>
      </c>
      <c r="P95" s="453">
        <v>253.2</v>
      </c>
      <c r="Q95" s="462">
        <v>1195</v>
      </c>
      <c r="R95" s="464"/>
      <c r="S95" s="463"/>
      <c r="T95" s="462">
        <v>0</v>
      </c>
      <c r="U95" s="465"/>
      <c r="V95" s="463"/>
      <c r="W95" s="462"/>
      <c r="X95" s="181"/>
      <c r="Y95" s="36"/>
      <c r="Z95" s="181"/>
      <c r="AA95" s="36"/>
      <c r="AB95" s="229">
        <f t="shared" si="1"/>
        <v>7325981</v>
      </c>
      <c r="AE95" s="229">
        <f t="shared" si="2"/>
        <v>4282</v>
      </c>
      <c r="AG95" s="229"/>
    </row>
    <row r="96" spans="1:33">
      <c r="A96" s="229"/>
      <c r="B96" s="135">
        <f>'1. LDC Info'!$F$27-6</f>
        <v>2018</v>
      </c>
      <c r="C96" s="35" t="s">
        <v>105</v>
      </c>
      <c r="D96" s="452">
        <v>3024476</v>
      </c>
      <c r="E96" s="462">
        <v>3817</v>
      </c>
      <c r="F96" s="452">
        <v>1004513</v>
      </c>
      <c r="G96" s="462">
        <v>441</v>
      </c>
      <c r="H96" s="464">
        <v>12915</v>
      </c>
      <c r="I96" s="462">
        <v>37</v>
      </c>
      <c r="J96" s="464"/>
      <c r="K96" s="462"/>
      <c r="L96" s="452">
        <v>3722881</v>
      </c>
      <c r="M96" s="463">
        <v>7808.1</v>
      </c>
      <c r="N96" s="462">
        <v>54</v>
      </c>
      <c r="O96" s="452">
        <v>119208</v>
      </c>
      <c r="P96" s="463">
        <v>253.2</v>
      </c>
      <c r="Q96" s="462">
        <v>1195</v>
      </c>
      <c r="R96" s="464"/>
      <c r="S96" s="463"/>
      <c r="T96" s="462">
        <v>0</v>
      </c>
      <c r="U96" s="464"/>
      <c r="V96" s="463"/>
      <c r="W96" s="462"/>
      <c r="X96" s="181"/>
      <c r="Y96" s="36"/>
      <c r="Z96" s="181"/>
      <c r="AA96" s="36"/>
      <c r="AB96" s="229">
        <f t="shared" si="1"/>
        <v>7883993</v>
      </c>
      <c r="AC96" s="229">
        <f>SUM(AB85:AB96)</f>
        <v>86792704</v>
      </c>
      <c r="AD96" s="1">
        <v>2016</v>
      </c>
      <c r="AE96" s="229">
        <f t="shared" si="2"/>
        <v>4312</v>
      </c>
      <c r="AG96" s="229"/>
    </row>
    <row r="97" spans="2:31">
      <c r="B97" s="135">
        <f>'1. LDC Info'!$F$27-5</f>
        <v>2019</v>
      </c>
      <c r="C97" s="35" t="s">
        <v>109</v>
      </c>
      <c r="D97" s="452">
        <v>3294073</v>
      </c>
      <c r="E97" s="462">
        <v>3819</v>
      </c>
      <c r="F97" s="452">
        <v>1132140</v>
      </c>
      <c r="G97" s="462">
        <v>442</v>
      </c>
      <c r="H97" s="893">
        <v>14167</v>
      </c>
      <c r="I97" s="462">
        <v>36</v>
      </c>
      <c r="J97" s="893"/>
      <c r="K97" s="462"/>
      <c r="L97" s="452">
        <v>4097272</v>
      </c>
      <c r="M97" s="463">
        <v>8926.4</v>
      </c>
      <c r="N97" s="462">
        <v>54</v>
      </c>
      <c r="O97" s="452">
        <v>116324</v>
      </c>
      <c r="P97" s="463">
        <v>253.2</v>
      </c>
      <c r="Q97" s="462">
        <v>1195</v>
      </c>
      <c r="R97" s="464"/>
      <c r="S97" s="463"/>
      <c r="T97" s="462">
        <v>0</v>
      </c>
      <c r="U97" s="893"/>
      <c r="V97" s="463"/>
      <c r="W97" s="462"/>
      <c r="X97" s="38"/>
      <c r="Y97" s="36"/>
      <c r="Z97" s="38"/>
      <c r="AA97" s="36"/>
      <c r="AB97" s="229">
        <f t="shared" si="1"/>
        <v>8653976</v>
      </c>
      <c r="AE97" s="229">
        <f t="shared" si="2"/>
        <v>4315</v>
      </c>
    </row>
    <row r="98" spans="2:31">
      <c r="B98" s="135">
        <f>'1. LDC Info'!$F$27-5</f>
        <v>2019</v>
      </c>
      <c r="C98" s="35" t="s">
        <v>110</v>
      </c>
      <c r="D98" s="452">
        <v>2807645</v>
      </c>
      <c r="E98" s="462">
        <v>3818</v>
      </c>
      <c r="F98" s="452">
        <v>987221</v>
      </c>
      <c r="G98" s="462">
        <v>440</v>
      </c>
      <c r="H98" s="893">
        <v>14167</v>
      </c>
      <c r="I98" s="462">
        <v>36</v>
      </c>
      <c r="J98" s="893"/>
      <c r="K98" s="462"/>
      <c r="L98" s="452">
        <v>3730475</v>
      </c>
      <c r="M98" s="463">
        <v>8693.5</v>
      </c>
      <c r="N98" s="462">
        <v>54</v>
      </c>
      <c r="O98" s="452">
        <v>105534</v>
      </c>
      <c r="P98" s="463">
        <v>253.2</v>
      </c>
      <c r="Q98" s="462">
        <v>1195</v>
      </c>
      <c r="R98" s="464"/>
      <c r="S98" s="463"/>
      <c r="T98" s="462">
        <v>0</v>
      </c>
      <c r="U98" s="893"/>
      <c r="V98" s="463"/>
      <c r="W98" s="462"/>
      <c r="X98" s="38"/>
      <c r="Y98" s="36"/>
      <c r="Z98" s="38"/>
      <c r="AA98" s="36"/>
      <c r="AB98" s="229">
        <f t="shared" si="1"/>
        <v>7645042</v>
      </c>
      <c r="AE98" s="229">
        <f t="shared" si="2"/>
        <v>4312</v>
      </c>
    </row>
    <row r="99" spans="2:31">
      <c r="B99" s="135">
        <f>'1. LDC Info'!$F$27-5</f>
        <v>2019</v>
      </c>
      <c r="C99" s="35" t="s">
        <v>111</v>
      </c>
      <c r="D99" s="452">
        <v>2748310</v>
      </c>
      <c r="E99" s="462">
        <v>3817</v>
      </c>
      <c r="F99" s="452">
        <v>1016492</v>
      </c>
      <c r="G99" s="462">
        <v>441</v>
      </c>
      <c r="H99" s="893">
        <v>14167</v>
      </c>
      <c r="I99" s="462">
        <v>36</v>
      </c>
      <c r="J99" s="893"/>
      <c r="K99" s="462"/>
      <c r="L99" s="452">
        <v>3970777</v>
      </c>
      <c r="M99" s="463">
        <v>8486.5999999999985</v>
      </c>
      <c r="N99" s="462">
        <v>53</v>
      </c>
      <c r="O99" s="452">
        <v>94582</v>
      </c>
      <c r="P99" s="463">
        <v>253.2</v>
      </c>
      <c r="Q99" s="462">
        <v>1195</v>
      </c>
      <c r="R99" s="464"/>
      <c r="S99" s="463"/>
      <c r="T99" s="462">
        <v>0</v>
      </c>
      <c r="U99" s="893"/>
      <c r="V99" s="463"/>
      <c r="W99" s="462"/>
      <c r="X99" s="38"/>
      <c r="Y99" s="36"/>
      <c r="Z99" s="38"/>
      <c r="AA99" s="36"/>
      <c r="AB99" s="229">
        <f t="shared" si="1"/>
        <v>7844328</v>
      </c>
      <c r="AE99" s="229">
        <f t="shared" si="2"/>
        <v>4311</v>
      </c>
    </row>
    <row r="100" spans="2:31">
      <c r="B100" s="135">
        <f>'1. LDC Info'!$F$27-5</f>
        <v>2019</v>
      </c>
      <c r="C100" s="35" t="s">
        <v>112</v>
      </c>
      <c r="D100" s="452">
        <v>2287471</v>
      </c>
      <c r="E100" s="462">
        <v>3819</v>
      </c>
      <c r="F100" s="452">
        <v>837128</v>
      </c>
      <c r="G100" s="462">
        <v>441</v>
      </c>
      <c r="H100" s="893">
        <v>14167</v>
      </c>
      <c r="I100" s="462">
        <v>36</v>
      </c>
      <c r="J100" s="893"/>
      <c r="K100" s="462"/>
      <c r="L100" s="452">
        <v>3544895</v>
      </c>
      <c r="M100" s="463">
        <v>8053.4000000000005</v>
      </c>
      <c r="N100" s="462">
        <v>53</v>
      </c>
      <c r="O100" s="452">
        <v>79134</v>
      </c>
      <c r="P100" s="463">
        <v>253.2</v>
      </c>
      <c r="Q100" s="462">
        <v>1195</v>
      </c>
      <c r="R100" s="464"/>
      <c r="S100" s="463"/>
      <c r="T100" s="462">
        <v>0</v>
      </c>
      <c r="U100" s="893"/>
      <c r="V100" s="463"/>
      <c r="W100" s="462"/>
      <c r="X100" s="38"/>
      <c r="Y100" s="36"/>
      <c r="Z100" s="38"/>
      <c r="AA100" s="36"/>
      <c r="AB100" s="229">
        <f t="shared" si="1"/>
        <v>6762795</v>
      </c>
      <c r="AE100" s="229">
        <f t="shared" si="2"/>
        <v>4313</v>
      </c>
    </row>
    <row r="101" spans="2:31">
      <c r="B101" s="135">
        <f>'1. LDC Info'!$F$27-5</f>
        <v>2019</v>
      </c>
      <c r="C101" s="35" t="s">
        <v>113</v>
      </c>
      <c r="D101" s="452">
        <v>1993205</v>
      </c>
      <c r="E101" s="462">
        <v>3821</v>
      </c>
      <c r="F101" s="452">
        <v>786608</v>
      </c>
      <c r="G101" s="462">
        <v>441</v>
      </c>
      <c r="H101" s="893">
        <v>14167</v>
      </c>
      <c r="I101" s="462">
        <v>36</v>
      </c>
      <c r="J101" s="893"/>
      <c r="K101" s="462"/>
      <c r="L101" s="452">
        <v>3597523</v>
      </c>
      <c r="M101" s="463">
        <v>7685.7</v>
      </c>
      <c r="N101" s="462">
        <v>53</v>
      </c>
      <c r="O101" s="452">
        <v>71158</v>
      </c>
      <c r="P101" s="463">
        <v>253.2</v>
      </c>
      <c r="Q101" s="462">
        <v>1195</v>
      </c>
      <c r="R101" s="464"/>
      <c r="S101" s="463"/>
      <c r="T101" s="462">
        <v>0</v>
      </c>
      <c r="U101" s="893"/>
      <c r="V101" s="463"/>
      <c r="W101" s="462"/>
      <c r="X101" s="38"/>
      <c r="Y101" s="36"/>
      <c r="Z101" s="38"/>
      <c r="AA101" s="36"/>
      <c r="AB101" s="229">
        <f t="shared" si="1"/>
        <v>6462661</v>
      </c>
      <c r="AE101" s="229">
        <f t="shared" si="2"/>
        <v>4315</v>
      </c>
    </row>
    <row r="102" spans="2:31">
      <c r="B102" s="135">
        <f>'1. LDC Info'!$F$27-5</f>
        <v>2019</v>
      </c>
      <c r="C102" s="35" t="s">
        <v>114</v>
      </c>
      <c r="D102" s="452">
        <v>2012947</v>
      </c>
      <c r="E102" s="462">
        <v>3823</v>
      </c>
      <c r="F102" s="452">
        <v>792590</v>
      </c>
      <c r="G102" s="462">
        <v>441</v>
      </c>
      <c r="H102" s="893">
        <v>14167</v>
      </c>
      <c r="I102" s="462">
        <v>37</v>
      </c>
      <c r="J102" s="893"/>
      <c r="K102" s="462"/>
      <c r="L102" s="452">
        <v>3539135</v>
      </c>
      <c r="M102" s="463">
        <v>7947.8</v>
      </c>
      <c r="N102" s="462">
        <v>53</v>
      </c>
      <c r="O102" s="452">
        <v>62801</v>
      </c>
      <c r="P102" s="463">
        <v>253.2</v>
      </c>
      <c r="Q102" s="462">
        <v>1195</v>
      </c>
      <c r="R102" s="464"/>
      <c r="S102" s="463"/>
      <c r="T102" s="462">
        <v>0</v>
      </c>
      <c r="U102" s="893"/>
      <c r="V102" s="463"/>
      <c r="W102" s="462"/>
      <c r="X102" s="38"/>
      <c r="Y102" s="36"/>
      <c r="Z102" s="38"/>
      <c r="AA102" s="36"/>
      <c r="AB102" s="229">
        <f t="shared" si="1"/>
        <v>6421640</v>
      </c>
      <c r="AE102" s="229">
        <f t="shared" si="2"/>
        <v>4317</v>
      </c>
    </row>
    <row r="103" spans="2:31">
      <c r="B103" s="135">
        <f>'1. LDC Info'!$F$27-5</f>
        <v>2019</v>
      </c>
      <c r="C103" s="35" t="s">
        <v>115</v>
      </c>
      <c r="D103" s="452">
        <v>2897481</v>
      </c>
      <c r="E103" s="462">
        <v>3825</v>
      </c>
      <c r="F103" s="452">
        <v>973632</v>
      </c>
      <c r="G103" s="462">
        <v>441</v>
      </c>
      <c r="H103" s="893">
        <v>15422</v>
      </c>
      <c r="I103" s="462">
        <v>37</v>
      </c>
      <c r="J103" s="893"/>
      <c r="K103" s="462"/>
      <c r="L103" s="452">
        <v>3967298</v>
      </c>
      <c r="M103" s="463">
        <v>8662.9</v>
      </c>
      <c r="N103" s="462">
        <v>53</v>
      </c>
      <c r="O103" s="452">
        <v>68245</v>
      </c>
      <c r="P103" s="463">
        <v>253.2</v>
      </c>
      <c r="Q103" s="462">
        <v>1195</v>
      </c>
      <c r="R103" s="464"/>
      <c r="S103" s="463"/>
      <c r="T103" s="462">
        <v>0</v>
      </c>
      <c r="U103" s="893"/>
      <c r="V103" s="463"/>
      <c r="W103" s="462"/>
      <c r="X103" s="38"/>
      <c r="Y103" s="36"/>
      <c r="Z103" s="38"/>
      <c r="AA103" s="36"/>
      <c r="AB103" s="229">
        <f t="shared" si="1"/>
        <v>7922078</v>
      </c>
      <c r="AE103" s="229">
        <f t="shared" si="2"/>
        <v>4319</v>
      </c>
    </row>
    <row r="104" spans="2:31">
      <c r="B104" s="135">
        <f>'1. LDC Info'!$F$27-5</f>
        <v>2019</v>
      </c>
      <c r="C104" s="35" t="s">
        <v>116</v>
      </c>
      <c r="D104" s="452">
        <v>2306867</v>
      </c>
      <c r="E104" s="462">
        <v>3824</v>
      </c>
      <c r="F104" s="452">
        <v>862852</v>
      </c>
      <c r="G104" s="462">
        <v>442</v>
      </c>
      <c r="H104" s="893">
        <v>15422</v>
      </c>
      <c r="I104" s="462">
        <v>37</v>
      </c>
      <c r="J104" s="893"/>
      <c r="K104" s="462"/>
      <c r="L104" s="452">
        <v>3657012</v>
      </c>
      <c r="M104" s="463">
        <v>7879.5</v>
      </c>
      <c r="N104" s="462">
        <v>53</v>
      </c>
      <c r="O104" s="452">
        <v>78058</v>
      </c>
      <c r="P104" s="463">
        <v>253.2</v>
      </c>
      <c r="Q104" s="462">
        <v>1195</v>
      </c>
      <c r="R104" s="464"/>
      <c r="S104" s="463"/>
      <c r="T104" s="462">
        <v>0</v>
      </c>
      <c r="U104" s="893"/>
      <c r="V104" s="463"/>
      <c r="W104" s="462"/>
      <c r="X104" s="38"/>
      <c r="Y104" s="36"/>
      <c r="Z104" s="38"/>
      <c r="AA104" s="36"/>
      <c r="AB104" s="229">
        <f t="shared" si="1"/>
        <v>6920211</v>
      </c>
      <c r="AE104" s="229">
        <f t="shared" si="2"/>
        <v>4319</v>
      </c>
    </row>
    <row r="105" spans="2:31">
      <c r="B105" s="135">
        <f>'1. LDC Info'!$F$27-5</f>
        <v>2019</v>
      </c>
      <c r="C105" s="35" t="s">
        <v>106</v>
      </c>
      <c r="D105" s="452">
        <v>1820678</v>
      </c>
      <c r="E105" s="462">
        <v>3826</v>
      </c>
      <c r="F105" s="452">
        <v>766291</v>
      </c>
      <c r="G105" s="462">
        <v>442</v>
      </c>
      <c r="H105" s="893">
        <v>15422</v>
      </c>
      <c r="I105" s="462">
        <v>37</v>
      </c>
      <c r="J105" s="893"/>
      <c r="K105" s="462"/>
      <c r="L105" s="452">
        <v>3344958</v>
      </c>
      <c r="M105" s="463">
        <v>8115.7</v>
      </c>
      <c r="N105" s="462">
        <v>53</v>
      </c>
      <c r="O105" s="452">
        <v>87175</v>
      </c>
      <c r="P105" s="463">
        <v>253.2</v>
      </c>
      <c r="Q105" s="462">
        <v>1195</v>
      </c>
      <c r="R105" s="464"/>
      <c r="S105" s="463"/>
      <c r="T105" s="462">
        <v>0</v>
      </c>
      <c r="U105" s="893"/>
      <c r="V105" s="463"/>
      <c r="W105" s="462"/>
      <c r="X105" s="38"/>
      <c r="Y105" s="36"/>
      <c r="Z105" s="38"/>
      <c r="AA105" s="36"/>
      <c r="AB105" s="229">
        <f t="shared" si="1"/>
        <v>6034524</v>
      </c>
      <c r="AE105" s="229">
        <f t="shared" si="2"/>
        <v>4321</v>
      </c>
    </row>
    <row r="106" spans="2:31">
      <c r="B106" s="135">
        <f>'1. LDC Info'!$F$27-5</f>
        <v>2019</v>
      </c>
      <c r="C106" s="35" t="s">
        <v>107</v>
      </c>
      <c r="D106" s="452">
        <v>2031976</v>
      </c>
      <c r="E106" s="462">
        <v>3828</v>
      </c>
      <c r="F106" s="452">
        <v>974672</v>
      </c>
      <c r="G106" s="462">
        <v>444</v>
      </c>
      <c r="H106" s="893">
        <v>15422</v>
      </c>
      <c r="I106" s="462">
        <v>37</v>
      </c>
      <c r="J106" s="893"/>
      <c r="K106" s="462"/>
      <c r="L106" s="452">
        <v>3265321</v>
      </c>
      <c r="M106" s="463">
        <v>7513.9000000000005</v>
      </c>
      <c r="N106" s="462">
        <v>51</v>
      </c>
      <c r="O106" s="452">
        <v>102938</v>
      </c>
      <c r="P106" s="463">
        <v>253.2</v>
      </c>
      <c r="Q106" s="462">
        <v>1195</v>
      </c>
      <c r="R106" s="464"/>
      <c r="S106" s="463"/>
      <c r="T106" s="462">
        <v>0</v>
      </c>
      <c r="U106" s="893"/>
      <c r="V106" s="463"/>
      <c r="W106" s="462"/>
      <c r="X106" s="38"/>
      <c r="Y106" s="36"/>
      <c r="Z106" s="38"/>
      <c r="AA106" s="36"/>
      <c r="AB106" s="229">
        <f t="shared" si="1"/>
        <v>6390329</v>
      </c>
      <c r="AE106" s="229">
        <f t="shared" si="2"/>
        <v>4323</v>
      </c>
    </row>
    <row r="107" spans="2:31">
      <c r="B107" s="135">
        <f>'1. LDC Info'!$F$27-5</f>
        <v>2019</v>
      </c>
      <c r="C107" s="35" t="s">
        <v>108</v>
      </c>
      <c r="D107" s="452">
        <v>2580982</v>
      </c>
      <c r="E107" s="462">
        <v>3829</v>
      </c>
      <c r="F107" s="452">
        <v>1125944</v>
      </c>
      <c r="G107" s="462">
        <v>460</v>
      </c>
      <c r="H107" s="893">
        <v>14568</v>
      </c>
      <c r="I107" s="462">
        <v>37</v>
      </c>
      <c r="J107" s="893"/>
      <c r="K107" s="462"/>
      <c r="L107" s="452">
        <v>3510708</v>
      </c>
      <c r="M107" s="463">
        <v>7203.3</v>
      </c>
      <c r="N107" s="462">
        <v>36</v>
      </c>
      <c r="O107" s="452">
        <v>110282</v>
      </c>
      <c r="P107" s="463">
        <v>253.2</v>
      </c>
      <c r="Q107" s="462">
        <v>1195</v>
      </c>
      <c r="R107" s="464"/>
      <c r="S107" s="463"/>
      <c r="T107" s="462">
        <v>0</v>
      </c>
      <c r="U107" s="893"/>
      <c r="V107" s="463"/>
      <c r="W107" s="462"/>
      <c r="X107" s="38"/>
      <c r="Y107" s="36"/>
      <c r="Z107" s="38"/>
      <c r="AA107" s="36"/>
      <c r="AB107" s="229">
        <f t="shared" si="1"/>
        <v>7342484</v>
      </c>
      <c r="AE107" s="229">
        <f t="shared" si="2"/>
        <v>4325</v>
      </c>
    </row>
    <row r="108" spans="2:31">
      <c r="B108" s="135">
        <f>'1. LDC Info'!$F$27-5</f>
        <v>2019</v>
      </c>
      <c r="C108" s="35" t="s">
        <v>105</v>
      </c>
      <c r="D108" s="452">
        <v>3037193</v>
      </c>
      <c r="E108" s="462">
        <v>3829</v>
      </c>
      <c r="F108" s="452">
        <v>1272241</v>
      </c>
      <c r="G108" s="462">
        <v>460</v>
      </c>
      <c r="H108" s="464">
        <v>15562</v>
      </c>
      <c r="I108" s="462">
        <v>38</v>
      </c>
      <c r="J108" s="464"/>
      <c r="K108" s="462"/>
      <c r="L108" s="452">
        <v>3540485</v>
      </c>
      <c r="M108" s="463">
        <v>7301.6</v>
      </c>
      <c r="N108" s="462">
        <v>36</v>
      </c>
      <c r="O108" s="452">
        <v>119208</v>
      </c>
      <c r="P108" s="463">
        <v>253.2</v>
      </c>
      <c r="Q108" s="462">
        <v>1195</v>
      </c>
      <c r="R108" s="464"/>
      <c r="S108" s="463"/>
      <c r="T108" s="462">
        <v>0</v>
      </c>
      <c r="U108" s="464"/>
      <c r="V108" s="463"/>
      <c r="W108" s="462"/>
      <c r="X108" s="38"/>
      <c r="Y108" s="36"/>
      <c r="Z108" s="38"/>
      <c r="AA108" s="36"/>
      <c r="AB108" s="229">
        <f t="shared" si="1"/>
        <v>7984689</v>
      </c>
      <c r="AC108" s="229">
        <f>SUM(AB97:AB108)</f>
        <v>86384757</v>
      </c>
      <c r="AD108" s="1">
        <v>2017</v>
      </c>
      <c r="AE108" s="229">
        <f t="shared" si="2"/>
        <v>4325</v>
      </c>
    </row>
    <row r="109" spans="2:31">
      <c r="B109" s="135">
        <f>'1. LDC Info'!$F$27-4</f>
        <v>2020</v>
      </c>
      <c r="C109" s="35" t="s">
        <v>109</v>
      </c>
      <c r="D109" s="464">
        <v>2983623</v>
      </c>
      <c r="E109" s="462">
        <v>3834</v>
      </c>
      <c r="F109" s="464">
        <v>1285685</v>
      </c>
      <c r="G109" s="462">
        <v>460</v>
      </c>
      <c r="H109" s="893">
        <v>15562</v>
      </c>
      <c r="I109" s="462">
        <v>37</v>
      </c>
      <c r="J109" s="893"/>
      <c r="K109" s="462"/>
      <c r="L109" s="452">
        <v>3675099</v>
      </c>
      <c r="M109" s="463">
        <v>7242</v>
      </c>
      <c r="N109" s="462">
        <v>36</v>
      </c>
      <c r="O109" s="452">
        <v>116331</v>
      </c>
      <c r="P109" s="463">
        <v>253.2</v>
      </c>
      <c r="Q109" s="462">
        <v>1227</v>
      </c>
      <c r="R109" s="464"/>
      <c r="S109" s="463"/>
      <c r="T109" s="462">
        <v>0</v>
      </c>
      <c r="U109" s="893"/>
      <c r="V109" s="463"/>
      <c r="W109" s="462"/>
      <c r="X109" s="38"/>
      <c r="Y109" s="36"/>
      <c r="Z109" s="38"/>
      <c r="AA109" s="36"/>
      <c r="AB109" s="229">
        <f t="shared" si="1"/>
        <v>8076300</v>
      </c>
      <c r="AE109" s="229">
        <f t="shared" si="2"/>
        <v>4330</v>
      </c>
    </row>
    <row r="110" spans="2:31">
      <c r="B110" s="135">
        <f>'1. LDC Info'!$F$27-4</f>
        <v>2020</v>
      </c>
      <c r="C110" s="35" t="s">
        <v>110</v>
      </c>
      <c r="D110" s="464">
        <v>2749828</v>
      </c>
      <c r="E110" s="462">
        <v>3837</v>
      </c>
      <c r="F110" s="464">
        <v>1195494</v>
      </c>
      <c r="G110" s="462">
        <v>460</v>
      </c>
      <c r="H110" s="893">
        <v>15607</v>
      </c>
      <c r="I110" s="462">
        <v>38</v>
      </c>
      <c r="J110" s="893"/>
      <c r="K110" s="462"/>
      <c r="L110" s="452">
        <v>3433858</v>
      </c>
      <c r="M110" s="463">
        <v>7186.3</v>
      </c>
      <c r="N110" s="462">
        <v>36</v>
      </c>
      <c r="O110" s="452">
        <v>109116</v>
      </c>
      <c r="P110" s="463">
        <v>253.2</v>
      </c>
      <c r="Q110" s="462">
        <v>1227</v>
      </c>
      <c r="R110" s="464"/>
      <c r="S110" s="463"/>
      <c r="T110" s="462">
        <v>0</v>
      </c>
      <c r="U110" s="893"/>
      <c r="V110" s="463"/>
      <c r="W110" s="462"/>
      <c r="X110" s="38"/>
      <c r="Y110" s="36"/>
      <c r="Z110" s="38"/>
      <c r="AA110" s="36"/>
      <c r="AB110" s="229">
        <f t="shared" si="1"/>
        <v>7503903</v>
      </c>
      <c r="AE110" s="229">
        <f t="shared" si="2"/>
        <v>4333</v>
      </c>
    </row>
    <row r="111" spans="2:31">
      <c r="B111" s="135">
        <f>'1. LDC Info'!$F$27-4</f>
        <v>2020</v>
      </c>
      <c r="C111" s="35" t="s">
        <v>111</v>
      </c>
      <c r="D111" s="464">
        <v>2656342</v>
      </c>
      <c r="E111" s="462">
        <v>3837</v>
      </c>
      <c r="F111" s="464">
        <v>1089430</v>
      </c>
      <c r="G111" s="462">
        <v>459</v>
      </c>
      <c r="H111" s="893">
        <v>15007</v>
      </c>
      <c r="I111" s="462">
        <v>38</v>
      </c>
      <c r="J111" s="893"/>
      <c r="K111" s="462"/>
      <c r="L111" s="452">
        <v>3620007</v>
      </c>
      <c r="M111" s="463">
        <v>7635.2</v>
      </c>
      <c r="N111" s="462">
        <v>36</v>
      </c>
      <c r="O111" s="452">
        <v>94559</v>
      </c>
      <c r="P111" s="463">
        <v>253.2</v>
      </c>
      <c r="Q111" s="462">
        <v>1227</v>
      </c>
      <c r="R111" s="464"/>
      <c r="S111" s="463"/>
      <c r="T111" s="462">
        <v>0</v>
      </c>
      <c r="U111" s="893"/>
      <c r="V111" s="463"/>
      <c r="W111" s="462"/>
      <c r="X111" s="38"/>
      <c r="Y111" s="36"/>
      <c r="Z111" s="38"/>
      <c r="AA111" s="36"/>
      <c r="AB111" s="229">
        <f t="shared" si="1"/>
        <v>7475345</v>
      </c>
      <c r="AE111" s="229">
        <f t="shared" si="2"/>
        <v>4332</v>
      </c>
    </row>
    <row r="112" spans="2:31">
      <c r="B112" s="135">
        <f>'1. LDC Info'!$F$27-4</f>
        <v>2020</v>
      </c>
      <c r="C112" s="35" t="s">
        <v>112</v>
      </c>
      <c r="D112" s="464">
        <v>2363635</v>
      </c>
      <c r="E112" s="462">
        <v>3838</v>
      </c>
      <c r="F112" s="464">
        <v>856421</v>
      </c>
      <c r="G112" s="462">
        <v>461</v>
      </c>
      <c r="H112" s="893">
        <v>15007</v>
      </c>
      <c r="I112" s="462">
        <v>37</v>
      </c>
      <c r="J112" s="893"/>
      <c r="K112" s="462"/>
      <c r="L112" s="452">
        <v>3038517</v>
      </c>
      <c r="M112" s="463">
        <v>6993.3</v>
      </c>
      <c r="N112" s="462">
        <v>36</v>
      </c>
      <c r="O112" s="452">
        <v>79116</v>
      </c>
      <c r="P112" s="463">
        <v>253.2</v>
      </c>
      <c r="Q112" s="462">
        <v>1227</v>
      </c>
      <c r="R112" s="464"/>
      <c r="S112" s="463"/>
      <c r="T112" s="462">
        <v>0</v>
      </c>
      <c r="U112" s="893"/>
      <c r="V112" s="463"/>
      <c r="W112" s="462"/>
      <c r="X112" s="38"/>
      <c r="Y112" s="36"/>
      <c r="Z112" s="38"/>
      <c r="AA112" s="36"/>
      <c r="AB112" s="229">
        <f t="shared" si="1"/>
        <v>6352696</v>
      </c>
      <c r="AE112" s="229">
        <f t="shared" si="2"/>
        <v>4335</v>
      </c>
    </row>
    <row r="113" spans="2:31">
      <c r="B113" s="135">
        <f>'1. LDC Info'!$F$27-4</f>
        <v>2020</v>
      </c>
      <c r="C113" s="35" t="s">
        <v>113</v>
      </c>
      <c r="D113" s="464">
        <v>2310004</v>
      </c>
      <c r="E113" s="462">
        <v>3838</v>
      </c>
      <c r="F113" s="464">
        <v>852885</v>
      </c>
      <c r="G113" s="462">
        <v>459</v>
      </c>
      <c r="H113" s="893">
        <v>14528</v>
      </c>
      <c r="I113" s="462">
        <v>37</v>
      </c>
      <c r="J113" s="893"/>
      <c r="K113" s="462"/>
      <c r="L113" s="452">
        <v>3050625</v>
      </c>
      <c r="M113" s="463">
        <v>7574.6</v>
      </c>
      <c r="N113" s="462">
        <v>36</v>
      </c>
      <c r="O113" s="452">
        <v>71141</v>
      </c>
      <c r="P113" s="463">
        <v>253.2</v>
      </c>
      <c r="Q113" s="462">
        <v>1227</v>
      </c>
      <c r="R113" s="464"/>
      <c r="S113" s="463"/>
      <c r="T113" s="462">
        <v>0</v>
      </c>
      <c r="U113" s="893"/>
      <c r="V113" s="463"/>
      <c r="W113" s="462"/>
      <c r="X113" s="38"/>
      <c r="Y113" s="36"/>
      <c r="Z113" s="38"/>
      <c r="AA113" s="36"/>
      <c r="AB113" s="229">
        <f t="shared" si="1"/>
        <v>6299183</v>
      </c>
      <c r="AE113" s="229">
        <f t="shared" si="2"/>
        <v>4333</v>
      </c>
    </row>
    <row r="114" spans="2:31">
      <c r="B114" s="135">
        <f>'1. LDC Info'!$F$27-4</f>
        <v>2020</v>
      </c>
      <c r="C114" s="35" t="s">
        <v>114</v>
      </c>
      <c r="D114" s="464">
        <v>2468171</v>
      </c>
      <c r="E114" s="462">
        <v>3849</v>
      </c>
      <c r="F114" s="464">
        <v>941740</v>
      </c>
      <c r="G114" s="462">
        <v>457</v>
      </c>
      <c r="H114" s="893">
        <v>14528</v>
      </c>
      <c r="I114" s="462">
        <v>37</v>
      </c>
      <c r="J114" s="893"/>
      <c r="K114" s="462"/>
      <c r="L114" s="452">
        <v>3193669</v>
      </c>
      <c r="M114" s="463">
        <v>7573.7</v>
      </c>
      <c r="N114" s="462">
        <v>36</v>
      </c>
      <c r="O114" s="452">
        <v>62786</v>
      </c>
      <c r="P114" s="463">
        <v>253.2</v>
      </c>
      <c r="Q114" s="462">
        <v>1227</v>
      </c>
      <c r="R114" s="464"/>
      <c r="S114" s="463"/>
      <c r="T114" s="462">
        <v>0</v>
      </c>
      <c r="U114" s="893"/>
      <c r="V114" s="463"/>
      <c r="W114" s="462"/>
      <c r="X114" s="38"/>
      <c r="Y114" s="36"/>
      <c r="Z114" s="38"/>
      <c r="AA114" s="36"/>
      <c r="AB114" s="229">
        <f t="shared" si="1"/>
        <v>6680894</v>
      </c>
      <c r="AE114" s="229">
        <f t="shared" si="2"/>
        <v>4342</v>
      </c>
    </row>
    <row r="115" spans="2:31">
      <c r="B115" s="135">
        <f>'1. LDC Info'!$F$27-4</f>
        <v>2020</v>
      </c>
      <c r="C115" s="35" t="s">
        <v>115</v>
      </c>
      <c r="D115" s="464">
        <v>3301391</v>
      </c>
      <c r="E115" s="462">
        <v>3846</v>
      </c>
      <c r="F115" s="464">
        <v>1147964</v>
      </c>
      <c r="G115" s="462">
        <v>456</v>
      </c>
      <c r="H115" s="893">
        <v>22068</v>
      </c>
      <c r="I115" s="462">
        <v>37</v>
      </c>
      <c r="J115" s="893"/>
      <c r="K115" s="462"/>
      <c r="L115" s="452">
        <v>3413639</v>
      </c>
      <c r="M115" s="463">
        <v>8146.0000000000009</v>
      </c>
      <c r="N115" s="462">
        <v>36</v>
      </c>
      <c r="O115" s="452">
        <v>68229</v>
      </c>
      <c r="P115" s="463">
        <v>253.2</v>
      </c>
      <c r="Q115" s="462">
        <v>1227</v>
      </c>
      <c r="R115" s="464"/>
      <c r="S115" s="463"/>
      <c r="T115" s="462">
        <v>0</v>
      </c>
      <c r="U115" s="893"/>
      <c r="V115" s="463"/>
      <c r="W115" s="462"/>
      <c r="X115" s="38"/>
      <c r="Y115" s="36"/>
      <c r="Z115" s="38"/>
      <c r="AA115" s="36"/>
      <c r="AB115" s="229">
        <f t="shared" si="1"/>
        <v>7953291</v>
      </c>
      <c r="AE115" s="229">
        <f t="shared" si="2"/>
        <v>4338</v>
      </c>
    </row>
    <row r="116" spans="2:31">
      <c r="B116" s="135">
        <f>'1. LDC Info'!$F$27-4</f>
        <v>2020</v>
      </c>
      <c r="C116" s="35" t="s">
        <v>116</v>
      </c>
      <c r="D116" s="464">
        <v>2532188</v>
      </c>
      <c r="E116" s="462">
        <v>3851</v>
      </c>
      <c r="F116" s="464">
        <v>1005623</v>
      </c>
      <c r="G116" s="462">
        <v>456</v>
      </c>
      <c r="H116" s="893">
        <v>22068</v>
      </c>
      <c r="I116" s="462">
        <v>37</v>
      </c>
      <c r="J116" s="893"/>
      <c r="K116" s="462"/>
      <c r="L116" s="452">
        <v>3442024</v>
      </c>
      <c r="M116" s="463">
        <v>7789.8</v>
      </c>
      <c r="N116" s="462">
        <v>36</v>
      </c>
      <c r="O116" s="452">
        <v>78040</v>
      </c>
      <c r="P116" s="463">
        <v>253.2</v>
      </c>
      <c r="Q116" s="462">
        <v>1227</v>
      </c>
      <c r="R116" s="464"/>
      <c r="S116" s="463"/>
      <c r="T116" s="462">
        <v>0</v>
      </c>
      <c r="U116" s="893"/>
      <c r="V116" s="463"/>
      <c r="W116" s="462"/>
      <c r="X116" s="38"/>
      <c r="Y116" s="36"/>
      <c r="Z116" s="38"/>
      <c r="AA116" s="36"/>
      <c r="AB116" s="229">
        <f t="shared" si="1"/>
        <v>7079943</v>
      </c>
      <c r="AE116" s="229">
        <f t="shared" si="2"/>
        <v>4343</v>
      </c>
    </row>
    <row r="117" spans="2:31">
      <c r="B117" s="135">
        <f>'1. LDC Info'!$F$27-4</f>
        <v>2020</v>
      </c>
      <c r="C117" s="35" t="s">
        <v>106</v>
      </c>
      <c r="D117" s="464">
        <v>1965231</v>
      </c>
      <c r="E117" s="462">
        <v>3851</v>
      </c>
      <c r="F117" s="464">
        <v>888264</v>
      </c>
      <c r="G117" s="462">
        <v>456</v>
      </c>
      <c r="H117" s="893">
        <v>23308</v>
      </c>
      <c r="I117" s="462">
        <v>37</v>
      </c>
      <c r="J117" s="893"/>
      <c r="K117" s="462"/>
      <c r="L117" s="452">
        <v>3205909</v>
      </c>
      <c r="M117" s="463">
        <v>7875.5</v>
      </c>
      <c r="N117" s="462">
        <v>35</v>
      </c>
      <c r="O117" s="452">
        <v>85571</v>
      </c>
      <c r="P117" s="463">
        <v>248.6</v>
      </c>
      <c r="Q117" s="462">
        <v>1227</v>
      </c>
      <c r="R117" s="464"/>
      <c r="S117" s="463"/>
      <c r="T117" s="462">
        <v>0</v>
      </c>
      <c r="U117" s="893"/>
      <c r="V117" s="463"/>
      <c r="W117" s="462"/>
      <c r="X117" s="38"/>
      <c r="Y117" s="36"/>
      <c r="Z117" s="38"/>
      <c r="AA117" s="36"/>
      <c r="AB117" s="229">
        <f t="shared" si="1"/>
        <v>6168283</v>
      </c>
      <c r="AE117" s="229">
        <f t="shared" si="2"/>
        <v>4342</v>
      </c>
    </row>
    <row r="118" spans="2:31">
      <c r="B118" s="135">
        <f>'1. LDC Info'!$F$27-4</f>
        <v>2020</v>
      </c>
      <c r="C118" s="35" t="s">
        <v>107</v>
      </c>
      <c r="D118" s="464">
        <v>2209208</v>
      </c>
      <c r="E118" s="462">
        <v>3852</v>
      </c>
      <c r="F118" s="464">
        <v>935042</v>
      </c>
      <c r="G118" s="462">
        <v>457</v>
      </c>
      <c r="H118" s="893">
        <v>21308</v>
      </c>
      <c r="I118" s="462">
        <v>37</v>
      </c>
      <c r="J118" s="893"/>
      <c r="K118" s="462"/>
      <c r="L118" s="452">
        <v>3345877</v>
      </c>
      <c r="M118" s="463">
        <v>7739.8</v>
      </c>
      <c r="N118" s="462">
        <v>35</v>
      </c>
      <c r="O118" s="452">
        <v>99991</v>
      </c>
      <c r="P118" s="463">
        <v>246</v>
      </c>
      <c r="Q118" s="462">
        <v>1227</v>
      </c>
      <c r="R118" s="464"/>
      <c r="S118" s="463"/>
      <c r="T118" s="462">
        <v>0</v>
      </c>
      <c r="U118" s="893"/>
      <c r="V118" s="463"/>
      <c r="W118" s="462"/>
      <c r="X118" s="38"/>
      <c r="Y118" s="36"/>
      <c r="Z118" s="38"/>
      <c r="AA118" s="36"/>
      <c r="AB118" s="229">
        <f t="shared" si="1"/>
        <v>6611426</v>
      </c>
      <c r="AE118" s="229">
        <f t="shared" si="2"/>
        <v>4344</v>
      </c>
    </row>
    <row r="119" spans="2:31">
      <c r="B119" s="135">
        <f>'1. LDC Info'!$F$27-4</f>
        <v>2020</v>
      </c>
      <c r="C119" s="35" t="s">
        <v>108</v>
      </c>
      <c r="D119" s="464">
        <v>2390867</v>
      </c>
      <c r="E119" s="462">
        <v>3851</v>
      </c>
      <c r="F119" s="464">
        <v>992876</v>
      </c>
      <c r="G119" s="462">
        <v>457</v>
      </c>
      <c r="H119" s="893">
        <v>22549</v>
      </c>
      <c r="I119" s="462">
        <v>37</v>
      </c>
      <c r="J119" s="893"/>
      <c r="K119" s="462"/>
      <c r="L119" s="452">
        <v>3216173</v>
      </c>
      <c r="M119" s="463">
        <v>7699.63</v>
      </c>
      <c r="N119" s="462">
        <v>35</v>
      </c>
      <c r="O119" s="452">
        <v>102638</v>
      </c>
      <c r="P119" s="463">
        <v>235.7</v>
      </c>
      <c r="Q119" s="462">
        <v>1227</v>
      </c>
      <c r="R119" s="464"/>
      <c r="S119" s="463"/>
      <c r="T119" s="462">
        <v>0</v>
      </c>
      <c r="U119" s="893"/>
      <c r="V119" s="463"/>
      <c r="W119" s="462"/>
      <c r="X119" s="38"/>
      <c r="Y119" s="36"/>
      <c r="Z119" s="38"/>
      <c r="AA119" s="36"/>
      <c r="AB119" s="229">
        <f t="shared" si="1"/>
        <v>6725103</v>
      </c>
      <c r="AE119" s="229">
        <f t="shared" si="2"/>
        <v>4343</v>
      </c>
    </row>
    <row r="120" spans="2:31">
      <c r="B120" s="135">
        <f>'1. LDC Info'!$F$27-4</f>
        <v>2020</v>
      </c>
      <c r="C120" s="35" t="s">
        <v>105</v>
      </c>
      <c r="D120" s="452">
        <v>3047189</v>
      </c>
      <c r="E120" s="462">
        <v>3853</v>
      </c>
      <c r="F120" s="452">
        <v>1004160</v>
      </c>
      <c r="G120" s="462">
        <v>451</v>
      </c>
      <c r="H120" s="464">
        <v>22549</v>
      </c>
      <c r="I120" s="462">
        <v>37</v>
      </c>
      <c r="J120" s="464"/>
      <c r="K120" s="462"/>
      <c r="L120" s="452">
        <v>3506549</v>
      </c>
      <c r="M120" s="463">
        <v>8293</v>
      </c>
      <c r="N120" s="462">
        <v>41</v>
      </c>
      <c r="O120" s="452">
        <v>105994</v>
      </c>
      <c r="P120" s="463">
        <v>225.2</v>
      </c>
      <c r="Q120" s="462">
        <v>1227</v>
      </c>
      <c r="R120" s="464"/>
      <c r="S120" s="463"/>
      <c r="T120" s="462">
        <v>0</v>
      </c>
      <c r="U120" s="464"/>
      <c r="V120" s="463"/>
      <c r="W120" s="462"/>
      <c r="X120" s="38"/>
      <c r="Y120" s="36"/>
      <c r="Z120" s="38"/>
      <c r="AA120" s="36"/>
      <c r="AB120" s="229">
        <f t="shared" si="1"/>
        <v>7686441</v>
      </c>
      <c r="AC120" s="229">
        <f>SUM(AB109:AB120)</f>
        <v>84612808</v>
      </c>
      <c r="AD120" s="1">
        <v>2018</v>
      </c>
      <c r="AE120" s="229">
        <f t="shared" si="2"/>
        <v>4345</v>
      </c>
    </row>
    <row r="121" spans="2:31">
      <c r="B121" s="135">
        <f>'1. LDC Info'!$F$27-3</f>
        <v>2021</v>
      </c>
      <c r="C121" s="35" t="s">
        <v>109</v>
      </c>
      <c r="D121" s="464">
        <v>3133859</v>
      </c>
      <c r="E121" s="462">
        <v>3853</v>
      </c>
      <c r="F121" s="464">
        <v>1030394</v>
      </c>
      <c r="G121" s="462">
        <v>451</v>
      </c>
      <c r="H121" s="465">
        <v>22549</v>
      </c>
      <c r="I121" s="462">
        <v>37</v>
      </c>
      <c r="J121" s="465"/>
      <c r="K121" s="462"/>
      <c r="L121" s="452">
        <v>3571971</v>
      </c>
      <c r="M121" s="463">
        <v>8188.3000000000011</v>
      </c>
      <c r="N121" s="462">
        <v>41</v>
      </c>
      <c r="O121" s="452">
        <v>98057</v>
      </c>
      <c r="P121" s="463">
        <v>213.4</v>
      </c>
      <c r="Q121" s="462">
        <v>1227</v>
      </c>
      <c r="R121" s="464"/>
      <c r="S121" s="463"/>
      <c r="T121" s="462">
        <v>0</v>
      </c>
      <c r="U121" s="465"/>
      <c r="V121" s="463"/>
      <c r="W121" s="462"/>
      <c r="X121" s="181"/>
      <c r="Y121" s="36"/>
      <c r="Z121" s="181"/>
      <c r="AA121" s="36"/>
      <c r="AB121" s="229">
        <f t="shared" si="1"/>
        <v>7856830</v>
      </c>
      <c r="AE121" s="229">
        <f t="shared" si="2"/>
        <v>4345</v>
      </c>
    </row>
    <row r="122" spans="2:31">
      <c r="B122" s="135">
        <f>'1. LDC Info'!$F$27-3</f>
        <v>2021</v>
      </c>
      <c r="C122" s="35" t="s">
        <v>110</v>
      </c>
      <c r="D122" s="464">
        <v>2883961</v>
      </c>
      <c r="E122" s="462">
        <v>3854</v>
      </c>
      <c r="F122" s="464">
        <v>980342</v>
      </c>
      <c r="G122" s="462">
        <v>455</v>
      </c>
      <c r="H122" s="465">
        <v>22549</v>
      </c>
      <c r="I122" s="462">
        <v>37</v>
      </c>
      <c r="J122" s="465"/>
      <c r="K122" s="462"/>
      <c r="L122" s="452">
        <v>3308566</v>
      </c>
      <c r="M122" s="463">
        <v>8398.58</v>
      </c>
      <c r="N122" s="462">
        <v>41</v>
      </c>
      <c r="O122" s="452">
        <v>-80583</v>
      </c>
      <c r="P122" s="463">
        <v>-176.5</v>
      </c>
      <c r="Q122" s="462">
        <v>1227</v>
      </c>
      <c r="R122" s="464"/>
      <c r="S122" s="463"/>
      <c r="T122" s="462">
        <v>0</v>
      </c>
      <c r="U122" s="465"/>
      <c r="V122" s="463"/>
      <c r="W122" s="462"/>
      <c r="X122" s="181"/>
      <c r="Y122" s="36"/>
      <c r="Z122" s="181"/>
      <c r="AA122" s="36"/>
      <c r="AB122" s="229">
        <f t="shared" si="1"/>
        <v>7114835</v>
      </c>
      <c r="AE122" s="229">
        <f t="shared" si="2"/>
        <v>4350</v>
      </c>
    </row>
    <row r="123" spans="2:31">
      <c r="B123" s="135">
        <f>'1. LDC Info'!$F$27-3</f>
        <v>2021</v>
      </c>
      <c r="C123" s="35" t="s">
        <v>111</v>
      </c>
      <c r="D123" s="464">
        <v>2714421</v>
      </c>
      <c r="E123" s="462">
        <v>3853</v>
      </c>
      <c r="F123" s="464">
        <v>1007922</v>
      </c>
      <c r="G123" s="462">
        <v>455</v>
      </c>
      <c r="H123" s="465">
        <v>22549</v>
      </c>
      <c r="I123" s="462">
        <v>37</v>
      </c>
      <c r="J123" s="465"/>
      <c r="K123" s="462"/>
      <c r="L123" s="452">
        <v>3696005</v>
      </c>
      <c r="M123" s="463">
        <v>8539</v>
      </c>
      <c r="N123" s="462">
        <v>42</v>
      </c>
      <c r="O123" s="452">
        <v>35918</v>
      </c>
      <c r="P123" s="463">
        <v>95.4</v>
      </c>
      <c r="Q123" s="462">
        <v>1227</v>
      </c>
      <c r="R123" s="464"/>
      <c r="S123" s="463"/>
      <c r="T123" s="462">
        <v>0</v>
      </c>
      <c r="U123" s="465"/>
      <c r="V123" s="463"/>
      <c r="W123" s="462"/>
      <c r="X123" s="181"/>
      <c r="Y123" s="36"/>
      <c r="Z123" s="181"/>
      <c r="AA123" s="36"/>
      <c r="AB123" s="229">
        <f t="shared" si="1"/>
        <v>7476815</v>
      </c>
      <c r="AE123" s="229">
        <f t="shared" si="2"/>
        <v>4350</v>
      </c>
    </row>
    <row r="124" spans="2:31">
      <c r="B124" s="135">
        <f>'1. LDC Info'!$F$27-3</f>
        <v>2021</v>
      </c>
      <c r="C124" s="35" t="s">
        <v>112</v>
      </c>
      <c r="D124" s="464">
        <v>2151265</v>
      </c>
      <c r="E124" s="462">
        <v>3858</v>
      </c>
      <c r="F124" s="464">
        <v>791551</v>
      </c>
      <c r="G124" s="462">
        <v>455</v>
      </c>
      <c r="H124" s="465">
        <v>22549</v>
      </c>
      <c r="I124" s="462">
        <v>37</v>
      </c>
      <c r="J124" s="465"/>
      <c r="K124" s="462"/>
      <c r="L124" s="452">
        <v>3185747</v>
      </c>
      <c r="M124" s="463">
        <v>8171.3000000000011</v>
      </c>
      <c r="N124" s="462">
        <v>42</v>
      </c>
      <c r="O124" s="452">
        <v>29812</v>
      </c>
      <c r="P124" s="463">
        <v>95.4</v>
      </c>
      <c r="Q124" s="462">
        <v>1227</v>
      </c>
      <c r="R124" s="464"/>
      <c r="S124" s="463"/>
      <c r="T124" s="462">
        <v>0</v>
      </c>
      <c r="U124" s="465"/>
      <c r="V124" s="463"/>
      <c r="W124" s="462"/>
      <c r="X124" s="181"/>
      <c r="Y124" s="36"/>
      <c r="Z124" s="181"/>
      <c r="AA124" s="36"/>
      <c r="AB124" s="229">
        <f t="shared" si="1"/>
        <v>6180924</v>
      </c>
      <c r="AE124" s="229">
        <f t="shared" si="2"/>
        <v>4355</v>
      </c>
    </row>
    <row r="125" spans="2:31">
      <c r="B125" s="135">
        <f>'1. LDC Info'!$F$27-3</f>
        <v>2021</v>
      </c>
      <c r="C125" s="35" t="s">
        <v>113</v>
      </c>
      <c r="D125" s="464">
        <v>2219219</v>
      </c>
      <c r="E125" s="462">
        <v>3858</v>
      </c>
      <c r="F125" s="464">
        <v>794873</v>
      </c>
      <c r="G125" s="462">
        <v>456</v>
      </c>
      <c r="H125" s="465">
        <v>22549</v>
      </c>
      <c r="I125" s="462">
        <v>37</v>
      </c>
      <c r="J125" s="465"/>
      <c r="K125" s="462"/>
      <c r="L125" s="452">
        <v>3315957</v>
      </c>
      <c r="M125" s="463">
        <v>8523.2000000000007</v>
      </c>
      <c r="N125" s="462">
        <v>42</v>
      </c>
      <c r="O125" s="452">
        <v>26808</v>
      </c>
      <c r="P125" s="463">
        <v>95.4</v>
      </c>
      <c r="Q125" s="462">
        <v>1227</v>
      </c>
      <c r="R125" s="464"/>
      <c r="S125" s="463"/>
      <c r="T125" s="462">
        <v>0</v>
      </c>
      <c r="U125" s="465"/>
      <c r="V125" s="463"/>
      <c r="W125" s="462"/>
      <c r="X125" s="181"/>
      <c r="Y125" s="36"/>
      <c r="Z125" s="181"/>
      <c r="AA125" s="36"/>
      <c r="AB125" s="229">
        <f t="shared" si="1"/>
        <v>6379406</v>
      </c>
      <c r="AE125" s="229">
        <f t="shared" si="2"/>
        <v>4356</v>
      </c>
    </row>
    <row r="126" spans="2:31">
      <c r="B126" s="135">
        <f>'1. LDC Info'!$F$27-3</f>
        <v>2021</v>
      </c>
      <c r="C126" s="35" t="s">
        <v>114</v>
      </c>
      <c r="D126" s="464">
        <v>2544157</v>
      </c>
      <c r="E126" s="462">
        <v>3862</v>
      </c>
      <c r="F126" s="464">
        <v>876850</v>
      </c>
      <c r="G126" s="462">
        <v>454</v>
      </c>
      <c r="H126" s="465">
        <v>22549</v>
      </c>
      <c r="I126" s="462">
        <v>37</v>
      </c>
      <c r="J126" s="465"/>
      <c r="K126" s="462"/>
      <c r="L126" s="452">
        <v>3495261</v>
      </c>
      <c r="M126" s="463">
        <v>8550.1999999999989</v>
      </c>
      <c r="N126" s="462">
        <v>42</v>
      </c>
      <c r="O126" s="452">
        <v>22230</v>
      </c>
      <c r="P126" s="463">
        <v>89.6</v>
      </c>
      <c r="Q126" s="462">
        <v>1227</v>
      </c>
      <c r="R126" s="464"/>
      <c r="S126" s="463"/>
      <c r="T126" s="462">
        <v>0</v>
      </c>
      <c r="U126" s="465"/>
      <c r="V126" s="463"/>
      <c r="W126" s="462"/>
      <c r="X126" s="181"/>
      <c r="Y126" s="36"/>
      <c r="Z126" s="181"/>
      <c r="AA126" s="36"/>
      <c r="AB126" s="229">
        <f t="shared" si="1"/>
        <v>6961047</v>
      </c>
      <c r="AE126" s="229">
        <f t="shared" si="2"/>
        <v>4358</v>
      </c>
    </row>
    <row r="127" spans="2:31">
      <c r="B127" s="135">
        <f>'1. LDC Info'!$F$27-3</f>
        <v>2021</v>
      </c>
      <c r="C127" s="35" t="s">
        <v>115</v>
      </c>
      <c r="D127" s="464">
        <v>2603541</v>
      </c>
      <c r="E127" s="462">
        <v>3862</v>
      </c>
      <c r="F127" s="464">
        <v>931865</v>
      </c>
      <c r="G127" s="462">
        <v>454</v>
      </c>
      <c r="H127" s="465">
        <v>22318</v>
      </c>
      <c r="I127" s="462">
        <v>37</v>
      </c>
      <c r="J127" s="465"/>
      <c r="K127" s="462"/>
      <c r="L127" s="452">
        <v>3523514</v>
      </c>
      <c r="M127" s="463">
        <v>8369.6999999999989</v>
      </c>
      <c r="N127" s="462">
        <v>42</v>
      </c>
      <c r="O127" s="452">
        <v>24158</v>
      </c>
      <c r="P127" s="463">
        <v>89.6</v>
      </c>
      <c r="Q127" s="462">
        <v>1227</v>
      </c>
      <c r="R127" s="464"/>
      <c r="S127" s="463"/>
      <c r="T127" s="462">
        <v>0</v>
      </c>
      <c r="U127" s="465"/>
      <c r="V127" s="463"/>
      <c r="W127" s="462"/>
      <c r="X127" s="181"/>
      <c r="Y127" s="36"/>
      <c r="Z127" s="181"/>
      <c r="AA127" s="36"/>
      <c r="AB127" s="229">
        <f t="shared" si="1"/>
        <v>7105396</v>
      </c>
      <c r="AE127" s="229">
        <f t="shared" si="2"/>
        <v>4358</v>
      </c>
    </row>
    <row r="128" spans="2:31">
      <c r="B128" s="135">
        <f>'1. LDC Info'!$F$27-3</f>
        <v>2021</v>
      </c>
      <c r="C128" s="35" t="s">
        <v>116</v>
      </c>
      <c r="D128" s="464">
        <v>3072828</v>
      </c>
      <c r="E128" s="462">
        <v>3862</v>
      </c>
      <c r="F128" s="464">
        <v>1039039</v>
      </c>
      <c r="G128" s="462">
        <v>454</v>
      </c>
      <c r="H128" s="465">
        <v>22280</v>
      </c>
      <c r="I128" s="462">
        <v>37</v>
      </c>
      <c r="J128" s="465"/>
      <c r="K128" s="462"/>
      <c r="L128" s="452">
        <v>3645207</v>
      </c>
      <c r="M128" s="463">
        <v>8440.6999999999989</v>
      </c>
      <c r="N128" s="462">
        <v>42</v>
      </c>
      <c r="O128" s="452">
        <v>27632</v>
      </c>
      <c r="P128" s="463">
        <v>89.6</v>
      </c>
      <c r="Q128" s="462">
        <v>1227</v>
      </c>
      <c r="R128" s="464"/>
      <c r="S128" s="463"/>
      <c r="T128" s="462">
        <v>0</v>
      </c>
      <c r="U128" s="465"/>
      <c r="V128" s="463"/>
      <c r="W128" s="462"/>
      <c r="X128" s="181"/>
      <c r="Y128" s="36"/>
      <c r="Z128" s="181"/>
      <c r="AA128" s="36"/>
      <c r="AB128" s="229">
        <f t="shared" si="1"/>
        <v>7806986</v>
      </c>
      <c r="AE128" s="229">
        <f t="shared" si="2"/>
        <v>4358</v>
      </c>
    </row>
    <row r="129" spans="2:33">
      <c r="B129" s="135">
        <f>'1. LDC Info'!$F$27-3</f>
        <v>2021</v>
      </c>
      <c r="C129" s="35" t="s">
        <v>106</v>
      </c>
      <c r="D129" s="464">
        <v>1960952</v>
      </c>
      <c r="E129" s="462">
        <v>3862</v>
      </c>
      <c r="F129" s="464">
        <v>836594</v>
      </c>
      <c r="G129" s="462">
        <v>454</v>
      </c>
      <c r="H129" s="465">
        <v>22083</v>
      </c>
      <c r="I129" s="462">
        <v>37</v>
      </c>
      <c r="J129" s="465"/>
      <c r="K129" s="462"/>
      <c r="L129" s="452">
        <v>3299282</v>
      </c>
      <c r="M129" s="463">
        <v>8149</v>
      </c>
      <c r="N129" s="462">
        <v>42</v>
      </c>
      <c r="O129" s="452">
        <v>30858</v>
      </c>
      <c r="P129" s="463">
        <v>89.6</v>
      </c>
      <c r="Q129" s="462">
        <v>1227</v>
      </c>
      <c r="R129" s="464"/>
      <c r="S129" s="463"/>
      <c r="T129" s="462">
        <v>0</v>
      </c>
      <c r="U129" s="465"/>
      <c r="V129" s="463"/>
      <c r="W129" s="462"/>
      <c r="X129" s="181"/>
      <c r="Y129" s="36"/>
      <c r="Z129" s="181"/>
      <c r="AA129" s="36"/>
      <c r="AB129" s="229">
        <f t="shared" si="1"/>
        <v>6149769</v>
      </c>
      <c r="AE129" s="229">
        <f t="shared" si="2"/>
        <v>4358</v>
      </c>
    </row>
    <row r="130" spans="2:33">
      <c r="B130" s="135">
        <f>'1. LDC Info'!$F$27-3</f>
        <v>2021</v>
      </c>
      <c r="C130" s="35" t="s">
        <v>107</v>
      </c>
      <c r="D130" s="464">
        <v>2105923</v>
      </c>
      <c r="E130" s="462">
        <v>3862</v>
      </c>
      <c r="F130" s="464">
        <v>821559</v>
      </c>
      <c r="G130" s="462">
        <v>452</v>
      </c>
      <c r="H130" s="465">
        <v>22170</v>
      </c>
      <c r="I130" s="462">
        <v>37</v>
      </c>
      <c r="J130" s="465"/>
      <c r="K130" s="462"/>
      <c r="L130" s="452">
        <v>3398037</v>
      </c>
      <c r="M130" s="463">
        <v>8172.2999999999993</v>
      </c>
      <c r="N130" s="462">
        <v>43</v>
      </c>
      <c r="O130" s="452">
        <v>36438</v>
      </c>
      <c r="P130" s="463">
        <v>89.6</v>
      </c>
      <c r="Q130" s="462">
        <v>1227</v>
      </c>
      <c r="R130" s="464"/>
      <c r="S130" s="463"/>
      <c r="T130" s="462">
        <v>0</v>
      </c>
      <c r="U130" s="465"/>
      <c r="V130" s="463"/>
      <c r="W130" s="462"/>
      <c r="X130" s="181"/>
      <c r="Y130" s="36"/>
      <c r="Z130" s="181"/>
      <c r="AA130" s="36"/>
      <c r="AB130" s="229">
        <f t="shared" si="1"/>
        <v>6384127</v>
      </c>
      <c r="AE130" s="229">
        <f t="shared" si="2"/>
        <v>4357</v>
      </c>
    </row>
    <row r="131" spans="2:33">
      <c r="B131" s="135">
        <f>'1. LDC Info'!$F$27-3</f>
        <v>2021</v>
      </c>
      <c r="C131" s="35" t="s">
        <v>108</v>
      </c>
      <c r="D131" s="464">
        <v>2461294</v>
      </c>
      <c r="E131" s="462">
        <v>3863</v>
      </c>
      <c r="F131" s="464">
        <v>895502</v>
      </c>
      <c r="G131" s="462">
        <v>451</v>
      </c>
      <c r="H131" s="465">
        <v>22574</v>
      </c>
      <c r="I131" s="462">
        <v>37</v>
      </c>
      <c r="J131" s="465"/>
      <c r="K131" s="462"/>
      <c r="L131" s="452">
        <v>3402670</v>
      </c>
      <c r="M131" s="463">
        <v>8167.6999999999989</v>
      </c>
      <c r="N131" s="462">
        <v>43</v>
      </c>
      <c r="O131" s="452">
        <v>39038</v>
      </c>
      <c r="P131" s="463">
        <v>89.6</v>
      </c>
      <c r="Q131" s="462">
        <v>1227</v>
      </c>
      <c r="R131" s="464"/>
      <c r="S131" s="463"/>
      <c r="T131" s="462">
        <v>0</v>
      </c>
      <c r="U131" s="465"/>
      <c r="V131" s="463"/>
      <c r="W131" s="462"/>
      <c r="X131" s="181"/>
      <c r="Y131" s="36"/>
      <c r="Z131" s="181"/>
      <c r="AA131" s="36"/>
      <c r="AB131" s="229">
        <f t="shared" si="1"/>
        <v>6821078</v>
      </c>
      <c r="AE131" s="229">
        <f t="shared" si="2"/>
        <v>4357</v>
      </c>
    </row>
    <row r="132" spans="2:33">
      <c r="B132" s="135">
        <f>'1. LDC Info'!$F$27-3</f>
        <v>2021</v>
      </c>
      <c r="C132" s="35" t="s">
        <v>105</v>
      </c>
      <c r="D132" s="452">
        <v>3029396</v>
      </c>
      <c r="E132" s="462">
        <v>3867</v>
      </c>
      <c r="F132" s="452">
        <v>1033963</v>
      </c>
      <c r="G132" s="462">
        <v>455</v>
      </c>
      <c r="H132" s="464">
        <v>22803</v>
      </c>
      <c r="I132" s="462">
        <v>37</v>
      </c>
      <c r="J132" s="464"/>
      <c r="K132" s="462"/>
      <c r="L132" s="452">
        <v>3525282</v>
      </c>
      <c r="M132" s="463">
        <v>8342.6999999999989</v>
      </c>
      <c r="N132" s="462">
        <v>42</v>
      </c>
      <c r="O132" s="452">
        <v>42198</v>
      </c>
      <c r="P132" s="463">
        <v>89.6</v>
      </c>
      <c r="Q132" s="462">
        <v>1227</v>
      </c>
      <c r="R132" s="464"/>
      <c r="S132" s="463"/>
      <c r="T132" s="462">
        <v>0</v>
      </c>
      <c r="U132" s="464"/>
      <c r="V132" s="463"/>
      <c r="W132" s="462"/>
      <c r="X132" s="181"/>
      <c r="Y132" s="36"/>
      <c r="Z132" s="181"/>
      <c r="AA132" s="36"/>
      <c r="AB132" s="229">
        <f t="shared" si="1"/>
        <v>7653642</v>
      </c>
      <c r="AC132" s="229">
        <f>SUM(AB121:AB132)</f>
        <v>83890855</v>
      </c>
      <c r="AD132" s="1">
        <v>2019</v>
      </c>
      <c r="AE132" s="229">
        <f t="shared" si="2"/>
        <v>4364</v>
      </c>
    </row>
    <row r="133" spans="2:33">
      <c r="B133" s="135">
        <f>'1. LDC Info'!$F$27-2</f>
        <v>2022</v>
      </c>
      <c r="C133" s="35" t="s">
        <v>109</v>
      </c>
      <c r="D133" s="464">
        <v>3663309</v>
      </c>
      <c r="E133" s="462">
        <v>3869</v>
      </c>
      <c r="F133" s="464">
        <v>1175394</v>
      </c>
      <c r="G133" s="462">
        <v>456</v>
      </c>
      <c r="H133" s="465">
        <v>22268</v>
      </c>
      <c r="I133" s="462">
        <v>37</v>
      </c>
      <c r="J133" s="465"/>
      <c r="K133" s="462"/>
      <c r="L133" s="452">
        <v>3911751</v>
      </c>
      <c r="M133" s="463">
        <v>8695.1</v>
      </c>
      <c r="N133" s="462">
        <v>42</v>
      </c>
      <c r="O133" s="452">
        <v>41190</v>
      </c>
      <c r="P133" s="463">
        <v>89.6</v>
      </c>
      <c r="Q133" s="462">
        <v>1197</v>
      </c>
      <c r="R133" s="464"/>
      <c r="S133" s="463"/>
      <c r="T133" s="462">
        <v>0</v>
      </c>
      <c r="U133" s="465"/>
      <c r="V133" s="463"/>
      <c r="W133" s="462"/>
      <c r="X133" s="181"/>
      <c r="Y133" s="36"/>
      <c r="Z133" s="181"/>
      <c r="AA133" s="36"/>
      <c r="AB133" s="229">
        <f t="shared" si="1"/>
        <v>8813912</v>
      </c>
      <c r="AE133" s="229">
        <f t="shared" si="2"/>
        <v>4367</v>
      </c>
    </row>
    <row r="134" spans="2:33">
      <c r="B134" s="135">
        <f>'1. LDC Info'!$F$27-2</f>
        <v>2022</v>
      </c>
      <c r="C134" s="35" t="s">
        <v>110</v>
      </c>
      <c r="D134" s="464">
        <v>2992677</v>
      </c>
      <c r="E134" s="462">
        <v>3870</v>
      </c>
      <c r="F134" s="464">
        <v>1041081</v>
      </c>
      <c r="G134" s="462">
        <v>456</v>
      </c>
      <c r="H134" s="465">
        <v>22268</v>
      </c>
      <c r="I134" s="462">
        <v>37</v>
      </c>
      <c r="J134" s="465"/>
      <c r="K134" s="462"/>
      <c r="L134" s="452">
        <v>3535350</v>
      </c>
      <c r="M134" s="463">
        <v>8559.9</v>
      </c>
      <c r="N134" s="462">
        <v>42</v>
      </c>
      <c r="O134" s="452">
        <v>37382</v>
      </c>
      <c r="P134" s="463">
        <v>89.7</v>
      </c>
      <c r="Q134" s="462">
        <v>1197</v>
      </c>
      <c r="R134" s="464"/>
      <c r="S134" s="463"/>
      <c r="T134" s="462">
        <v>0</v>
      </c>
      <c r="U134" s="465"/>
      <c r="V134" s="463"/>
      <c r="W134" s="462"/>
      <c r="X134" s="181"/>
      <c r="Y134" s="36"/>
      <c r="Z134" s="181"/>
      <c r="AA134" s="36"/>
      <c r="AB134" s="229">
        <f t="shared" si="1"/>
        <v>7628758</v>
      </c>
      <c r="AE134" s="229">
        <f t="shared" si="2"/>
        <v>4368</v>
      </c>
    </row>
    <row r="135" spans="2:33">
      <c r="B135" s="135">
        <f>'1. LDC Info'!$F$27-2</f>
        <v>2022</v>
      </c>
      <c r="C135" s="35" t="s">
        <v>111</v>
      </c>
      <c r="D135" s="464">
        <v>2808280</v>
      </c>
      <c r="E135" s="462">
        <v>3870</v>
      </c>
      <c r="F135" s="464">
        <v>1043530</v>
      </c>
      <c r="G135" s="462">
        <v>456</v>
      </c>
      <c r="H135" s="465">
        <v>22268</v>
      </c>
      <c r="I135" s="462">
        <v>37</v>
      </c>
      <c r="J135" s="465"/>
      <c r="K135" s="462"/>
      <c r="L135" s="452">
        <v>3780410</v>
      </c>
      <c r="M135" s="463">
        <v>8508.9</v>
      </c>
      <c r="N135" s="462">
        <v>42</v>
      </c>
      <c r="O135" s="452">
        <v>33749</v>
      </c>
      <c r="P135" s="463">
        <v>89.6</v>
      </c>
      <c r="Q135" s="462">
        <v>1197</v>
      </c>
      <c r="R135" s="464"/>
      <c r="S135" s="463"/>
      <c r="T135" s="462">
        <v>0</v>
      </c>
      <c r="U135" s="465"/>
      <c r="V135" s="463"/>
      <c r="W135" s="462"/>
      <c r="X135" s="181"/>
      <c r="Y135" s="36"/>
      <c r="Z135" s="181"/>
      <c r="AA135" s="36"/>
      <c r="AB135" s="229">
        <f t="shared" si="1"/>
        <v>7688237</v>
      </c>
      <c r="AE135" s="229">
        <f t="shared" si="2"/>
        <v>4368</v>
      </c>
    </row>
    <row r="136" spans="2:33">
      <c r="B136" s="135">
        <f>'1. LDC Info'!$F$27-2</f>
        <v>2022</v>
      </c>
      <c r="C136" s="35" t="s">
        <v>112</v>
      </c>
      <c r="D136" s="464">
        <v>2279939</v>
      </c>
      <c r="E136" s="462">
        <v>3870</v>
      </c>
      <c r="F136" s="464">
        <v>882005</v>
      </c>
      <c r="G136" s="462">
        <v>455</v>
      </c>
      <c r="H136" s="465">
        <v>22155</v>
      </c>
      <c r="I136" s="462">
        <v>37</v>
      </c>
      <c r="J136" s="465"/>
      <c r="K136" s="462"/>
      <c r="L136" s="452">
        <v>3298934</v>
      </c>
      <c r="M136" s="463">
        <v>7956.9</v>
      </c>
      <c r="N136" s="462">
        <v>42</v>
      </c>
      <c r="O136" s="452">
        <v>28013</v>
      </c>
      <c r="P136" s="463">
        <v>89.6</v>
      </c>
      <c r="Q136" s="462">
        <v>1197</v>
      </c>
      <c r="R136" s="464"/>
      <c r="S136" s="463"/>
      <c r="T136" s="462">
        <v>0</v>
      </c>
      <c r="U136" s="465"/>
      <c r="V136" s="463"/>
      <c r="W136" s="462"/>
      <c r="X136" s="181"/>
      <c r="Y136" s="36"/>
      <c r="Z136" s="181"/>
      <c r="AA136" s="36"/>
      <c r="AB136" s="229">
        <f t="shared" si="1"/>
        <v>6511046</v>
      </c>
      <c r="AE136" s="229">
        <f t="shared" si="2"/>
        <v>4367</v>
      </c>
    </row>
    <row r="137" spans="2:33">
      <c r="B137" s="135">
        <f>'1. LDC Info'!$F$27-2</f>
        <v>2022</v>
      </c>
      <c r="C137" s="35" t="s">
        <v>113</v>
      </c>
      <c r="D137" s="464">
        <v>2188856</v>
      </c>
      <c r="E137" s="462">
        <v>3870</v>
      </c>
      <c r="F137" s="464">
        <v>902331</v>
      </c>
      <c r="G137" s="462">
        <v>455</v>
      </c>
      <c r="H137" s="465">
        <v>21914</v>
      </c>
      <c r="I137" s="462">
        <v>37</v>
      </c>
      <c r="J137" s="465"/>
      <c r="K137" s="462"/>
      <c r="L137" s="452">
        <v>3385374</v>
      </c>
      <c r="M137" s="463">
        <v>8601.6</v>
      </c>
      <c r="N137" s="462">
        <v>42</v>
      </c>
      <c r="O137" s="452">
        <v>25189</v>
      </c>
      <c r="P137" s="463">
        <v>89.6</v>
      </c>
      <c r="Q137" s="462">
        <v>1197</v>
      </c>
      <c r="R137" s="464"/>
      <c r="S137" s="463"/>
      <c r="T137" s="462">
        <v>0</v>
      </c>
      <c r="U137" s="465"/>
      <c r="V137" s="463"/>
      <c r="W137" s="462"/>
      <c r="X137" s="181"/>
      <c r="Y137" s="36"/>
      <c r="Z137" s="181"/>
      <c r="AA137" s="36"/>
      <c r="AB137" s="229">
        <f t="shared" si="1"/>
        <v>6523664</v>
      </c>
      <c r="AE137" s="229">
        <f t="shared" si="2"/>
        <v>4367</v>
      </c>
    </row>
    <row r="138" spans="2:33">
      <c r="B138" s="135">
        <f>'1. LDC Info'!$F$27-2</f>
        <v>2022</v>
      </c>
      <c r="C138" s="35" t="s">
        <v>114</v>
      </c>
      <c r="D138" s="464">
        <v>2241950</v>
      </c>
      <c r="E138" s="462">
        <v>3875</v>
      </c>
      <c r="F138" s="464">
        <v>895203</v>
      </c>
      <c r="G138" s="462">
        <v>456</v>
      </c>
      <c r="H138" s="465">
        <v>21914</v>
      </c>
      <c r="I138" s="462">
        <v>37</v>
      </c>
      <c r="J138" s="465"/>
      <c r="K138" s="462"/>
      <c r="L138" s="452">
        <v>3477688</v>
      </c>
      <c r="M138" s="463">
        <v>8616.7000000000007</v>
      </c>
      <c r="N138" s="462">
        <v>42</v>
      </c>
      <c r="O138" s="452">
        <v>22231</v>
      </c>
      <c r="P138" s="463">
        <v>89.6</v>
      </c>
      <c r="Q138" s="462">
        <v>1197</v>
      </c>
      <c r="R138" s="464"/>
      <c r="S138" s="463"/>
      <c r="T138" s="462">
        <v>0</v>
      </c>
      <c r="U138" s="465"/>
      <c r="V138" s="463"/>
      <c r="W138" s="462"/>
      <c r="X138" s="181"/>
      <c r="Y138" s="36"/>
      <c r="Z138" s="181"/>
      <c r="AA138" s="36"/>
      <c r="AB138" s="229">
        <f t="shared" ref="AB138:AB144" si="3">D138+F138+H138+L138+O138+R138+U138</f>
        <v>6658986</v>
      </c>
      <c r="AE138" s="229">
        <f t="shared" si="2"/>
        <v>4373</v>
      </c>
    </row>
    <row r="139" spans="2:33">
      <c r="B139" s="135">
        <f>'1. LDC Info'!$F$27-2</f>
        <v>2022</v>
      </c>
      <c r="C139" s="35" t="s">
        <v>115</v>
      </c>
      <c r="D139" s="923">
        <v>2729505</v>
      </c>
      <c r="E139" s="926">
        <v>3875</v>
      </c>
      <c r="F139" s="923">
        <v>1000429</v>
      </c>
      <c r="G139" s="926">
        <v>456</v>
      </c>
      <c r="H139" s="923">
        <v>21914</v>
      </c>
      <c r="I139" s="926">
        <v>37</v>
      </c>
      <c r="J139" s="908"/>
      <c r="K139" s="909"/>
      <c r="L139" s="924">
        <v>3573271</v>
      </c>
      <c r="M139" s="925">
        <v>8527.7999999999993</v>
      </c>
      <c r="N139" s="462">
        <v>42</v>
      </c>
      <c r="O139" s="924">
        <v>24158</v>
      </c>
      <c r="P139" s="925">
        <v>89.6</v>
      </c>
      <c r="Q139" s="462">
        <v>1197</v>
      </c>
      <c r="R139" s="464"/>
      <c r="S139" s="463"/>
      <c r="T139" s="462">
        <v>0</v>
      </c>
      <c r="U139" s="465"/>
      <c r="V139" s="463"/>
      <c r="W139" s="462"/>
      <c r="X139" s="181"/>
      <c r="Y139" s="36"/>
      <c r="Z139" s="181"/>
      <c r="AA139" s="36"/>
      <c r="AB139" s="229">
        <f t="shared" si="3"/>
        <v>7349277</v>
      </c>
      <c r="AE139" s="229">
        <f t="shared" si="2"/>
        <v>4373</v>
      </c>
      <c r="AF139" s="1">
        <v>19545013</v>
      </c>
      <c r="AG139" s="229">
        <f>AB139-AF139</f>
        <v>-12195736</v>
      </c>
    </row>
    <row r="140" spans="2:33">
      <c r="B140" s="135">
        <f>'1. LDC Info'!$F$27-2</f>
        <v>2022</v>
      </c>
      <c r="C140" s="35" t="s">
        <v>116</v>
      </c>
      <c r="D140" s="923">
        <v>2635613</v>
      </c>
      <c r="E140" s="926">
        <v>3875</v>
      </c>
      <c r="F140" s="923">
        <v>977458</v>
      </c>
      <c r="G140" s="926">
        <v>456</v>
      </c>
      <c r="H140" s="923">
        <v>21914</v>
      </c>
      <c r="I140" s="926">
        <v>37</v>
      </c>
      <c r="J140" s="908"/>
      <c r="K140" s="909"/>
      <c r="L140" s="924">
        <v>3656647</v>
      </c>
      <c r="M140" s="925">
        <v>8585.9</v>
      </c>
      <c r="N140" s="462">
        <v>42</v>
      </c>
      <c r="O140" s="924">
        <v>27632</v>
      </c>
      <c r="P140" s="925">
        <v>89.6</v>
      </c>
      <c r="Q140" s="462">
        <v>1197</v>
      </c>
      <c r="R140" s="464"/>
      <c r="S140" s="463"/>
      <c r="T140" s="462">
        <v>0</v>
      </c>
      <c r="U140" s="465"/>
      <c r="V140" s="463"/>
      <c r="W140" s="462"/>
      <c r="X140" s="181"/>
      <c r="Y140" s="36"/>
      <c r="Z140" s="181"/>
      <c r="AA140" s="36"/>
      <c r="AB140" s="229">
        <f t="shared" si="3"/>
        <v>7319264</v>
      </c>
      <c r="AE140" s="229">
        <f t="shared" si="2"/>
        <v>4373</v>
      </c>
      <c r="AF140" s="1">
        <v>22387858</v>
      </c>
      <c r="AG140" s="229">
        <f t="shared" ref="AG140:AG144" si="4">AB140-AF140</f>
        <v>-15068594</v>
      </c>
    </row>
    <row r="141" spans="2:33">
      <c r="B141" s="135">
        <f>'1. LDC Info'!$F$27-2</f>
        <v>2022</v>
      </c>
      <c r="C141" s="35" t="s">
        <v>106</v>
      </c>
      <c r="D141" s="923">
        <v>2033582</v>
      </c>
      <c r="E141" s="926">
        <v>3881</v>
      </c>
      <c r="F141" s="923">
        <v>843412</v>
      </c>
      <c r="G141" s="926">
        <v>456</v>
      </c>
      <c r="H141" s="923">
        <v>21914</v>
      </c>
      <c r="I141" s="926">
        <v>37</v>
      </c>
      <c r="J141" s="908"/>
      <c r="K141" s="909"/>
      <c r="L141" s="924">
        <v>3421307</v>
      </c>
      <c r="M141" s="925">
        <v>8397.6</v>
      </c>
      <c r="N141" s="462">
        <v>42</v>
      </c>
      <c r="O141" s="924">
        <v>30859</v>
      </c>
      <c r="P141" s="925">
        <v>89.6</v>
      </c>
      <c r="Q141" s="462">
        <v>1197</v>
      </c>
      <c r="R141" s="464"/>
      <c r="S141" s="463"/>
      <c r="T141" s="462">
        <v>0</v>
      </c>
      <c r="U141" s="465"/>
      <c r="V141" s="463"/>
      <c r="W141" s="462"/>
      <c r="X141" s="181"/>
      <c r="Y141" s="36"/>
      <c r="Z141" s="181"/>
      <c r="AA141" s="36"/>
      <c r="AB141" s="229">
        <f t="shared" si="3"/>
        <v>6351074</v>
      </c>
      <c r="AE141" s="229">
        <f t="shared" si="2"/>
        <v>4379</v>
      </c>
      <c r="AF141" s="1">
        <v>20804907</v>
      </c>
      <c r="AG141" s="229">
        <f t="shared" si="4"/>
        <v>-14453833</v>
      </c>
    </row>
    <row r="142" spans="2:33">
      <c r="B142" s="135">
        <f>'1. LDC Info'!$F$27-2</f>
        <v>2022</v>
      </c>
      <c r="C142" s="35" t="s">
        <v>107</v>
      </c>
      <c r="D142" s="923">
        <v>2116335</v>
      </c>
      <c r="E142" s="926">
        <v>3884</v>
      </c>
      <c r="F142" s="923">
        <v>832384</v>
      </c>
      <c r="G142" s="926">
        <v>456</v>
      </c>
      <c r="H142" s="923">
        <v>21914</v>
      </c>
      <c r="I142" s="926">
        <v>37</v>
      </c>
      <c r="J142" s="908"/>
      <c r="K142" s="909"/>
      <c r="L142" s="924">
        <v>3522862</v>
      </c>
      <c r="M142" s="925">
        <v>8347.7999999999993</v>
      </c>
      <c r="N142" s="462">
        <v>42</v>
      </c>
      <c r="O142" s="924">
        <v>36439</v>
      </c>
      <c r="P142" s="925">
        <v>89.6</v>
      </c>
      <c r="Q142" s="462">
        <v>1197</v>
      </c>
      <c r="R142" s="464"/>
      <c r="S142" s="463"/>
      <c r="T142" s="462">
        <v>0</v>
      </c>
      <c r="U142" s="465"/>
      <c r="V142" s="463"/>
      <c r="W142" s="462"/>
      <c r="X142" s="181"/>
      <c r="Y142" s="36"/>
      <c r="Z142" s="181"/>
      <c r="AA142" s="36"/>
      <c r="AB142" s="229">
        <f t="shared" si="3"/>
        <v>6529934</v>
      </c>
      <c r="AE142" s="229">
        <f t="shared" si="2"/>
        <v>4382</v>
      </c>
      <c r="AF142" s="1">
        <v>13966023</v>
      </c>
      <c r="AG142" s="229">
        <f t="shared" si="4"/>
        <v>-7436089</v>
      </c>
    </row>
    <row r="143" spans="2:33">
      <c r="B143" s="135">
        <f>'1. LDC Info'!$F$27-2</f>
        <v>2022</v>
      </c>
      <c r="C143" s="35" t="s">
        <v>108</v>
      </c>
      <c r="D143" s="923">
        <v>2359671</v>
      </c>
      <c r="E143" s="926">
        <v>3888</v>
      </c>
      <c r="F143" s="923">
        <v>902117</v>
      </c>
      <c r="G143" s="926">
        <v>454</v>
      </c>
      <c r="H143" s="923">
        <v>22103</v>
      </c>
      <c r="I143" s="926">
        <v>37</v>
      </c>
      <c r="J143" s="908"/>
      <c r="K143" s="909"/>
      <c r="L143" s="924">
        <v>3677314</v>
      </c>
      <c r="M143" s="925">
        <v>8741.9</v>
      </c>
      <c r="N143" s="462">
        <v>42</v>
      </c>
      <c r="O143" s="924">
        <v>39038</v>
      </c>
      <c r="P143" s="925">
        <v>89.6</v>
      </c>
      <c r="Q143" s="462">
        <v>1197</v>
      </c>
      <c r="R143" s="464"/>
      <c r="S143" s="463"/>
      <c r="T143" s="462">
        <v>0</v>
      </c>
      <c r="U143" s="465"/>
      <c r="V143" s="463"/>
      <c r="W143" s="462"/>
      <c r="X143" s="181"/>
      <c r="Y143" s="36"/>
      <c r="Z143" s="181"/>
      <c r="AA143" s="36"/>
      <c r="AB143" s="229">
        <f t="shared" si="3"/>
        <v>7000243</v>
      </c>
      <c r="AE143" s="229">
        <f t="shared" si="2"/>
        <v>4384</v>
      </c>
      <c r="AF143" s="1">
        <v>18719123</v>
      </c>
      <c r="AG143" s="229">
        <f t="shared" si="4"/>
        <v>-11718880</v>
      </c>
    </row>
    <row r="144" spans="2:33">
      <c r="B144" s="135">
        <f>'1. LDC Info'!$F$27-2</f>
        <v>2022</v>
      </c>
      <c r="C144" s="35" t="s">
        <v>105</v>
      </c>
      <c r="D144" s="923">
        <v>2947757</v>
      </c>
      <c r="E144" s="926">
        <v>3888</v>
      </c>
      <c r="F144" s="923">
        <v>1018274</v>
      </c>
      <c r="G144" s="926">
        <v>454</v>
      </c>
      <c r="H144" s="923">
        <v>22153</v>
      </c>
      <c r="I144" s="926">
        <v>37</v>
      </c>
      <c r="J144" s="910"/>
      <c r="K144" s="909"/>
      <c r="L144" s="924">
        <v>3711937</v>
      </c>
      <c r="M144" s="925">
        <v>8552.4</v>
      </c>
      <c r="N144" s="462">
        <v>42</v>
      </c>
      <c r="O144" s="924">
        <v>42198</v>
      </c>
      <c r="P144" s="925">
        <v>89.6</v>
      </c>
      <c r="Q144" s="462">
        <v>1197</v>
      </c>
      <c r="R144" s="464"/>
      <c r="S144" s="463"/>
      <c r="T144" s="462">
        <v>0</v>
      </c>
      <c r="U144" s="465"/>
      <c r="V144" s="463"/>
      <c r="W144" s="462"/>
      <c r="X144" s="181"/>
      <c r="Y144" s="36"/>
      <c r="Z144" s="181"/>
      <c r="AA144" s="36"/>
      <c r="AB144" s="229">
        <f t="shared" si="3"/>
        <v>7742319</v>
      </c>
      <c r="AC144" s="229">
        <f>SUM(AB133:AB144)</f>
        <v>86116714</v>
      </c>
      <c r="AD144" s="1">
        <v>2020</v>
      </c>
      <c r="AE144" s="229">
        <f t="shared" si="2"/>
        <v>4384</v>
      </c>
      <c r="AF144" s="1">
        <v>18942115</v>
      </c>
      <c r="AG144" s="229">
        <f t="shared" si="4"/>
        <v>-11199796</v>
      </c>
    </row>
    <row r="145" spans="2:27">
      <c r="B145" s="894">
        <f>'1. LDC Info'!$F$27-1</f>
        <v>2023</v>
      </c>
      <c r="C145" s="895" t="s">
        <v>109</v>
      </c>
      <c r="D145" s="923">
        <f>3012308+8484</f>
        <v>3020792</v>
      </c>
      <c r="E145" s="926">
        <v>3901</v>
      </c>
      <c r="F145" s="923">
        <f>1079981+413</f>
        <v>1080394</v>
      </c>
      <c r="G145" s="36">
        <v>455</v>
      </c>
      <c r="H145" s="923">
        <v>22756</v>
      </c>
      <c r="I145" s="36">
        <v>37</v>
      </c>
      <c r="J145" s="897"/>
      <c r="K145" s="897"/>
      <c r="L145" s="923">
        <f>2351452+419960+70781+1079053</f>
        <v>3921246</v>
      </c>
      <c r="M145" s="925">
        <f>8840.6-89.6</f>
        <v>8751</v>
      </c>
      <c r="N145" s="36">
        <f t="shared" ref="N145:N150" si="5">31+5+4+2</f>
        <v>42</v>
      </c>
      <c r="O145" s="923">
        <v>41190</v>
      </c>
      <c r="P145" s="37">
        <v>89.6</v>
      </c>
      <c r="Q145" s="926">
        <v>1197</v>
      </c>
      <c r="R145" s="896"/>
      <c r="S145" s="463"/>
      <c r="T145" s="462"/>
      <c r="U145" s="181"/>
      <c r="V145" s="899"/>
      <c r="W145" s="36"/>
      <c r="X145" s="181"/>
      <c r="Y145" s="36"/>
      <c r="Z145" s="181"/>
      <c r="AA145" s="36"/>
    </row>
    <row r="146" spans="2:27">
      <c r="B146" s="894">
        <f>'1. LDC Info'!$F$27-1</f>
        <v>2023</v>
      </c>
      <c r="C146" s="895" t="s">
        <v>110</v>
      </c>
      <c r="D146" s="923">
        <f>2816189+8131</f>
        <v>2824320</v>
      </c>
      <c r="E146" s="926">
        <v>3898</v>
      </c>
      <c r="F146" s="923">
        <f>1024205+377</f>
        <v>1024582</v>
      </c>
      <c r="G146" s="36">
        <v>454</v>
      </c>
      <c r="H146" s="923">
        <v>22756</v>
      </c>
      <c r="I146" s="36">
        <v>37</v>
      </c>
      <c r="J146" s="897"/>
      <c r="K146" s="897"/>
      <c r="L146" s="923">
        <f>2135953+351821+64662+1033308</f>
        <v>3585744</v>
      </c>
      <c r="M146" s="925">
        <f>8841-89.6</f>
        <v>8751.4</v>
      </c>
      <c r="N146" s="36">
        <f t="shared" si="5"/>
        <v>42</v>
      </c>
      <c r="O146" s="923">
        <v>37353</v>
      </c>
      <c r="P146" s="37">
        <v>89.6</v>
      </c>
      <c r="Q146" s="926">
        <v>1197</v>
      </c>
      <c r="R146" s="896"/>
      <c r="S146" s="463"/>
      <c r="T146" s="462"/>
      <c r="U146" s="181"/>
      <c r="V146" s="899"/>
      <c r="W146" s="36"/>
      <c r="X146" s="181"/>
      <c r="Y146" s="36"/>
      <c r="Z146" s="181"/>
      <c r="AA146" s="36"/>
    </row>
    <row r="147" spans="2:27">
      <c r="B147" s="894">
        <f>'1. LDC Info'!$F$27-1</f>
        <v>2023</v>
      </c>
      <c r="C147" s="895" t="s">
        <v>111</v>
      </c>
      <c r="D147" s="923">
        <f>2711056+7037</f>
        <v>2718093</v>
      </c>
      <c r="E147" s="926">
        <v>3893</v>
      </c>
      <c r="F147" s="923">
        <f>1054531+428</f>
        <v>1054959</v>
      </c>
      <c r="G147" s="36">
        <v>455</v>
      </c>
      <c r="H147" s="923">
        <v>22705</v>
      </c>
      <c r="I147" s="36">
        <v>37</v>
      </c>
      <c r="J147" s="897"/>
      <c r="K147" s="897"/>
      <c r="L147" s="923">
        <f>2222907+344702+71929+1062207</f>
        <v>3701745</v>
      </c>
      <c r="M147" s="925">
        <f>8222.7-89.6</f>
        <v>8133.1</v>
      </c>
      <c r="N147" s="36">
        <f t="shared" si="5"/>
        <v>42</v>
      </c>
      <c r="O147" s="923">
        <v>33746</v>
      </c>
      <c r="P147" s="37">
        <v>89.6</v>
      </c>
      <c r="Q147" s="926">
        <v>1197</v>
      </c>
      <c r="R147" s="896"/>
      <c r="S147" s="463"/>
      <c r="T147" s="462"/>
      <c r="U147" s="181"/>
      <c r="V147" s="899"/>
      <c r="W147" s="36"/>
      <c r="X147" s="181"/>
      <c r="Y147" s="36"/>
      <c r="Z147" s="181"/>
      <c r="AA147" s="36"/>
    </row>
    <row r="148" spans="2:27">
      <c r="B148" s="894">
        <f>'1. LDC Info'!$F$27-1</f>
        <v>2023</v>
      </c>
      <c r="C148" s="895" t="s">
        <v>112</v>
      </c>
      <c r="D148" s="923">
        <f>2222956+4709</f>
        <v>2227665</v>
      </c>
      <c r="E148" s="926">
        <v>3896</v>
      </c>
      <c r="F148" s="923">
        <f>875255+363</f>
        <v>875618</v>
      </c>
      <c r="G148" s="36">
        <v>454</v>
      </c>
      <c r="H148" s="923">
        <v>22517</v>
      </c>
      <c r="I148" s="36">
        <v>37</v>
      </c>
      <c r="J148" s="897"/>
      <c r="K148" s="897"/>
      <c r="L148" s="923">
        <f>1938972+280991+64282+1128167</f>
        <v>3412412</v>
      </c>
      <c r="M148" s="925">
        <f>8884.6-89.6</f>
        <v>8795</v>
      </c>
      <c r="N148" s="36">
        <f t="shared" si="5"/>
        <v>42</v>
      </c>
      <c r="O148" s="923">
        <v>28009</v>
      </c>
      <c r="P148" s="37">
        <v>89.6</v>
      </c>
      <c r="Q148" s="926">
        <v>1197</v>
      </c>
      <c r="R148" s="896"/>
      <c r="S148" s="463"/>
      <c r="T148" s="462"/>
      <c r="U148" s="181"/>
      <c r="V148" s="899"/>
      <c r="W148" s="36"/>
      <c r="X148" s="181"/>
      <c r="Y148" s="36"/>
      <c r="Z148" s="181"/>
      <c r="AA148" s="36"/>
    </row>
    <row r="149" spans="2:27">
      <c r="B149" s="894">
        <f>'1. LDC Info'!$F$27-1</f>
        <v>2023</v>
      </c>
      <c r="C149" s="895" t="s">
        <v>113</v>
      </c>
      <c r="D149" s="923">
        <f>2096361+4175</f>
        <v>2100536</v>
      </c>
      <c r="E149" s="926">
        <v>3894</v>
      </c>
      <c r="F149" s="923">
        <f>858668+413</f>
        <v>859081</v>
      </c>
      <c r="G149" s="36">
        <v>456</v>
      </c>
      <c r="H149" s="923">
        <v>22517</v>
      </c>
      <c r="I149" s="36">
        <v>37</v>
      </c>
      <c r="J149" s="897"/>
      <c r="K149" s="897"/>
      <c r="L149" s="923">
        <f>1947596+265182+65568+892512</f>
        <v>3170858</v>
      </c>
      <c r="M149" s="925">
        <f>8600.8-89.6</f>
        <v>8511.1999999999989</v>
      </c>
      <c r="N149" s="36">
        <f t="shared" si="5"/>
        <v>42</v>
      </c>
      <c r="O149" s="923">
        <v>25186</v>
      </c>
      <c r="P149" s="37">
        <v>89.6</v>
      </c>
      <c r="Q149" s="926">
        <v>1197</v>
      </c>
      <c r="R149" s="896"/>
      <c r="S149" s="463"/>
      <c r="T149" s="462"/>
      <c r="U149" s="181"/>
      <c r="V149" s="899"/>
      <c r="W149" s="36"/>
      <c r="X149" s="181"/>
      <c r="Y149" s="36"/>
      <c r="Z149" s="181"/>
      <c r="AA149" s="36"/>
    </row>
    <row r="150" spans="2:27">
      <c r="B150" s="894">
        <f>'1. LDC Info'!$F$27-1</f>
        <v>2023</v>
      </c>
      <c r="C150" s="895" t="s">
        <v>114</v>
      </c>
      <c r="D150" s="923">
        <f>2377662+4195</f>
        <v>2381857</v>
      </c>
      <c r="E150" s="926">
        <v>3910</v>
      </c>
      <c r="F150" s="923">
        <f>912520+406</f>
        <v>912926</v>
      </c>
      <c r="G150" s="36">
        <v>456</v>
      </c>
      <c r="H150" s="923">
        <v>22517</v>
      </c>
      <c r="I150" s="36">
        <v>37</v>
      </c>
      <c r="J150" s="897"/>
      <c r="K150" s="897"/>
      <c r="L150" s="923">
        <f>1983007+262258+67272+1084292</f>
        <v>3396829</v>
      </c>
      <c r="M150" s="925">
        <f>8565.3-89.6</f>
        <v>8475.6999999999989</v>
      </c>
      <c r="N150" s="36">
        <f t="shared" si="5"/>
        <v>42</v>
      </c>
      <c r="O150" s="923">
        <v>22228</v>
      </c>
      <c r="P150" s="19">
        <v>89.6</v>
      </c>
      <c r="Q150" s="926">
        <v>1197</v>
      </c>
      <c r="R150" s="896"/>
      <c r="S150" s="463"/>
      <c r="T150" s="462"/>
      <c r="U150" s="181"/>
      <c r="V150" s="899"/>
      <c r="W150" s="36"/>
      <c r="X150" s="181"/>
      <c r="Y150" s="36"/>
      <c r="Z150" s="181"/>
      <c r="AA150" s="36"/>
    </row>
    <row r="151" spans="2:27">
      <c r="B151" s="894">
        <f>'1. LDC Info'!$F$27-1</f>
        <v>2023</v>
      </c>
      <c r="C151" s="895" t="s">
        <v>115</v>
      </c>
      <c r="D151" s="896"/>
      <c r="E151" s="36"/>
      <c r="F151" s="896"/>
      <c r="G151" s="36"/>
      <c r="H151" s="181"/>
      <c r="I151" s="36"/>
      <c r="J151" s="897"/>
      <c r="K151" s="897"/>
      <c r="L151" s="898"/>
      <c r="M151" s="925"/>
      <c r="N151" s="36"/>
      <c r="O151" s="896"/>
      <c r="P151" s="19"/>
      <c r="Q151" s="36"/>
      <c r="R151" s="896"/>
      <c r="S151" s="463"/>
      <c r="T151" s="462"/>
      <c r="U151" s="181"/>
      <c r="V151" s="899"/>
      <c r="W151" s="36"/>
      <c r="X151" s="181"/>
      <c r="Y151" s="36"/>
      <c r="Z151" s="181"/>
      <c r="AA151" s="36"/>
    </row>
    <row r="152" spans="2:27">
      <c r="B152" s="894">
        <f>'1. LDC Info'!$F$27-1</f>
        <v>2023</v>
      </c>
      <c r="C152" s="895" t="s">
        <v>116</v>
      </c>
      <c r="D152" s="896"/>
      <c r="E152" s="36"/>
      <c r="F152" s="896"/>
      <c r="G152" s="36"/>
      <c r="H152" s="181"/>
      <c r="I152" s="36"/>
      <c r="J152" s="897"/>
      <c r="K152" s="897"/>
      <c r="L152" s="898"/>
      <c r="M152" s="925"/>
      <c r="N152" s="36"/>
      <c r="O152" s="896"/>
      <c r="P152" s="19"/>
      <c r="Q152" s="36"/>
      <c r="R152" s="896"/>
      <c r="S152" s="463"/>
      <c r="T152" s="462"/>
      <c r="U152" s="181"/>
      <c r="V152" s="899"/>
      <c r="W152" s="36"/>
      <c r="X152" s="181"/>
      <c r="Y152" s="36"/>
      <c r="Z152" s="181"/>
      <c r="AA152" s="36"/>
    </row>
    <row r="153" spans="2:27">
      <c r="B153" s="894">
        <f>'1. LDC Info'!$F$27-1</f>
        <v>2023</v>
      </c>
      <c r="C153" s="895" t="s">
        <v>106</v>
      </c>
      <c r="D153" s="896"/>
      <c r="E153" s="36"/>
      <c r="F153" s="896"/>
      <c r="G153" s="36"/>
      <c r="H153" s="181"/>
      <c r="I153" s="36"/>
      <c r="J153" s="897"/>
      <c r="K153" s="897"/>
      <c r="L153" s="898"/>
      <c r="M153" s="925"/>
      <c r="N153" s="36"/>
      <c r="O153" s="896"/>
      <c r="P153" s="19"/>
      <c r="Q153" s="36"/>
      <c r="R153" s="896"/>
      <c r="S153" s="463"/>
      <c r="T153" s="462"/>
      <c r="U153" s="181"/>
      <c r="V153" s="899"/>
      <c r="W153" s="36"/>
      <c r="X153" s="181"/>
      <c r="Y153" s="36"/>
      <c r="Z153" s="181"/>
      <c r="AA153" s="36"/>
    </row>
    <row r="154" spans="2:27">
      <c r="B154" s="894">
        <f>'1. LDC Info'!$F$27-1</f>
        <v>2023</v>
      </c>
      <c r="C154" s="895" t="s">
        <v>107</v>
      </c>
      <c r="D154" s="896"/>
      <c r="E154" s="36"/>
      <c r="F154" s="900"/>
      <c r="G154" s="36"/>
      <c r="H154" s="181"/>
      <c r="I154" s="36"/>
      <c r="J154" s="897"/>
      <c r="K154" s="897"/>
      <c r="L154" s="898"/>
      <c r="M154" s="37"/>
      <c r="N154" s="36"/>
      <c r="O154" s="896"/>
      <c r="P154" s="19"/>
      <c r="Q154" s="36"/>
      <c r="R154" s="896"/>
      <c r="S154" s="463"/>
      <c r="T154" s="462"/>
      <c r="U154" s="181"/>
      <c r="V154" s="899"/>
      <c r="W154" s="36"/>
      <c r="X154" s="181"/>
      <c r="Y154" s="36"/>
      <c r="Z154" s="181"/>
      <c r="AA154" s="36"/>
    </row>
    <row r="155" spans="2:27">
      <c r="B155" s="894">
        <f>'1. LDC Info'!$F$27-1</f>
        <v>2023</v>
      </c>
      <c r="C155" s="895" t="s">
        <v>108</v>
      </c>
      <c r="D155" s="896"/>
      <c r="E155" s="36"/>
      <c r="F155" s="896"/>
      <c r="G155" s="36"/>
      <c r="H155" s="181"/>
      <c r="I155" s="36"/>
      <c r="J155" s="897"/>
      <c r="K155" s="897"/>
      <c r="L155" s="898"/>
      <c r="M155" s="37"/>
      <c r="N155" s="36"/>
      <c r="O155" s="896"/>
      <c r="P155" s="19"/>
      <c r="Q155" s="36"/>
      <c r="R155" s="896"/>
      <c r="S155" s="463"/>
      <c r="T155" s="462"/>
      <c r="U155" s="181"/>
      <c r="V155" s="899"/>
      <c r="W155" s="36"/>
      <c r="X155" s="181"/>
      <c r="Y155" s="36"/>
      <c r="Z155" s="181"/>
      <c r="AA155" s="36"/>
    </row>
    <row r="156" spans="2:27">
      <c r="B156" s="894">
        <f>'1. LDC Info'!$F$27-1</f>
        <v>2023</v>
      </c>
      <c r="C156" s="895" t="s">
        <v>105</v>
      </c>
      <c r="D156" s="452"/>
      <c r="E156" s="462"/>
      <c r="F156" s="452"/>
      <c r="G156" s="462"/>
      <c r="H156" s="464"/>
      <c r="I156" s="462"/>
      <c r="J156" s="464"/>
      <c r="K156" s="462"/>
      <c r="L156" s="452"/>
      <c r="M156" s="463"/>
      <c r="N156" s="462"/>
      <c r="O156" s="464"/>
      <c r="P156" s="463"/>
      <c r="Q156" s="462"/>
      <c r="R156" s="464"/>
      <c r="S156" s="463"/>
      <c r="T156" s="462"/>
      <c r="U156" s="464"/>
      <c r="V156" s="463"/>
      <c r="W156" s="462"/>
      <c r="X156" s="181"/>
      <c r="Y156" s="36"/>
      <c r="Z156" s="181"/>
      <c r="AA156" s="36"/>
    </row>
    <row r="157" spans="2:27">
      <c r="B157" s="894" t="str">
        <f>'1. LDC Info'!$F$27</f>
        <v>2024</v>
      </c>
      <c r="C157" s="895" t="s">
        <v>109</v>
      </c>
      <c r="D157" s="898"/>
      <c r="E157" s="36"/>
      <c r="F157" s="898"/>
      <c r="G157" s="36"/>
      <c r="H157" s="181"/>
      <c r="I157" s="36"/>
      <c r="J157" s="897"/>
      <c r="K157" s="897"/>
      <c r="L157" s="898"/>
      <c r="M157" s="37"/>
      <c r="N157" s="36"/>
      <c r="O157" s="896"/>
      <c r="P157" s="19"/>
      <c r="Q157" s="36"/>
      <c r="R157" s="898"/>
      <c r="S157" s="463"/>
      <c r="T157" s="462"/>
      <c r="U157" s="181"/>
      <c r="V157" s="899"/>
      <c r="W157" s="36"/>
      <c r="X157" s="181"/>
      <c r="Y157" s="36"/>
      <c r="Z157" s="181"/>
      <c r="AA157" s="36"/>
    </row>
    <row r="158" spans="2:27">
      <c r="B158" s="894" t="str">
        <f>'1. LDC Info'!$F$27</f>
        <v>2024</v>
      </c>
      <c r="C158" s="895" t="s">
        <v>110</v>
      </c>
      <c r="D158" s="898"/>
      <c r="E158" s="36"/>
      <c r="F158" s="898"/>
      <c r="G158" s="36"/>
      <c r="H158" s="181"/>
      <c r="I158" s="36"/>
      <c r="J158" s="897"/>
      <c r="K158" s="897"/>
      <c r="L158" s="898"/>
      <c r="M158" s="37"/>
      <c r="N158" s="36"/>
      <c r="O158" s="896"/>
      <c r="P158" s="19"/>
      <c r="Q158" s="36"/>
      <c r="R158" s="898"/>
      <c r="S158" s="463"/>
      <c r="T158" s="462"/>
      <c r="U158" s="181"/>
      <c r="V158" s="899"/>
      <c r="W158" s="36"/>
      <c r="X158" s="181"/>
      <c r="Y158" s="36"/>
      <c r="Z158" s="181"/>
      <c r="AA158" s="36"/>
    </row>
    <row r="159" spans="2:27">
      <c r="B159" s="894" t="str">
        <f>'1. LDC Info'!$F$27</f>
        <v>2024</v>
      </c>
      <c r="C159" s="895" t="s">
        <v>111</v>
      </c>
      <c r="D159" s="901"/>
      <c r="E159" s="36"/>
      <c r="F159" s="901"/>
      <c r="G159" s="36"/>
      <c r="H159" s="181"/>
      <c r="I159" s="36"/>
      <c r="J159" s="897"/>
      <c r="K159" s="897"/>
      <c r="L159" s="898"/>
      <c r="M159" s="37"/>
      <c r="N159" s="36"/>
      <c r="O159" s="896"/>
      <c r="P159" s="19"/>
      <c r="Q159" s="36"/>
      <c r="R159" s="901"/>
      <c r="S159" s="463"/>
      <c r="T159" s="462"/>
      <c r="U159" s="181"/>
      <c r="V159" s="899"/>
      <c r="W159" s="36"/>
      <c r="X159" s="181"/>
      <c r="Y159" s="36"/>
      <c r="Z159" s="181"/>
      <c r="AA159" s="36"/>
    </row>
    <row r="160" spans="2:27">
      <c r="B160" s="894" t="str">
        <f>'1. LDC Info'!$F$27</f>
        <v>2024</v>
      </c>
      <c r="C160" s="895" t="s">
        <v>112</v>
      </c>
      <c r="D160" s="898"/>
      <c r="E160" s="36"/>
      <c r="F160" s="898"/>
      <c r="G160" s="36"/>
      <c r="H160" s="181"/>
      <c r="I160" s="36"/>
      <c r="J160" s="897"/>
      <c r="K160" s="897"/>
      <c r="L160" s="898"/>
      <c r="M160" s="37"/>
      <c r="N160" s="36"/>
      <c r="O160" s="896"/>
      <c r="P160" s="19"/>
      <c r="Q160" s="36"/>
      <c r="R160" s="898"/>
      <c r="S160" s="463"/>
      <c r="T160" s="462"/>
      <c r="U160" s="181"/>
      <c r="V160" s="899"/>
      <c r="W160" s="36"/>
      <c r="X160" s="181"/>
      <c r="Y160" s="36"/>
      <c r="Z160" s="181"/>
      <c r="AA160" s="36"/>
    </row>
    <row r="161" spans="2:27">
      <c r="B161" s="894" t="str">
        <f>'1. LDC Info'!$F$27</f>
        <v>2024</v>
      </c>
      <c r="C161" s="895" t="s">
        <v>113</v>
      </c>
      <c r="D161" s="898"/>
      <c r="E161" s="36"/>
      <c r="F161" s="898"/>
      <c r="G161" s="36"/>
      <c r="H161" s="181"/>
      <c r="I161" s="36"/>
      <c r="J161" s="897"/>
      <c r="K161" s="897"/>
      <c r="L161" s="898"/>
      <c r="M161" s="37"/>
      <c r="N161" s="36"/>
      <c r="O161" s="896"/>
      <c r="P161" s="19"/>
      <c r="Q161" s="36"/>
      <c r="R161" s="898"/>
      <c r="S161" s="463"/>
      <c r="T161" s="462"/>
      <c r="U161" s="181"/>
      <c r="V161" s="899"/>
      <c r="W161" s="36"/>
      <c r="X161" s="181"/>
      <c r="Y161" s="36"/>
      <c r="Z161" s="181"/>
      <c r="AA161" s="36"/>
    </row>
    <row r="162" spans="2:27">
      <c r="B162" s="894" t="str">
        <f>'1. LDC Info'!$F$27</f>
        <v>2024</v>
      </c>
      <c r="C162" s="895" t="s">
        <v>114</v>
      </c>
      <c r="D162" s="898"/>
      <c r="E162" s="36"/>
      <c r="F162" s="898"/>
      <c r="G162" s="36"/>
      <c r="H162" s="181"/>
      <c r="I162" s="36"/>
      <c r="J162" s="897"/>
      <c r="K162" s="897"/>
      <c r="L162" s="898"/>
      <c r="M162" s="37"/>
      <c r="N162" s="36"/>
      <c r="O162" s="896"/>
      <c r="P162" s="19"/>
      <c r="Q162" s="36"/>
      <c r="R162" s="898"/>
      <c r="S162" s="463"/>
      <c r="T162" s="462"/>
      <c r="U162" s="181"/>
      <c r="V162" s="899"/>
      <c r="W162" s="36"/>
      <c r="X162" s="181"/>
      <c r="Y162" s="36"/>
      <c r="Z162" s="181"/>
      <c r="AA162" s="36"/>
    </row>
    <row r="163" spans="2:27">
      <c r="B163" s="894" t="str">
        <f>'1. LDC Info'!$F$27</f>
        <v>2024</v>
      </c>
      <c r="C163" s="895" t="s">
        <v>115</v>
      </c>
      <c r="D163" s="898"/>
      <c r="E163" s="36"/>
      <c r="F163" s="898"/>
      <c r="G163" s="36"/>
      <c r="H163" s="181"/>
      <c r="I163" s="36"/>
      <c r="J163" s="897"/>
      <c r="K163" s="897"/>
      <c r="L163" s="898"/>
      <c r="M163" s="37"/>
      <c r="N163" s="36"/>
      <c r="O163" s="896"/>
      <c r="P163" s="19"/>
      <c r="Q163" s="36"/>
      <c r="R163" s="898"/>
      <c r="S163" s="463"/>
      <c r="T163" s="462"/>
      <c r="U163" s="181"/>
      <c r="V163" s="899"/>
      <c r="W163" s="36"/>
      <c r="X163" s="181"/>
      <c r="Y163" s="36"/>
      <c r="Z163" s="181"/>
      <c r="AA163" s="36"/>
    </row>
    <row r="164" spans="2:27">
      <c r="B164" s="894" t="str">
        <f>'1. LDC Info'!$F$27</f>
        <v>2024</v>
      </c>
      <c r="C164" s="895" t="s">
        <v>116</v>
      </c>
      <c r="D164" s="898"/>
      <c r="E164" s="36"/>
      <c r="F164" s="898"/>
      <c r="G164" s="36"/>
      <c r="H164" s="181"/>
      <c r="I164" s="36"/>
      <c r="J164" s="897"/>
      <c r="K164" s="897"/>
      <c r="L164" s="898"/>
      <c r="M164" s="37"/>
      <c r="N164" s="36"/>
      <c r="O164" s="896"/>
      <c r="P164" s="19"/>
      <c r="Q164" s="36"/>
      <c r="R164" s="898"/>
      <c r="S164" s="463"/>
      <c r="T164" s="462"/>
      <c r="U164" s="181"/>
      <c r="V164" s="899"/>
      <c r="W164" s="36"/>
      <c r="X164" s="181"/>
      <c r="Y164" s="36"/>
      <c r="Z164" s="181"/>
      <c r="AA164" s="36"/>
    </row>
    <row r="165" spans="2:27">
      <c r="B165" s="894" t="str">
        <f>'1. LDC Info'!$F$27</f>
        <v>2024</v>
      </c>
      <c r="C165" s="895" t="s">
        <v>106</v>
      </c>
      <c r="D165" s="902"/>
      <c r="E165" s="36"/>
      <c r="F165" s="902"/>
      <c r="G165" s="36"/>
      <c r="H165" s="181"/>
      <c r="I165" s="36"/>
      <c r="J165" s="897"/>
      <c r="K165" s="897"/>
      <c r="L165" s="898"/>
      <c r="M165" s="37"/>
      <c r="N165" s="36"/>
      <c r="O165" s="896"/>
      <c r="P165" s="19"/>
      <c r="Q165" s="36"/>
      <c r="R165" s="902"/>
      <c r="S165" s="463"/>
      <c r="T165" s="462"/>
      <c r="U165" s="181"/>
      <c r="V165" s="899"/>
      <c r="W165" s="36"/>
      <c r="X165" s="181"/>
      <c r="Y165" s="36"/>
      <c r="Z165" s="181"/>
      <c r="AA165" s="36"/>
    </row>
    <row r="166" spans="2:27">
      <c r="B166" s="894" t="str">
        <f>'1. LDC Info'!$F$27</f>
        <v>2024</v>
      </c>
      <c r="C166" s="895" t="s">
        <v>107</v>
      </c>
      <c r="D166" s="898"/>
      <c r="E166" s="36"/>
      <c r="F166" s="898"/>
      <c r="G166" s="36"/>
      <c r="H166" s="181"/>
      <c r="I166" s="36"/>
      <c r="J166" s="897"/>
      <c r="K166" s="897"/>
      <c r="L166" s="898"/>
      <c r="M166" s="37"/>
      <c r="N166" s="36"/>
      <c r="O166" s="896"/>
      <c r="P166" s="19"/>
      <c r="Q166" s="36"/>
      <c r="R166" s="898"/>
      <c r="S166" s="463"/>
      <c r="T166" s="462"/>
      <c r="U166" s="181"/>
      <c r="V166" s="899"/>
      <c r="W166" s="36"/>
      <c r="X166" s="181"/>
      <c r="Y166" s="36"/>
      <c r="Z166" s="181"/>
      <c r="AA166" s="36"/>
    </row>
    <row r="167" spans="2:27">
      <c r="B167" s="894" t="str">
        <f>'1. LDC Info'!$F$27</f>
        <v>2024</v>
      </c>
      <c r="C167" s="895" t="s">
        <v>108</v>
      </c>
      <c r="D167" s="898"/>
      <c r="E167" s="36"/>
      <c r="F167" s="898"/>
      <c r="G167" s="36"/>
      <c r="H167" s="181"/>
      <c r="I167" s="36"/>
      <c r="J167" s="897"/>
      <c r="K167" s="897"/>
      <c r="L167" s="898"/>
      <c r="M167" s="37"/>
      <c r="N167" s="36"/>
      <c r="O167" s="896"/>
      <c r="P167" s="19"/>
      <c r="Q167" s="36"/>
      <c r="R167" s="898"/>
      <c r="S167" s="463"/>
      <c r="T167" s="462"/>
      <c r="U167" s="181"/>
      <c r="V167" s="899"/>
      <c r="W167" s="36"/>
      <c r="X167" s="181"/>
      <c r="Y167" s="36"/>
      <c r="Z167" s="181"/>
      <c r="AA167" s="36"/>
    </row>
    <row r="168" spans="2:27" ht="13.5" thickBot="1">
      <c r="B168" s="894" t="str">
        <f>'1. LDC Info'!$F$27</f>
        <v>2024</v>
      </c>
      <c r="C168" s="895" t="s">
        <v>105</v>
      </c>
      <c r="D168" s="903"/>
      <c r="E168" s="39"/>
      <c r="F168" s="903"/>
      <c r="G168" s="39"/>
      <c r="H168" s="40"/>
      <c r="I168" s="39"/>
      <c r="J168" s="904"/>
      <c r="K168" s="904"/>
      <c r="L168" s="903"/>
      <c r="M168" s="905"/>
      <c r="N168" s="39"/>
      <c r="O168" s="906"/>
      <c r="P168" s="20"/>
      <c r="Q168" s="39"/>
      <c r="R168" s="903"/>
      <c r="S168" s="463"/>
      <c r="T168" s="462"/>
      <c r="U168" s="40"/>
      <c r="V168" s="907"/>
      <c r="W168" s="39"/>
      <c r="X168" s="40"/>
      <c r="Y168" s="39"/>
      <c r="Z168" s="40"/>
      <c r="AA168" s="39"/>
    </row>
    <row r="169" spans="2:27">
      <c r="O169" s="41"/>
      <c r="P169" s="41"/>
      <c r="R169" s="41"/>
      <c r="S169" s="41"/>
    </row>
    <row r="170" spans="2:27">
      <c r="D170" s="41"/>
    </row>
    <row r="171" spans="2:27">
      <c r="D171" s="192"/>
      <c r="E171" s="193"/>
      <c r="F171" s="192"/>
      <c r="G171" s="193"/>
      <c r="H171" s="192"/>
      <c r="I171" s="193"/>
      <c r="J171" s="193"/>
      <c r="K171" s="193"/>
      <c r="L171" s="192"/>
      <c r="M171" s="192"/>
      <c r="N171" s="193"/>
      <c r="O171" s="192"/>
      <c r="P171" s="192"/>
      <c r="Q171" s="193"/>
      <c r="R171" s="192"/>
      <c r="S171" s="192"/>
      <c r="T171" s="193"/>
    </row>
    <row r="172" spans="2:27">
      <c r="D172" s="192"/>
      <c r="E172" s="193"/>
      <c r="F172" s="192"/>
      <c r="G172" s="193"/>
      <c r="H172" s="192"/>
      <c r="I172" s="193"/>
      <c r="J172" s="193"/>
      <c r="K172" s="193"/>
      <c r="L172" s="192"/>
      <c r="M172" s="192"/>
      <c r="N172" s="193"/>
      <c r="O172" s="192"/>
      <c r="P172" s="192"/>
      <c r="Q172" s="193"/>
      <c r="R172" s="192"/>
      <c r="S172" s="192"/>
      <c r="T172" s="193"/>
    </row>
    <row r="173" spans="2:27">
      <c r="D173" s="192"/>
      <c r="E173" s="193"/>
      <c r="F173" s="192"/>
      <c r="G173" s="193"/>
      <c r="H173" s="192"/>
      <c r="I173" s="193"/>
      <c r="J173" s="193"/>
      <c r="K173" s="193"/>
      <c r="L173" s="192"/>
      <c r="M173" s="192"/>
      <c r="N173" s="193"/>
      <c r="O173" s="192"/>
      <c r="P173" s="192"/>
      <c r="Q173" s="193"/>
      <c r="R173" s="192"/>
      <c r="S173" s="192"/>
      <c r="T173" s="193"/>
    </row>
    <row r="174" spans="2:27">
      <c r="D174" s="192"/>
      <c r="E174" s="193"/>
      <c r="F174" s="192"/>
      <c r="G174" s="193"/>
      <c r="H174" s="192"/>
      <c r="I174" s="193"/>
      <c r="J174" s="193"/>
      <c r="K174" s="193"/>
      <c r="L174" s="192"/>
      <c r="M174" s="192"/>
      <c r="N174" s="193"/>
      <c r="O174" s="192"/>
      <c r="P174" s="192"/>
      <c r="Q174" s="193"/>
      <c r="R174" s="192"/>
      <c r="S174" s="192"/>
      <c r="T174" s="193"/>
    </row>
  </sheetData>
  <mergeCells count="21">
    <mergeCell ref="B10:I10"/>
    <mergeCell ref="R20:T20"/>
    <mergeCell ref="O20:Q20"/>
    <mergeCell ref="Z20:AA20"/>
    <mergeCell ref="X21:Y21"/>
    <mergeCell ref="Z21:AA21"/>
    <mergeCell ref="U20:W20"/>
    <mergeCell ref="U21:W21"/>
    <mergeCell ref="X20:Y20"/>
    <mergeCell ref="R21:T21"/>
    <mergeCell ref="O21:Q21"/>
    <mergeCell ref="L21:N21"/>
    <mergeCell ref="D20:E20"/>
    <mergeCell ref="F20:G20"/>
    <mergeCell ref="L20:N20"/>
    <mergeCell ref="H20:I20"/>
    <mergeCell ref="H21:I21"/>
    <mergeCell ref="J20:K20"/>
    <mergeCell ref="J21:K21"/>
    <mergeCell ref="D21:E21"/>
    <mergeCell ref="F21:G21"/>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pageSetUpPr fitToPage="1"/>
  </sheetPr>
  <dimension ref="A1:W49"/>
  <sheetViews>
    <sheetView showGridLines="0" topLeftCell="A12" zoomScaleNormal="100" workbookViewId="0">
      <selection activeCell="P24" sqref="P24"/>
    </sheetView>
  </sheetViews>
  <sheetFormatPr defaultRowHeight="12.75"/>
  <cols>
    <col min="1" max="1" width="13.6640625" style="1" customWidth="1"/>
    <col min="2" max="2" width="20" style="1" bestFit="1" customWidth="1"/>
    <col min="3" max="8" width="13.33203125" style="1" bestFit="1" customWidth="1"/>
    <col min="9" max="10" width="13.33203125" style="1" hidden="1" customWidth="1"/>
    <col min="11" max="11" width="14.33203125" style="1" bestFit="1" customWidth="1"/>
    <col min="12" max="12" width="13.33203125" style="1" bestFit="1" customWidth="1"/>
    <col min="13" max="14" width="14" style="1" customWidth="1"/>
    <col min="15" max="16" width="13.33203125" style="1" bestFit="1" customWidth="1"/>
    <col min="17" max="17" width="14" style="1" customWidth="1"/>
    <col min="18" max="18" width="15.83203125" style="1" customWidth="1"/>
    <col min="19" max="20" width="14" style="1" hidden="1" customWidth="1"/>
    <col min="21" max="21" width="9.33203125" style="1"/>
    <col min="22" max="22" width="20.33203125" style="1" customWidth="1"/>
    <col min="23" max="23" width="13.33203125" style="1" bestFit="1" customWidth="1"/>
    <col min="24" max="16384" width="9.33203125" style="1"/>
  </cols>
  <sheetData>
    <row r="1" spans="1:23">
      <c r="A1" s="626" t="s">
        <v>255</v>
      </c>
    </row>
    <row r="10" spans="1:23" customFormat="1" ht="12.75" customHeight="1">
      <c r="B10" s="945"/>
      <c r="C10" s="945"/>
      <c r="D10" s="945"/>
      <c r="E10" s="945"/>
      <c r="F10" s="945"/>
      <c r="G10" s="945"/>
      <c r="H10" s="945"/>
      <c r="I10" s="945"/>
      <c r="J10" s="117"/>
      <c r="K10" s="117"/>
      <c r="L10" s="117"/>
      <c r="M10" s="117"/>
    </row>
    <row r="11" spans="1:23" ht="23.25">
      <c r="B11" s="114" t="s">
        <v>84</v>
      </c>
    </row>
    <row r="12" spans="1:23" ht="15">
      <c r="B12" s="45" t="s">
        <v>63</v>
      </c>
    </row>
    <row r="13" spans="1:23" ht="14.25">
      <c r="B13" s="85" t="s">
        <v>239</v>
      </c>
      <c r="J13" s="255"/>
      <c r="K13" s="256"/>
    </row>
    <row r="14" spans="1:23" ht="13.5" customHeight="1" thickBot="1">
      <c r="B14" s="114"/>
      <c r="J14" s="255"/>
      <c r="K14" s="256"/>
    </row>
    <row r="15" spans="1:23" ht="24.75" customHeight="1" thickBot="1">
      <c r="B15" s="678"/>
      <c r="C15" s="964" t="str">
        <f>'2. Customer Classes'!B14</f>
        <v>Residential</v>
      </c>
      <c r="D15" s="965"/>
      <c r="E15" s="964" t="str">
        <f>'2. Customer Classes'!B15</f>
        <v>General Service &lt; 50 kW</v>
      </c>
      <c r="F15" s="965"/>
      <c r="G15" s="964" t="str">
        <f>'2. Customer Classes'!B16</f>
        <v>Unmetered Scattered Load</v>
      </c>
      <c r="H15" s="965"/>
      <c r="I15" s="964">
        <f>'2. Customer Classes'!B17</f>
        <v>0</v>
      </c>
      <c r="J15" s="965"/>
      <c r="K15" s="964" t="str">
        <f>'2. Customer Classes'!B18</f>
        <v>General Service &gt; 50 kW - 4999 kW</v>
      </c>
      <c r="L15" s="965"/>
      <c r="M15" s="964" t="str">
        <f>'2. Customer Classes'!B19</f>
        <v>Streetlighting</v>
      </c>
      <c r="N15" s="965"/>
      <c r="O15" s="970">
        <f>'2. Customer Classes'!B20</f>
        <v>0</v>
      </c>
      <c r="P15" s="965"/>
      <c r="Q15" s="968">
        <f>'2. Customer Classes'!B21</f>
        <v>0</v>
      </c>
      <c r="R15" s="969"/>
      <c r="S15" s="968" t="str">
        <f>'2. Customer Classes'!B22</f>
        <v>other</v>
      </c>
      <c r="T15" s="969"/>
      <c r="V15" s="968" t="s">
        <v>160</v>
      </c>
      <c r="W15" s="969"/>
    </row>
    <row r="16" spans="1:23" ht="39" thickBot="1">
      <c r="B16" s="682" t="s">
        <v>3</v>
      </c>
      <c r="C16" s="683" t="s">
        <v>117</v>
      </c>
      <c r="D16" s="684" t="s">
        <v>5</v>
      </c>
      <c r="E16" s="683" t="s">
        <v>117</v>
      </c>
      <c r="F16" s="684" t="s">
        <v>5</v>
      </c>
      <c r="G16" s="683" t="s">
        <v>117</v>
      </c>
      <c r="H16" s="684" t="s">
        <v>5</v>
      </c>
      <c r="I16" s="683"/>
      <c r="J16" s="684"/>
      <c r="K16" s="683" t="s">
        <v>117</v>
      </c>
      <c r="L16" s="682" t="s">
        <v>5</v>
      </c>
      <c r="M16" s="683" t="s">
        <v>117</v>
      </c>
      <c r="N16" s="682" t="s">
        <v>5</v>
      </c>
      <c r="O16" s="683" t="s">
        <v>117</v>
      </c>
      <c r="P16" s="685" t="s">
        <v>5</v>
      </c>
      <c r="Q16" s="683" t="s">
        <v>117</v>
      </c>
      <c r="R16" s="685" t="s">
        <v>5</v>
      </c>
      <c r="S16" s="139" t="s">
        <v>117</v>
      </c>
      <c r="T16" s="3" t="s">
        <v>5</v>
      </c>
      <c r="V16" s="683" t="s">
        <v>170</v>
      </c>
      <c r="W16" s="685" t="s">
        <v>5</v>
      </c>
    </row>
    <row r="17" spans="2:23">
      <c r="B17" s="4">
        <f>'1. LDC Info'!F25-10</f>
        <v>2013</v>
      </c>
      <c r="C17" s="163">
        <f>AVERAGE('3. Consumption by Rate Class'!E25,'3. Consumption by Rate Class'!E36)</f>
        <v>3726</v>
      </c>
      <c r="D17" s="138"/>
      <c r="E17" s="163">
        <f>AVERAGE('3. Consumption by Rate Class'!G25,'3. Consumption by Rate Class'!G36)</f>
        <v>435.5</v>
      </c>
      <c r="F17" s="138"/>
      <c r="G17" s="140">
        <f>AVERAGE('3. Consumption by Rate Class'!I25,'3. Consumption by Rate Class'!I36)</f>
        <v>33.5</v>
      </c>
      <c r="H17" s="138"/>
      <c r="I17" s="163"/>
      <c r="J17" s="138"/>
      <c r="K17" s="140">
        <f>AVERAGE('3. Consumption by Rate Class'!N25,'3. Consumption by Rate Class'!N36)</f>
        <v>59</v>
      </c>
      <c r="L17" s="138"/>
      <c r="M17" s="163">
        <f>IF(SUM('3. Consumption by Rate Class'!Q25:Q36)&gt;0,+AVERAGE('3. Consumption by Rate Class'!Q25,'3. Consumption by Rate Class'!Q36),0)</f>
        <v>1190</v>
      </c>
      <c r="N17" s="138"/>
      <c r="O17" s="163"/>
      <c r="P17" s="141"/>
      <c r="Q17" s="163"/>
      <c r="R17" s="138"/>
      <c r="S17" s="163"/>
      <c r="T17" s="138"/>
      <c r="V17" s="197">
        <f>+C17+E17+G17+I17+K17+M17+O17+Q17</f>
        <v>5444</v>
      </c>
      <c r="W17" s="198"/>
    </row>
    <row r="18" spans="2:23">
      <c r="B18" s="4">
        <f>'1. LDC Info'!F25-9</f>
        <v>2014</v>
      </c>
      <c r="C18" s="164">
        <f>AVERAGE('3. Consumption by Rate Class'!E37,'3. Consumption by Rate Class'!E48)</f>
        <v>3744</v>
      </c>
      <c r="D18" s="6">
        <f>C18/C17</f>
        <v>1.0048309178743962</v>
      </c>
      <c r="E18" s="164">
        <f>AVERAGE('3. Consumption by Rate Class'!G37,'3. Consumption by Rate Class'!G48)</f>
        <v>432.5</v>
      </c>
      <c r="F18" s="6">
        <f>E18/E17</f>
        <v>0.99311136624569463</v>
      </c>
      <c r="G18" s="14">
        <f>AVERAGE('3. Consumption by Rate Class'!I37,'3. Consumption by Rate Class'!I48)</f>
        <v>33</v>
      </c>
      <c r="H18" s="6">
        <f t="shared" ref="H18:H26" si="0">G18/G17</f>
        <v>0.9850746268656716</v>
      </c>
      <c r="I18" s="163"/>
      <c r="J18" s="6"/>
      <c r="K18" s="14">
        <f>AVERAGE('3. Consumption by Rate Class'!N37,'3. Consumption by Rate Class'!N48)</f>
        <v>60</v>
      </c>
      <c r="L18" s="6">
        <f t="shared" ref="L18:L26" si="1">K18/K17</f>
        <v>1.0169491525423728</v>
      </c>
      <c r="M18" s="163">
        <f>IF(SUM('3. Consumption by Rate Class'!Q37:Q48)&gt;0,+AVERAGE('3. Consumption by Rate Class'!Q37,'3. Consumption by Rate Class'!Q48),0)</f>
        <v>1190</v>
      </c>
      <c r="N18" s="6">
        <f>IF(M18&gt;0,+M18/M17,0)</f>
        <v>1</v>
      </c>
      <c r="O18" s="164"/>
      <c r="P18" s="7"/>
      <c r="Q18" s="163"/>
      <c r="R18" s="7"/>
      <c r="S18" s="163"/>
      <c r="T18" s="6"/>
      <c r="V18" s="197">
        <f t="shared" ref="V18:V26" si="2">+C18+E18+G18+I18+K18+M18+O18+Q18</f>
        <v>5459.5</v>
      </c>
      <c r="W18" s="196">
        <f t="shared" ref="W18:W26" si="3">V18/V17</f>
        <v>1.0028471711976488</v>
      </c>
    </row>
    <row r="19" spans="2:23">
      <c r="B19" s="4">
        <f>'1. LDC Info'!F25-8</f>
        <v>2015</v>
      </c>
      <c r="C19" s="164">
        <f>AVERAGE('3. Consumption by Rate Class'!E49,'3. Consumption by Rate Class'!E60)</f>
        <v>3767.5</v>
      </c>
      <c r="D19" s="6">
        <f t="shared" ref="D19:F26" si="4">C19/C18</f>
        <v>1.0062767094017093</v>
      </c>
      <c r="E19" s="164">
        <f>AVERAGE('3. Consumption by Rate Class'!G49,'3. Consumption by Rate Class'!G60)</f>
        <v>429.5</v>
      </c>
      <c r="F19" s="6">
        <f t="shared" si="4"/>
        <v>0.99306358381502891</v>
      </c>
      <c r="G19" s="14">
        <f>AVERAGE('3. Consumption by Rate Class'!I49,'3. Consumption by Rate Class'!I60)</f>
        <v>33</v>
      </c>
      <c r="H19" s="6">
        <f t="shared" si="0"/>
        <v>1</v>
      </c>
      <c r="I19" s="163"/>
      <c r="J19" s="6"/>
      <c r="K19" s="14">
        <f>AVERAGE('3. Consumption by Rate Class'!N49,'3. Consumption by Rate Class'!N60)</f>
        <v>61</v>
      </c>
      <c r="L19" s="6">
        <f t="shared" si="1"/>
        <v>1.0166666666666666</v>
      </c>
      <c r="M19" s="163">
        <f>IF(SUM('3. Consumption by Rate Class'!Q49:Q60)&gt;0,+AVERAGE('3. Consumption by Rate Class'!Q49,'3. Consumption by Rate Class'!Q60),0)</f>
        <v>1190</v>
      </c>
      <c r="N19" s="6">
        <f t="shared" ref="N19:N26" si="5">IF(M19&gt;0,+M19/M18,0)</f>
        <v>1</v>
      </c>
      <c r="O19" s="164"/>
      <c r="P19" s="7"/>
      <c r="Q19" s="163"/>
      <c r="R19" s="7"/>
      <c r="S19" s="163"/>
      <c r="T19" s="6"/>
      <c r="V19" s="197">
        <f t="shared" si="2"/>
        <v>5481</v>
      </c>
      <c r="W19" s="196">
        <f t="shared" si="3"/>
        <v>1.0039380895686418</v>
      </c>
    </row>
    <row r="20" spans="2:23">
      <c r="B20" s="4">
        <f>'1. LDC Info'!F25-7</f>
        <v>2016</v>
      </c>
      <c r="C20" s="164">
        <f>AVERAGE('3. Consumption by Rate Class'!E61,'3. Consumption by Rate Class'!E72)</f>
        <v>3779.5</v>
      </c>
      <c r="D20" s="6">
        <f t="shared" si="4"/>
        <v>1.0031851360318513</v>
      </c>
      <c r="E20" s="164">
        <f>AVERAGE('3. Consumption by Rate Class'!G61,'3. Consumption by Rate Class'!G72)</f>
        <v>432.5</v>
      </c>
      <c r="F20" s="6">
        <f t="shared" si="4"/>
        <v>1.0069848661233993</v>
      </c>
      <c r="G20" s="14">
        <f>AVERAGE('3. Consumption by Rate Class'!I61,'3. Consumption by Rate Class'!I72)</f>
        <v>33.5</v>
      </c>
      <c r="H20" s="6">
        <f t="shared" si="0"/>
        <v>1.0151515151515151</v>
      </c>
      <c r="I20" s="163"/>
      <c r="J20" s="6"/>
      <c r="K20" s="14">
        <f>AVERAGE('3. Consumption by Rate Class'!N61,'3. Consumption by Rate Class'!N72)</f>
        <v>61</v>
      </c>
      <c r="L20" s="6">
        <f t="shared" si="1"/>
        <v>1</v>
      </c>
      <c r="M20" s="163">
        <f>IF(SUM('3. Consumption by Rate Class'!Q61:Q72)&gt;0,+AVERAGE('3. Consumption by Rate Class'!Q61,'3. Consumption by Rate Class'!Q72),0)</f>
        <v>1197</v>
      </c>
      <c r="N20" s="6">
        <f t="shared" si="5"/>
        <v>1.0058823529411764</v>
      </c>
      <c r="O20" s="164"/>
      <c r="P20" s="7"/>
      <c r="Q20" s="163"/>
      <c r="R20" s="7"/>
      <c r="S20" s="163"/>
      <c r="T20" s="6"/>
      <c r="V20" s="197">
        <f t="shared" si="2"/>
        <v>5503.5</v>
      </c>
      <c r="W20" s="196">
        <f t="shared" si="3"/>
        <v>1.0041050903119868</v>
      </c>
    </row>
    <row r="21" spans="2:23">
      <c r="B21" s="4">
        <f>'1. LDC Info'!F25-6</f>
        <v>2017</v>
      </c>
      <c r="C21" s="164">
        <f>AVERAGE('3. Consumption by Rate Class'!E73,'3. Consumption by Rate Class'!E84)</f>
        <v>3797</v>
      </c>
      <c r="D21" s="6">
        <f t="shared" si="4"/>
        <v>1.0046302420955153</v>
      </c>
      <c r="E21" s="164">
        <f>AVERAGE('3. Consumption by Rate Class'!G73,'3. Consumption by Rate Class'!G84)</f>
        <v>436</v>
      </c>
      <c r="F21" s="6">
        <f t="shared" si="4"/>
        <v>1.0080924855491329</v>
      </c>
      <c r="G21" s="14">
        <f>AVERAGE('3. Consumption by Rate Class'!I73,'3. Consumption by Rate Class'!I84)</f>
        <v>34</v>
      </c>
      <c r="H21" s="6">
        <f t="shared" si="0"/>
        <v>1.0149253731343284</v>
      </c>
      <c r="I21" s="163"/>
      <c r="J21" s="6"/>
      <c r="K21" s="14">
        <f>AVERAGE('3. Consumption by Rate Class'!N73,'3. Consumption by Rate Class'!N84)</f>
        <v>56</v>
      </c>
      <c r="L21" s="6">
        <f t="shared" si="1"/>
        <v>0.91803278688524592</v>
      </c>
      <c r="M21" s="163">
        <f>IF(SUM('3. Consumption by Rate Class'!Q73:Q84)&gt;0,+AVERAGE('3. Consumption by Rate Class'!Q73,'3. Consumption by Rate Class'!Q84),0)</f>
        <v>1193</v>
      </c>
      <c r="N21" s="6">
        <f t="shared" si="5"/>
        <v>0.99665831244778613</v>
      </c>
      <c r="O21" s="164"/>
      <c r="P21" s="7"/>
      <c r="Q21" s="163"/>
      <c r="R21" s="7"/>
      <c r="S21" s="163"/>
      <c r="T21" s="6"/>
      <c r="V21" s="197">
        <f t="shared" si="2"/>
        <v>5516</v>
      </c>
      <c r="W21" s="196">
        <f t="shared" si="3"/>
        <v>1.0022712819115109</v>
      </c>
    </row>
    <row r="22" spans="2:23">
      <c r="B22" s="4">
        <f>'1. LDC Info'!F25-5</f>
        <v>2018</v>
      </c>
      <c r="C22" s="164">
        <f>AVERAGE('3. Consumption by Rate Class'!E85,'3. Consumption by Rate Class'!E96)</f>
        <v>3813.5</v>
      </c>
      <c r="D22" s="6">
        <f t="shared" si="4"/>
        <v>1.0043455359494338</v>
      </c>
      <c r="E22" s="164">
        <f>AVERAGE('3. Consumption by Rate Class'!G85,'3. Consumption by Rate Class'!G96)</f>
        <v>439.5</v>
      </c>
      <c r="F22" s="6">
        <f t="shared" si="4"/>
        <v>1.0080275229357798</v>
      </c>
      <c r="G22" s="14">
        <f>AVERAGE('3. Consumption by Rate Class'!I85,'3. Consumption by Rate Class'!I96)</f>
        <v>35.5</v>
      </c>
      <c r="H22" s="6">
        <f t="shared" si="0"/>
        <v>1.0441176470588236</v>
      </c>
      <c r="I22" s="163"/>
      <c r="J22" s="6"/>
      <c r="K22" s="14">
        <f>AVERAGE('3. Consumption by Rate Class'!N85,'3. Consumption by Rate Class'!N96)</f>
        <v>54</v>
      </c>
      <c r="L22" s="6">
        <f t="shared" si="1"/>
        <v>0.9642857142857143</v>
      </c>
      <c r="M22" s="163">
        <f>IF(SUM('3. Consumption by Rate Class'!Q85:Q96)&gt;0,+AVERAGE('3. Consumption by Rate Class'!Q85,'3. Consumption by Rate Class'!Q96),0)</f>
        <v>1195</v>
      </c>
      <c r="N22" s="6">
        <f t="shared" si="5"/>
        <v>1.0016764459346186</v>
      </c>
      <c r="O22" s="164"/>
      <c r="P22" s="7"/>
      <c r="Q22" s="163"/>
      <c r="R22" s="7"/>
      <c r="S22" s="163"/>
      <c r="T22" s="6"/>
      <c r="V22" s="197">
        <f t="shared" si="2"/>
        <v>5537.5</v>
      </c>
      <c r="W22" s="196">
        <f t="shared" si="3"/>
        <v>1.0038977519941987</v>
      </c>
    </row>
    <row r="23" spans="2:23">
      <c r="B23" s="4">
        <f>'1. LDC Info'!F25-4</f>
        <v>2019</v>
      </c>
      <c r="C23" s="164">
        <f>AVERAGE('3. Consumption by Rate Class'!E97,'3. Consumption by Rate Class'!E108)</f>
        <v>3824</v>
      </c>
      <c r="D23" s="6">
        <f t="shared" si="4"/>
        <v>1.0027533761636291</v>
      </c>
      <c r="E23" s="164">
        <f>AVERAGE('3. Consumption by Rate Class'!G97,'3. Consumption by Rate Class'!G108)</f>
        <v>451</v>
      </c>
      <c r="F23" s="6">
        <f t="shared" si="4"/>
        <v>1.0261660978384528</v>
      </c>
      <c r="G23" s="14">
        <f>AVERAGE('3. Consumption by Rate Class'!I97,'3. Consumption by Rate Class'!I108)</f>
        <v>37</v>
      </c>
      <c r="H23" s="6">
        <f t="shared" si="0"/>
        <v>1.0422535211267605</v>
      </c>
      <c r="I23" s="163"/>
      <c r="J23" s="6"/>
      <c r="K23" s="14">
        <f>AVERAGE('3. Consumption by Rate Class'!N97,'3. Consumption by Rate Class'!N108)</f>
        <v>45</v>
      </c>
      <c r="L23" s="6">
        <f t="shared" si="1"/>
        <v>0.83333333333333337</v>
      </c>
      <c r="M23" s="163">
        <f>IF(SUM('3. Consumption by Rate Class'!Q97:Q108)&gt;0,+AVERAGE('3. Consumption by Rate Class'!Q97,'3. Consumption by Rate Class'!Q108),0)</f>
        <v>1195</v>
      </c>
      <c r="N23" s="6">
        <f t="shared" si="5"/>
        <v>1</v>
      </c>
      <c r="O23" s="164"/>
      <c r="P23" s="7"/>
      <c r="Q23" s="163"/>
      <c r="R23" s="7"/>
      <c r="S23" s="163"/>
      <c r="T23" s="6"/>
      <c r="V23" s="197">
        <f t="shared" si="2"/>
        <v>5552</v>
      </c>
      <c r="W23" s="196">
        <f t="shared" si="3"/>
        <v>1.0026185101580136</v>
      </c>
    </row>
    <row r="24" spans="2:23">
      <c r="B24" s="4">
        <f>'1. LDC Info'!F25-3</f>
        <v>2020</v>
      </c>
      <c r="C24" s="164">
        <f>AVERAGE('3. Consumption by Rate Class'!E109,'3. Consumption by Rate Class'!E120)</f>
        <v>3843.5</v>
      </c>
      <c r="D24" s="6">
        <f t="shared" si="4"/>
        <v>1.0050993723849373</v>
      </c>
      <c r="E24" s="164">
        <f>AVERAGE('3. Consumption by Rate Class'!G109,'3. Consumption by Rate Class'!G120)</f>
        <v>455.5</v>
      </c>
      <c r="F24" s="6">
        <f t="shared" si="4"/>
        <v>1.0099778270509978</v>
      </c>
      <c r="G24" s="14">
        <f>AVERAGE('3. Consumption by Rate Class'!I109,'3. Consumption by Rate Class'!I120)</f>
        <v>37</v>
      </c>
      <c r="H24" s="6">
        <f t="shared" si="0"/>
        <v>1</v>
      </c>
      <c r="I24" s="163"/>
      <c r="J24" s="6"/>
      <c r="K24" s="14">
        <f>AVERAGE('3. Consumption by Rate Class'!N109,'3. Consumption by Rate Class'!N120)</f>
        <v>38.5</v>
      </c>
      <c r="L24" s="6">
        <f t="shared" si="1"/>
        <v>0.85555555555555551</v>
      </c>
      <c r="M24" s="163">
        <f>IF(SUM('3. Consumption by Rate Class'!Q109:Q120)&gt;0,+AVERAGE('3. Consumption by Rate Class'!Q109,'3. Consumption by Rate Class'!Q120),0)</f>
        <v>1227</v>
      </c>
      <c r="N24" s="6">
        <f t="shared" si="5"/>
        <v>1.0267782426778242</v>
      </c>
      <c r="O24" s="164"/>
      <c r="P24" s="7"/>
      <c r="Q24" s="163"/>
      <c r="R24" s="7"/>
      <c r="S24" s="163"/>
      <c r="T24" s="6"/>
      <c r="V24" s="197">
        <f t="shared" si="2"/>
        <v>5601.5</v>
      </c>
      <c r="W24" s="196">
        <f t="shared" si="3"/>
        <v>1.0089157060518732</v>
      </c>
    </row>
    <row r="25" spans="2:23">
      <c r="B25" s="4">
        <f>'1. LDC Info'!F25-2</f>
        <v>2021</v>
      </c>
      <c r="C25" s="164">
        <f>AVERAGE('3. Consumption by Rate Class'!E121,'3. Consumption by Rate Class'!E132)</f>
        <v>3860</v>
      </c>
      <c r="D25" s="6">
        <f t="shared" si="4"/>
        <v>1.0042929621438792</v>
      </c>
      <c r="E25" s="164">
        <f>AVERAGE('3. Consumption by Rate Class'!G121,'3. Consumption by Rate Class'!G132)</f>
        <v>453</v>
      </c>
      <c r="F25" s="6">
        <f t="shared" si="4"/>
        <v>0.9945115257958288</v>
      </c>
      <c r="G25" s="14">
        <f>AVERAGE('3. Consumption by Rate Class'!I121,'3. Consumption by Rate Class'!I132)</f>
        <v>37</v>
      </c>
      <c r="H25" s="6">
        <f t="shared" si="0"/>
        <v>1</v>
      </c>
      <c r="I25" s="163"/>
      <c r="J25" s="6"/>
      <c r="K25" s="14">
        <f>AVERAGE('3. Consumption by Rate Class'!N121,'3. Consumption by Rate Class'!N132)</f>
        <v>41.5</v>
      </c>
      <c r="L25" s="6">
        <f t="shared" si="1"/>
        <v>1.0779220779220779</v>
      </c>
      <c r="M25" s="163">
        <f>IF(SUM('3. Consumption by Rate Class'!Q121:Q132)&gt;0,+AVERAGE('3. Consumption by Rate Class'!Q121,'3. Consumption by Rate Class'!Q132),0)</f>
        <v>1227</v>
      </c>
      <c r="N25" s="6">
        <f t="shared" si="5"/>
        <v>1</v>
      </c>
      <c r="O25" s="164"/>
      <c r="P25" s="7"/>
      <c r="Q25" s="163"/>
      <c r="R25" s="7"/>
      <c r="S25" s="163"/>
      <c r="T25" s="6"/>
      <c r="V25" s="197">
        <f t="shared" si="2"/>
        <v>5618.5</v>
      </c>
      <c r="W25" s="196">
        <f t="shared" si="3"/>
        <v>1.0030349013657056</v>
      </c>
    </row>
    <row r="26" spans="2:23">
      <c r="B26" s="4">
        <f>'1. LDC Info'!F25-1</f>
        <v>2022</v>
      </c>
      <c r="C26" s="164">
        <f>AVERAGE('3. Consumption by Rate Class'!E133,'3. Consumption by Rate Class'!E144)</f>
        <v>3878.5</v>
      </c>
      <c r="D26" s="6">
        <f t="shared" si="4"/>
        <v>1.0047927461139896</v>
      </c>
      <c r="E26" s="164">
        <f>AVERAGE('3. Consumption by Rate Class'!G133,'3. Consumption by Rate Class'!G144)</f>
        <v>455</v>
      </c>
      <c r="F26" s="6">
        <f t="shared" si="4"/>
        <v>1.0044150110375276</v>
      </c>
      <c r="G26" s="14">
        <f>AVERAGE('3. Consumption by Rate Class'!I133,'3. Consumption by Rate Class'!I144)</f>
        <v>37</v>
      </c>
      <c r="H26" s="6">
        <f t="shared" si="0"/>
        <v>1</v>
      </c>
      <c r="I26" s="163"/>
      <c r="J26" s="6"/>
      <c r="K26" s="14">
        <f>AVERAGE('3. Consumption by Rate Class'!N133,'3. Consumption by Rate Class'!N144)</f>
        <v>42</v>
      </c>
      <c r="L26" s="6">
        <f t="shared" si="1"/>
        <v>1.0120481927710843</v>
      </c>
      <c r="M26" s="163">
        <f>IF(SUM('3. Consumption by Rate Class'!Q132:Q144)&gt;0,+AVERAGE('3. Consumption by Rate Class'!Q133,'3. Consumption by Rate Class'!Q144),0)</f>
        <v>1197</v>
      </c>
      <c r="N26" s="6">
        <f t="shared" si="5"/>
        <v>0.97555012224938875</v>
      </c>
      <c r="O26" s="164"/>
      <c r="P26" s="7"/>
      <c r="Q26" s="163"/>
      <c r="R26" s="7"/>
      <c r="S26" s="163"/>
      <c r="T26" s="6"/>
      <c r="V26" s="197">
        <f t="shared" si="2"/>
        <v>5609.5</v>
      </c>
      <c r="W26" s="196">
        <f t="shared" si="3"/>
        <v>0.99839814897214563</v>
      </c>
    </row>
    <row r="27" spans="2:23">
      <c r="B27" s="8"/>
      <c r="C27" s="242"/>
      <c r="D27" s="6"/>
      <c r="E27" s="242"/>
      <c r="F27" s="6"/>
      <c r="G27" s="9"/>
      <c r="H27" s="6"/>
      <c r="I27" s="242"/>
      <c r="J27" s="6"/>
      <c r="K27" s="9"/>
      <c r="L27" s="6"/>
      <c r="M27" s="242"/>
      <c r="N27" s="6"/>
      <c r="O27" s="242"/>
      <c r="P27" s="7"/>
      <c r="Q27" s="242"/>
      <c r="R27" s="6"/>
      <c r="S27" s="242"/>
      <c r="T27" s="6"/>
      <c r="V27" s="197"/>
      <c r="W27" s="198"/>
    </row>
    <row r="28" spans="2:23">
      <c r="B28" s="10" t="s">
        <v>4</v>
      </c>
      <c r="C28" s="242"/>
      <c r="D28" s="11">
        <f>GEOMEAN(D18:D26)</f>
        <v>1.0044669704974463</v>
      </c>
      <c r="E28" s="244"/>
      <c r="F28" s="11">
        <f>GEOMEAN(F18:F26)</f>
        <v>1.0048788209511663</v>
      </c>
      <c r="G28" s="12"/>
      <c r="H28" s="11">
        <f>GEOMEAN(H18:H26)</f>
        <v>1.011102567048678</v>
      </c>
      <c r="I28" s="244"/>
      <c r="J28" s="11"/>
      <c r="K28" s="12"/>
      <c r="L28" s="11">
        <f>GEOMEAN(L18:L26)</f>
        <v>0.9629410425614513</v>
      </c>
      <c r="M28" s="244"/>
      <c r="N28" s="11">
        <f>IF(SUM(N18:N26)&gt;0,+GEOMEAN(N18:N26),0)</f>
        <v>1.0006518923286611</v>
      </c>
      <c r="O28" s="244"/>
      <c r="P28" s="13"/>
      <c r="Q28" s="244"/>
      <c r="R28" s="13"/>
      <c r="S28" s="244"/>
      <c r="T28" s="11"/>
      <c r="V28" s="197"/>
      <c r="W28" s="13">
        <f>GEOMEAN(W18:W26)</f>
        <v>1.0033330427434706</v>
      </c>
    </row>
    <row r="29" spans="2:23">
      <c r="B29" s="10"/>
      <c r="C29" s="242"/>
      <c r="D29" s="11"/>
      <c r="E29" s="244"/>
      <c r="F29" s="11"/>
      <c r="G29" s="12"/>
      <c r="H29" s="11"/>
      <c r="I29" s="244"/>
      <c r="J29" s="11"/>
      <c r="K29" s="12"/>
      <c r="L29" s="11"/>
      <c r="M29" s="244"/>
      <c r="N29" s="11"/>
      <c r="O29" s="244"/>
      <c r="P29" s="13"/>
      <c r="Q29" s="244"/>
      <c r="R29" s="11"/>
      <c r="S29" s="244"/>
      <c r="T29" s="11"/>
      <c r="V29" s="197"/>
      <c r="W29" s="198"/>
    </row>
    <row r="30" spans="2:23">
      <c r="B30" s="666" t="str">
        <f>'1. LDC Info'!F25</f>
        <v>2023</v>
      </c>
      <c r="C30" s="667">
        <f>C26*D28</f>
        <v>3895.8251450743455</v>
      </c>
      <c r="D30" s="668" t="s">
        <v>30</v>
      </c>
      <c r="E30" s="667">
        <f>E26*F28</f>
        <v>457.21986353278066</v>
      </c>
      <c r="F30" s="669"/>
      <c r="G30" s="670">
        <f>G26*H28</f>
        <v>37.410794980801086</v>
      </c>
      <c r="H30" s="669"/>
      <c r="I30" s="667"/>
      <c r="J30" s="669"/>
      <c r="K30" s="670">
        <f>K26*L28</f>
        <v>40.443523787580958</v>
      </c>
      <c r="L30" s="669"/>
      <c r="M30" s="667">
        <f>M26*N28</f>
        <v>1197.7803151174073</v>
      </c>
      <c r="N30" s="669"/>
      <c r="O30" s="667">
        <f>O26*P28</f>
        <v>0</v>
      </c>
      <c r="P30" s="671"/>
      <c r="Q30" s="667">
        <f>Q26*R28</f>
        <v>0</v>
      </c>
      <c r="R30" s="669"/>
      <c r="S30" s="164"/>
      <c r="T30" s="624"/>
      <c r="V30" s="679">
        <f>+C30+E30+G30+I30+K30+M30+O30+R30</f>
        <v>5628.6796424929162</v>
      </c>
      <c r="W30" s="680"/>
    </row>
    <row r="31" spans="2:23" ht="13.5" thickBot="1">
      <c r="B31" s="672" t="str">
        <f>'1. LDC Info'!F27</f>
        <v>2024</v>
      </c>
      <c r="C31" s="673">
        <f>C30*D28</f>
        <v>3913.2276810606018</v>
      </c>
      <c r="D31" s="674" t="s">
        <v>30</v>
      </c>
      <c r="E31" s="673">
        <f>E30*F28</f>
        <v>459.45055738227381</v>
      </c>
      <c r="F31" s="675"/>
      <c r="G31" s="676">
        <f>G30*H28</f>
        <v>37.826150840419771</v>
      </c>
      <c r="H31" s="675"/>
      <c r="I31" s="673"/>
      <c r="J31" s="675"/>
      <c r="K31" s="676">
        <f>K30*L28</f>
        <v>38.944728960872062</v>
      </c>
      <c r="L31" s="675"/>
      <c r="M31" s="673">
        <f>M30*N28</f>
        <v>1198.5611389162536</v>
      </c>
      <c r="N31" s="675"/>
      <c r="O31" s="673">
        <f>O30*P28</f>
        <v>0</v>
      </c>
      <c r="P31" s="677"/>
      <c r="Q31" s="673">
        <f>Q30*R28</f>
        <v>0</v>
      </c>
      <c r="R31" s="675"/>
      <c r="S31" s="243"/>
      <c r="T31" s="625"/>
      <c r="V31" s="679">
        <f>+C31+E31+G31+I31+K31+M31+O31+R31</f>
        <v>5648.0102571604202</v>
      </c>
      <c r="W31" s="681"/>
    </row>
    <row r="32" spans="2:23">
      <c r="V32" s="195"/>
    </row>
    <row r="33" spans="2:23">
      <c r="B33" s="143" t="s">
        <v>171</v>
      </c>
      <c r="V33" s="195"/>
    </row>
    <row r="34" spans="2:23" ht="13.5" thickBot="1">
      <c r="V34" s="195"/>
    </row>
    <row r="35" spans="2:23">
      <c r="B35" s="230" t="s">
        <v>31</v>
      </c>
      <c r="C35" s="17"/>
      <c r="D35" s="17"/>
      <c r="E35" s="17"/>
      <c r="F35" s="17"/>
      <c r="G35" s="17"/>
      <c r="H35" s="17"/>
      <c r="I35" s="17"/>
      <c r="J35" s="17"/>
      <c r="K35" s="17"/>
      <c r="L35" s="17"/>
      <c r="M35" s="17"/>
      <c r="N35" s="17"/>
      <c r="O35" s="17"/>
      <c r="P35" s="18"/>
      <c r="Q35" s="17"/>
      <c r="R35" s="18"/>
      <c r="S35" s="17"/>
      <c r="T35" s="18"/>
      <c r="V35" s="962" t="s">
        <v>31</v>
      </c>
      <c r="W35" s="963"/>
    </row>
    <row r="36" spans="2:23">
      <c r="B36" s="137" t="str">
        <f>'1. LDC Info'!F25</f>
        <v>2023</v>
      </c>
      <c r="C36" s="245">
        <v>3905</v>
      </c>
      <c r="D36" s="6">
        <f>C36/C26</f>
        <v>1.0068325383524559</v>
      </c>
      <c r="E36" s="245">
        <v>456</v>
      </c>
      <c r="F36" s="6">
        <f>E36/E26</f>
        <v>1.0021978021978022</v>
      </c>
      <c r="G36" s="245">
        <v>37</v>
      </c>
      <c r="H36" s="6">
        <f>G36/G26</f>
        <v>1</v>
      </c>
      <c r="I36" s="245"/>
      <c r="J36" s="6">
        <f>IF(I36&gt;0,+I36/I26,0)</f>
        <v>0</v>
      </c>
      <c r="K36" s="245">
        <v>42</v>
      </c>
      <c r="L36" s="6">
        <f>K36/K26</f>
        <v>1</v>
      </c>
      <c r="M36" s="245">
        <v>1197</v>
      </c>
      <c r="N36" s="6">
        <f>IF(M36&gt;0,+M36/M26,0)</f>
        <v>1</v>
      </c>
      <c r="O36" s="245"/>
      <c r="P36" s="7" t="e">
        <f>O36/O26</f>
        <v>#DIV/0!</v>
      </c>
      <c r="Q36" s="19">
        <v>0</v>
      </c>
      <c r="R36" s="7" t="e">
        <f>Q36/Q26</f>
        <v>#DIV/0!</v>
      </c>
      <c r="S36" s="19"/>
      <c r="T36" s="7"/>
      <c r="V36" s="197">
        <f>+C36+E36+G36+I36+K36+M36+O36</f>
        <v>5637</v>
      </c>
      <c r="W36" s="7">
        <f>V36/V26</f>
        <v>1.0049023977181566</v>
      </c>
    </row>
    <row r="37" spans="2:23" ht="13.5" thickBot="1">
      <c r="B37" s="136" t="str">
        <f>'1. LDC Info'!F27</f>
        <v>2024</v>
      </c>
      <c r="C37" s="246">
        <v>3922</v>
      </c>
      <c r="D37" s="240">
        <f>IF(C37&gt;0,+C37/C36,0)</f>
        <v>1.0043533930857875</v>
      </c>
      <c r="E37" s="246">
        <v>458</v>
      </c>
      <c r="F37" s="240">
        <f>IF(E37&gt;0,+E37/E36,0)</f>
        <v>1.0043859649122806</v>
      </c>
      <c r="G37" s="246">
        <v>37</v>
      </c>
      <c r="H37" s="240">
        <f>IF(G37&gt;0,+G37/G36,0)</f>
        <v>1</v>
      </c>
      <c r="I37" s="246"/>
      <c r="J37" s="240">
        <f>IF(I37&gt;0,+I37/I36,0)</f>
        <v>0</v>
      </c>
      <c r="K37" s="246">
        <v>42</v>
      </c>
      <c r="L37" s="240">
        <f>IF(K37&gt;0,+K37/K36,0)</f>
        <v>1</v>
      </c>
      <c r="M37" s="246">
        <v>1197</v>
      </c>
      <c r="N37" s="240">
        <f>IF(M37&gt;0,+M37/M36,0)</f>
        <v>1</v>
      </c>
      <c r="O37" s="246"/>
      <c r="P37" s="21">
        <f>IF(O37&gt;0,+O37/O36,0)</f>
        <v>0</v>
      </c>
      <c r="Q37" s="20">
        <v>0</v>
      </c>
      <c r="R37" s="21">
        <f>IF(Q37&gt;0,+Q37/Q36,0)</f>
        <v>0</v>
      </c>
      <c r="S37" s="20"/>
      <c r="T37" s="21"/>
      <c r="V37" s="338">
        <f>+C37+E37+G37+I37+K37+M37+O37</f>
        <v>5656</v>
      </c>
      <c r="W37" s="21">
        <f>IF(V37&gt;0,+V37/V36,0)</f>
        <v>1.0033705871917686</v>
      </c>
    </row>
    <row r="38" spans="2:23">
      <c r="C38" s="148" t="s">
        <v>30</v>
      </c>
      <c r="V38" s="195"/>
    </row>
    <row r="39" spans="2:23">
      <c r="B39" s="1" t="s">
        <v>127</v>
      </c>
      <c r="V39" s="195"/>
    </row>
    <row r="40" spans="2:23" ht="13.5" thickBot="1">
      <c r="V40" s="195"/>
    </row>
    <row r="41" spans="2:23">
      <c r="B41" s="966" t="s">
        <v>155</v>
      </c>
      <c r="C41" s="957"/>
      <c r="D41" s="957"/>
      <c r="E41" s="957"/>
      <c r="F41" s="957"/>
      <c r="G41" s="957"/>
      <c r="H41" s="957"/>
      <c r="I41" s="957"/>
      <c r="J41" s="957"/>
      <c r="K41" s="957"/>
      <c r="L41" s="957"/>
      <c r="M41" s="957"/>
      <c r="N41" s="957"/>
      <c r="O41" s="957"/>
      <c r="P41" s="957"/>
      <c r="Q41" s="957"/>
      <c r="R41" s="967"/>
      <c r="V41" s="962" t="s">
        <v>31</v>
      </c>
      <c r="W41" s="963"/>
    </row>
    <row r="42" spans="2:23" ht="13.5" thickBot="1">
      <c r="B42" s="467">
        <v>2014</v>
      </c>
      <c r="C42" s="620">
        <f>IF(C36&gt;0,+C36,C30)</f>
        <v>3905</v>
      </c>
      <c r="D42" s="450">
        <f>IF(D36&gt;0,+D36,D28)</f>
        <v>1.0068325383524559</v>
      </c>
      <c r="E42" s="620">
        <f>IF(E36&gt;0,+E36,E30)</f>
        <v>456</v>
      </c>
      <c r="F42" s="450">
        <f>IF(F36&gt;0,+F36,F28)</f>
        <v>1.0021978021978022</v>
      </c>
      <c r="G42" s="620">
        <f>IF(G36&gt;0,+G36,G30)</f>
        <v>37</v>
      </c>
      <c r="H42" s="450">
        <f>IF(H36&gt;0,+H36,H28)</f>
        <v>1</v>
      </c>
      <c r="I42" s="447">
        <f>IF(I36&gt;0,+I36,I30)</f>
        <v>0</v>
      </c>
      <c r="J42" s="450">
        <f>IF(J36&gt;0,+J36,J28)</f>
        <v>0</v>
      </c>
      <c r="K42" s="620">
        <f>IF(K36&gt;0,+K36,K30)</f>
        <v>42</v>
      </c>
      <c r="L42" s="450">
        <f>IF(L36&gt;0,+L36,L28)</f>
        <v>1</v>
      </c>
      <c r="M42" s="620">
        <f>IF(M36&gt;0,+M36,M30)</f>
        <v>1197</v>
      </c>
      <c r="N42" s="450">
        <f>IF(N36&gt;0,+N36,N28)</f>
        <v>1</v>
      </c>
      <c r="O42" s="620">
        <f>IF(O36&gt;0,+O36,O30)</f>
        <v>0</v>
      </c>
      <c r="P42" s="450" t="e">
        <f>IF(P36&gt;0,+P36,P28)</f>
        <v>#DIV/0!</v>
      </c>
      <c r="Q42" s="447">
        <f>IF(Q36&gt;0,+Q36,Q30)</f>
        <v>0</v>
      </c>
      <c r="R42" s="622" t="e">
        <f>IF(R36&gt;0,+R36,R28)</f>
        <v>#DIV/0!</v>
      </c>
      <c r="V42" s="197">
        <f>+C42+E42+G42+I42+K42+M42+O42</f>
        <v>5637</v>
      </c>
      <c r="W42" s="211">
        <f>IF(V36&gt;1,+W36,W28)</f>
        <v>1.0049023977181566</v>
      </c>
    </row>
    <row r="43" spans="2:23" ht="13.5" thickBot="1">
      <c r="B43" s="178">
        <v>2015</v>
      </c>
      <c r="C43" s="621">
        <f>IF(C37&gt;0,+C37,C31)</f>
        <v>3922</v>
      </c>
      <c r="D43" s="180">
        <f>IF(D37&gt;0,+D37,D28)</f>
        <v>1.0043533930857875</v>
      </c>
      <c r="E43" s="621">
        <f>IF(E37&gt;0,+E37,E31)</f>
        <v>458</v>
      </c>
      <c r="F43" s="180">
        <f>IF(F37&gt;0,+F37,F28)</f>
        <v>1.0043859649122806</v>
      </c>
      <c r="G43" s="621">
        <f>IF(G37&gt;0,+G37,G31)</f>
        <v>37</v>
      </c>
      <c r="H43" s="180">
        <f>IF(H37&gt;0,+H37,H28)</f>
        <v>1</v>
      </c>
      <c r="I43" s="241">
        <f>IF(I37&gt;0,+I37,I31)</f>
        <v>0</v>
      </c>
      <c r="J43" s="180">
        <f>IF(J37&gt;0,+J37,J28)</f>
        <v>0</v>
      </c>
      <c r="K43" s="621">
        <f>IF(K37&gt;0,+K37,K31)</f>
        <v>42</v>
      </c>
      <c r="L43" s="180">
        <f>IF(L37&gt;0,+L37,L28)</f>
        <v>1</v>
      </c>
      <c r="M43" s="621">
        <f>IF(M37&gt;0,+M37,M31)</f>
        <v>1197</v>
      </c>
      <c r="N43" s="180">
        <f>IF(N37&gt;0,+N37,N28)</f>
        <v>1</v>
      </c>
      <c r="O43" s="621">
        <f>IF(O37&gt;0,+O37,O31)</f>
        <v>0</v>
      </c>
      <c r="P43" s="180">
        <f>IF(P37&gt;0,+P37,P28)</f>
        <v>0</v>
      </c>
      <c r="Q43" s="241">
        <f>IF(Q37&gt;0,+Q37,Q31)</f>
        <v>0</v>
      </c>
      <c r="R43" s="623">
        <f>IF(R37&gt;0,+R37,R28)</f>
        <v>0</v>
      </c>
      <c r="V43" s="338">
        <f>+C43+E43+G43+I43+K43+M43+O43</f>
        <v>5656</v>
      </c>
      <c r="W43" s="212">
        <f>IF(W37&gt;1,+W37,W28)</f>
        <v>1.0033705871917686</v>
      </c>
    </row>
    <row r="48" spans="2:23">
      <c r="C48" s="247"/>
    </row>
    <row r="49" spans="3:3">
      <c r="C49" s="247"/>
    </row>
  </sheetData>
  <mergeCells count="14">
    <mergeCell ref="V41:W41"/>
    <mergeCell ref="M15:N15"/>
    <mergeCell ref="B41:R41"/>
    <mergeCell ref="B10:I10"/>
    <mergeCell ref="C15:D15"/>
    <mergeCell ref="E15:F15"/>
    <mergeCell ref="G15:H15"/>
    <mergeCell ref="K15:L15"/>
    <mergeCell ref="I15:J15"/>
    <mergeCell ref="V15:W15"/>
    <mergeCell ref="V35:W35"/>
    <mergeCell ref="Q15:R15"/>
    <mergeCell ref="S15:T15"/>
    <mergeCell ref="O15:P15"/>
  </mergeCells>
  <phoneticPr fontId="0" type="noConversion"/>
  <pageMargins left="0.70866141732283472" right="0.70866141732283472" top="0.74803149606299213" bottom="0.74803149606299213" header="0.31496062992125984" footer="0.31496062992125984"/>
  <pageSetup scale="37" orientation="portrait" r:id="rId1"/>
  <ignoredErrors>
    <ignoredError sqref="E18:E26 G18:G26" formula="1"/>
    <ignoredError sqref="M17:M26"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32"/>
  <sheetViews>
    <sheetView showGridLines="0" topLeftCell="A55" zoomScaleNormal="100" zoomScaleSheetLayoutView="100" workbookViewId="0">
      <selection activeCell="C78" sqref="C78"/>
    </sheetView>
  </sheetViews>
  <sheetFormatPr defaultRowHeight="12.75" outlineLevelRow="1"/>
  <cols>
    <col min="1" max="1" width="13.6640625" style="1" customWidth="1"/>
    <col min="2" max="2" width="24.83203125" style="23" customWidth="1"/>
    <col min="3" max="14" width="14.83203125" style="23" customWidth="1"/>
    <col min="15" max="15" width="12.5" style="1" customWidth="1"/>
    <col min="16" max="24" width="9.33203125" style="1"/>
    <col min="25" max="25" width="19.33203125" style="1" customWidth="1"/>
    <col min="26" max="16384" width="9.33203125" style="1"/>
  </cols>
  <sheetData>
    <row r="1" spans="1:14">
      <c r="A1" s="626" t="s">
        <v>255</v>
      </c>
    </row>
    <row r="10" spans="1:14">
      <c r="A10" s="200"/>
      <c r="B10" s="201"/>
      <c r="C10" s="201"/>
      <c r="D10" s="201"/>
      <c r="E10" s="201"/>
      <c r="F10" s="201"/>
      <c r="G10" s="201"/>
      <c r="H10" s="201"/>
      <c r="I10" s="201"/>
      <c r="J10" s="201"/>
      <c r="K10" s="201"/>
      <c r="L10" s="201"/>
      <c r="M10" s="201"/>
      <c r="N10" s="201"/>
    </row>
    <row r="11" spans="1:14" ht="23.25">
      <c r="A11" s="200"/>
      <c r="B11" s="202" t="s">
        <v>145</v>
      </c>
      <c r="C11" s="201"/>
      <c r="D11" s="201"/>
      <c r="E11" s="201"/>
      <c r="F11" s="201"/>
      <c r="G11" s="201"/>
      <c r="H11" s="201"/>
      <c r="I11" s="201"/>
      <c r="J11" s="201"/>
      <c r="K11" s="201"/>
      <c r="L11" s="201"/>
      <c r="M11" s="200"/>
      <c r="N11" s="1"/>
    </row>
    <row r="12" spans="1:14" ht="15">
      <c r="A12" s="200"/>
      <c r="B12" s="45" t="s">
        <v>63</v>
      </c>
      <c r="C12" s="201"/>
      <c r="D12" s="201"/>
      <c r="E12" s="201"/>
      <c r="F12" s="201"/>
      <c r="G12" s="201"/>
      <c r="H12" s="201"/>
      <c r="I12" s="201"/>
      <c r="J12" s="201"/>
      <c r="K12" s="201"/>
      <c r="L12" s="201"/>
      <c r="M12" s="201"/>
      <c r="N12" s="201"/>
    </row>
    <row r="13" spans="1:14" ht="14.25">
      <c r="A13" s="200"/>
      <c r="B13" s="85" t="s">
        <v>240</v>
      </c>
      <c r="C13" s="201"/>
      <c r="D13" s="201"/>
      <c r="E13" s="201"/>
      <c r="F13" s="201"/>
      <c r="G13" s="201"/>
      <c r="H13" s="201"/>
      <c r="I13" s="201"/>
      <c r="J13" s="201"/>
      <c r="K13" s="201"/>
      <c r="L13" s="201"/>
      <c r="M13" s="201"/>
      <c r="N13" s="201"/>
    </row>
    <row r="14" spans="1:14" ht="14.25">
      <c r="A14" s="200"/>
      <c r="B14" s="618" t="s">
        <v>241</v>
      </c>
      <c r="C14" s="201"/>
      <c r="D14" s="201"/>
      <c r="E14" s="201"/>
      <c r="F14" s="201"/>
      <c r="G14" s="201"/>
      <c r="H14" s="201"/>
      <c r="I14" s="201"/>
      <c r="J14" s="201"/>
      <c r="K14" s="201"/>
      <c r="L14" s="201"/>
      <c r="M14" s="201"/>
      <c r="N14" s="201"/>
    </row>
    <row r="15" spans="1:14">
      <c r="A15" s="200"/>
      <c r="B15" s="201"/>
      <c r="C15" s="201"/>
      <c r="D15" s="201"/>
      <c r="E15" s="201"/>
      <c r="F15" s="201"/>
      <c r="G15" s="201"/>
      <c r="H15" s="201"/>
      <c r="I15" s="201"/>
      <c r="J15" s="201"/>
      <c r="K15" s="201"/>
      <c r="L15" s="201"/>
      <c r="M15" s="201"/>
      <c r="N15" s="201"/>
    </row>
    <row r="16" spans="1:14">
      <c r="A16" s="200"/>
      <c r="B16" s="199" t="s">
        <v>1</v>
      </c>
      <c r="C16" s="203" t="s">
        <v>133</v>
      </c>
      <c r="D16" s="203" t="s">
        <v>134</v>
      </c>
      <c r="E16" s="203" t="s">
        <v>135</v>
      </c>
      <c r="F16" s="203" t="s">
        <v>136</v>
      </c>
      <c r="G16" s="203" t="s">
        <v>113</v>
      </c>
      <c r="H16" s="203" t="s">
        <v>137</v>
      </c>
      <c r="I16" s="203" t="s">
        <v>138</v>
      </c>
      <c r="J16" s="203" t="s">
        <v>139</v>
      </c>
      <c r="K16" s="203" t="s">
        <v>140</v>
      </c>
      <c r="L16" s="203" t="s">
        <v>143</v>
      </c>
      <c r="M16" s="203" t="s">
        <v>141</v>
      </c>
      <c r="N16" s="203" t="s">
        <v>142</v>
      </c>
    </row>
    <row r="17" spans="1:25" hidden="1" outlineLevel="1">
      <c r="A17" s="200"/>
      <c r="B17" s="204" t="s">
        <v>314</v>
      </c>
      <c r="C17" s="456"/>
      <c r="D17" s="456"/>
      <c r="E17" s="456"/>
      <c r="F17" s="456"/>
      <c r="G17" s="456"/>
      <c r="H17" s="456"/>
      <c r="I17" s="456"/>
      <c r="J17" s="456"/>
      <c r="K17" s="456"/>
      <c r="L17" s="456"/>
      <c r="M17" s="456"/>
      <c r="N17" s="456"/>
    </row>
    <row r="18" spans="1:25" ht="12" hidden="1" customHeight="1" outlineLevel="1">
      <c r="A18" s="200"/>
      <c r="B18" s="204">
        <f>'1. LDC Info'!F27-20</f>
        <v>2004</v>
      </c>
      <c r="C18" s="456"/>
      <c r="D18" s="456"/>
      <c r="E18" s="456"/>
      <c r="F18" s="456"/>
      <c r="G18" s="456"/>
      <c r="H18" s="456"/>
      <c r="I18" s="456"/>
      <c r="J18" s="456"/>
      <c r="K18" s="456"/>
      <c r="L18" s="456"/>
      <c r="M18" s="456"/>
      <c r="N18" s="456"/>
    </row>
    <row r="19" spans="1:25" ht="12" hidden="1" customHeight="1" outlineLevel="1">
      <c r="A19" s="200"/>
      <c r="B19" s="204">
        <f>'1. LDC Info'!F27-19</f>
        <v>2005</v>
      </c>
      <c r="C19" s="456"/>
      <c r="D19" s="456"/>
      <c r="E19" s="456"/>
      <c r="F19" s="456"/>
      <c r="G19" s="456"/>
      <c r="H19" s="456"/>
      <c r="I19" s="456"/>
      <c r="J19" s="456"/>
      <c r="K19" s="456"/>
      <c r="L19" s="456"/>
      <c r="M19" s="456"/>
      <c r="N19" s="456"/>
    </row>
    <row r="20" spans="1:25" ht="12" hidden="1" customHeight="1" outlineLevel="1">
      <c r="A20" s="200"/>
      <c r="B20" s="204">
        <f>'1. LDC Info'!F27-18</f>
        <v>2006</v>
      </c>
      <c r="C20" s="456"/>
      <c r="D20" s="456"/>
      <c r="E20" s="456"/>
      <c r="F20" s="456"/>
      <c r="G20" s="456"/>
      <c r="H20" s="456"/>
      <c r="I20" s="456"/>
      <c r="J20" s="456"/>
      <c r="K20" s="456"/>
      <c r="L20" s="456"/>
      <c r="M20" s="456"/>
      <c r="N20" s="456"/>
    </row>
    <row r="21" spans="1:25" ht="12" hidden="1" customHeight="1" outlineLevel="1">
      <c r="A21" s="200"/>
      <c r="B21" s="204">
        <f>'1. LDC Info'!F27-17</f>
        <v>2007</v>
      </c>
      <c r="C21" s="456"/>
      <c r="D21" s="456"/>
      <c r="E21" s="456"/>
      <c r="F21" s="456"/>
      <c r="G21" s="456"/>
      <c r="H21" s="456"/>
      <c r="I21" s="456"/>
      <c r="J21" s="456"/>
      <c r="K21" s="456"/>
      <c r="L21" s="456"/>
      <c r="M21" s="456"/>
      <c r="N21" s="456"/>
    </row>
    <row r="22" spans="1:25" ht="12" hidden="1" customHeight="1" outlineLevel="1">
      <c r="A22" s="200"/>
      <c r="B22" s="204">
        <f>'1. LDC Info'!F27-16</f>
        <v>2008</v>
      </c>
      <c r="C22" s="456"/>
      <c r="D22" s="456"/>
      <c r="E22" s="456"/>
      <c r="F22" s="456"/>
      <c r="G22" s="456"/>
      <c r="H22" s="456"/>
      <c r="I22" s="456"/>
      <c r="J22" s="456"/>
      <c r="K22" s="456"/>
      <c r="L22" s="456"/>
      <c r="M22" s="456"/>
      <c r="N22" s="456"/>
    </row>
    <row r="23" spans="1:25" ht="12" hidden="1" customHeight="1" outlineLevel="1">
      <c r="A23" s="200"/>
      <c r="B23" s="204">
        <f>'1. LDC Info'!F27-15</f>
        <v>2009</v>
      </c>
      <c r="C23" s="456"/>
      <c r="D23" s="456"/>
      <c r="E23" s="456"/>
      <c r="F23" s="456"/>
      <c r="G23" s="456"/>
      <c r="H23" s="456"/>
      <c r="I23" s="456"/>
      <c r="J23" s="456"/>
      <c r="K23" s="456"/>
      <c r="L23" s="456"/>
      <c r="M23" s="456"/>
      <c r="N23" s="456"/>
    </row>
    <row r="24" spans="1:25" ht="12" hidden="1" customHeight="1" outlineLevel="1">
      <c r="A24" s="200"/>
      <c r="B24" s="204">
        <f>'1. LDC Info'!F27-14</f>
        <v>2010</v>
      </c>
      <c r="C24" s="456"/>
      <c r="D24" s="456"/>
      <c r="E24" s="456"/>
      <c r="F24" s="456"/>
      <c r="G24" s="456"/>
      <c r="H24" s="456"/>
      <c r="I24" s="456"/>
      <c r="J24" s="456"/>
      <c r="K24" s="456"/>
      <c r="L24" s="456"/>
      <c r="M24" s="456"/>
      <c r="N24" s="456"/>
    </row>
    <row r="25" spans="1:25" ht="12" hidden="1" customHeight="1" outlineLevel="1">
      <c r="A25" s="200"/>
      <c r="B25" s="204">
        <f>'1. LDC Info'!F27-13</f>
        <v>2011</v>
      </c>
      <c r="C25" s="456"/>
      <c r="D25" s="456"/>
      <c r="E25" s="456"/>
      <c r="F25" s="456"/>
      <c r="G25" s="456"/>
      <c r="H25" s="456"/>
      <c r="I25" s="456"/>
      <c r="J25" s="456"/>
      <c r="K25" s="456"/>
      <c r="L25" s="456"/>
      <c r="M25" s="456"/>
      <c r="N25" s="456"/>
    </row>
    <row r="26" spans="1:25" ht="12" hidden="1" customHeight="1" outlineLevel="1">
      <c r="A26" s="200"/>
      <c r="B26" s="204">
        <f>'1. LDC Info'!F27-12</f>
        <v>2012</v>
      </c>
      <c r="C26" s="456"/>
      <c r="D26" s="456"/>
      <c r="E26" s="456"/>
      <c r="F26" s="456"/>
      <c r="G26" s="456"/>
      <c r="H26" s="456"/>
      <c r="I26" s="456"/>
      <c r="J26" s="456"/>
      <c r="K26" s="456"/>
      <c r="L26" s="456"/>
      <c r="M26" s="456"/>
      <c r="N26" s="456"/>
    </row>
    <row r="27" spans="1:25" collapsed="1">
      <c r="A27" s="200"/>
      <c r="B27" s="204">
        <f>'1. LDC Info'!F27-11</f>
        <v>2013</v>
      </c>
      <c r="C27" s="456">
        <v>839.9</v>
      </c>
      <c r="D27" s="456">
        <v>728.5</v>
      </c>
      <c r="E27" s="456">
        <v>579.6</v>
      </c>
      <c r="F27" s="456">
        <v>285.5</v>
      </c>
      <c r="G27" s="456">
        <v>105.7</v>
      </c>
      <c r="H27" s="456">
        <v>54.1</v>
      </c>
      <c r="I27" s="456">
        <v>7.7</v>
      </c>
      <c r="J27" s="456">
        <v>13.4</v>
      </c>
      <c r="K27" s="456">
        <v>133.19999999999999</v>
      </c>
      <c r="L27" s="456">
        <v>235.8</v>
      </c>
      <c r="M27" s="456">
        <v>560.79999999999995</v>
      </c>
      <c r="N27" s="456">
        <v>858.2</v>
      </c>
      <c r="Y27" s="176" t="str">
        <f>+$B$16</f>
        <v>HDD</v>
      </c>
    </row>
    <row r="28" spans="1:25">
      <c r="A28" s="200"/>
      <c r="B28" s="204">
        <f>'1. LDC Info'!F27-10</f>
        <v>2014</v>
      </c>
      <c r="C28" s="456">
        <v>918.3</v>
      </c>
      <c r="D28" s="456">
        <v>793.2</v>
      </c>
      <c r="E28" s="456">
        <v>783.6</v>
      </c>
      <c r="F28" s="456">
        <v>384.2</v>
      </c>
      <c r="G28" s="456">
        <v>127.3</v>
      </c>
      <c r="H28" s="456">
        <v>20.3</v>
      </c>
      <c r="I28" s="456">
        <v>8.8000000000000007</v>
      </c>
      <c r="J28" s="456">
        <v>21.4</v>
      </c>
      <c r="K28" s="456">
        <v>110.3</v>
      </c>
      <c r="L28" s="456">
        <v>257.89999999999998</v>
      </c>
      <c r="M28" s="456">
        <v>510.6</v>
      </c>
      <c r="N28" s="456">
        <v>696.4</v>
      </c>
      <c r="Y28" s="176" t="str">
        <f>+B39</f>
        <v>CDD</v>
      </c>
    </row>
    <row r="29" spans="1:25">
      <c r="A29" s="200"/>
      <c r="B29" s="204">
        <f>'1. LDC Info'!F27-9</f>
        <v>2015</v>
      </c>
      <c r="C29" s="456">
        <v>968.2</v>
      </c>
      <c r="D29" s="456">
        <v>957.8</v>
      </c>
      <c r="E29" s="456">
        <v>718.6</v>
      </c>
      <c r="F29" s="456">
        <v>352.6</v>
      </c>
      <c r="G29" s="456">
        <v>94.2</v>
      </c>
      <c r="H29" s="456">
        <v>45.2</v>
      </c>
      <c r="I29" s="456">
        <v>9.3000000000000007</v>
      </c>
      <c r="J29" s="456">
        <v>5.6</v>
      </c>
      <c r="K29" s="456">
        <v>48.4</v>
      </c>
      <c r="L29" s="456">
        <v>337.3</v>
      </c>
      <c r="M29" s="456">
        <v>429</v>
      </c>
      <c r="N29" s="456">
        <v>519.9</v>
      </c>
      <c r="Y29" s="176" t="str">
        <f>+B62</f>
        <v>Number of Days in Month</v>
      </c>
    </row>
    <row r="30" spans="1:25">
      <c r="A30" s="200"/>
      <c r="B30" s="204">
        <f>'1. LDC Info'!F27-8</f>
        <v>2016</v>
      </c>
      <c r="C30" s="456">
        <v>804.8</v>
      </c>
      <c r="D30" s="456">
        <v>756.3</v>
      </c>
      <c r="E30" s="456">
        <v>591.4</v>
      </c>
      <c r="F30" s="456">
        <v>433.8</v>
      </c>
      <c r="G30" s="456">
        <v>145.4</v>
      </c>
      <c r="H30" s="456">
        <v>36.299999999999997</v>
      </c>
      <c r="I30" s="456">
        <v>3.4</v>
      </c>
      <c r="J30" s="456">
        <v>1.4</v>
      </c>
      <c r="K30" s="456">
        <v>75.099999999999994</v>
      </c>
      <c r="L30" s="456">
        <v>291.10000000000002</v>
      </c>
      <c r="M30" s="456">
        <v>449.5</v>
      </c>
      <c r="N30" s="456">
        <v>733.4</v>
      </c>
      <c r="Y30" s="176" t="str">
        <f>+B76</f>
        <v>Daylight hours</v>
      </c>
    </row>
    <row r="31" spans="1:25">
      <c r="A31" s="200"/>
      <c r="B31" s="204">
        <f>'1. LDC Info'!F27-7</f>
        <v>2017</v>
      </c>
      <c r="C31" s="456">
        <v>732.5</v>
      </c>
      <c r="D31" s="456">
        <v>662.1</v>
      </c>
      <c r="E31" s="456">
        <v>731.7</v>
      </c>
      <c r="F31" s="456">
        <v>319.39999999999998</v>
      </c>
      <c r="G31" s="456">
        <v>190.4</v>
      </c>
      <c r="H31" s="456">
        <v>52.1</v>
      </c>
      <c r="I31" s="456">
        <v>4.8</v>
      </c>
      <c r="J31" s="456">
        <v>26.9</v>
      </c>
      <c r="K31" s="456">
        <v>69.8</v>
      </c>
      <c r="L31" s="456">
        <v>192.8</v>
      </c>
      <c r="M31" s="456">
        <v>524.5</v>
      </c>
      <c r="N31" s="456">
        <v>871.3</v>
      </c>
      <c r="Y31" s="176" t="str">
        <f>+B90</f>
        <v>Daylight hours</v>
      </c>
    </row>
    <row r="32" spans="1:25">
      <c r="A32" s="200"/>
      <c r="B32" s="204">
        <f>'1. LDC Info'!F27-6</f>
        <v>2018</v>
      </c>
      <c r="C32" s="456">
        <v>881.5</v>
      </c>
      <c r="D32" s="456">
        <v>644.6</v>
      </c>
      <c r="E32" s="456">
        <v>591</v>
      </c>
      <c r="F32" s="456">
        <v>454.4</v>
      </c>
      <c r="G32" s="456">
        <v>110.4</v>
      </c>
      <c r="H32" s="456">
        <v>39</v>
      </c>
      <c r="I32" s="456">
        <v>0</v>
      </c>
      <c r="J32" s="456">
        <v>3.6</v>
      </c>
      <c r="K32" s="456">
        <v>96.8</v>
      </c>
      <c r="L32" s="456">
        <v>359.1</v>
      </c>
      <c r="M32" s="456">
        <v>599.5</v>
      </c>
      <c r="N32" s="456">
        <v>766.6</v>
      </c>
    </row>
    <row r="33" spans="1:14">
      <c r="A33" s="200"/>
      <c r="B33" s="204">
        <f>'1. LDC Info'!F27-5</f>
        <v>2019</v>
      </c>
      <c r="C33" s="456">
        <v>934.9</v>
      </c>
      <c r="D33" s="456">
        <v>762.2</v>
      </c>
      <c r="E33" s="456">
        <v>666.1</v>
      </c>
      <c r="F33" s="456">
        <v>398.8</v>
      </c>
      <c r="G33" s="456">
        <v>213.2</v>
      </c>
      <c r="H33" s="456">
        <v>57.2</v>
      </c>
      <c r="I33" s="456">
        <v>0</v>
      </c>
      <c r="J33" s="456">
        <v>6.3</v>
      </c>
      <c r="K33" s="456">
        <v>104</v>
      </c>
      <c r="L33" s="456">
        <v>286.8</v>
      </c>
      <c r="M33" s="456">
        <v>590.6</v>
      </c>
      <c r="N33" s="456">
        <v>717.2</v>
      </c>
    </row>
    <row r="34" spans="1:14">
      <c r="A34" s="200"/>
      <c r="B34" s="204">
        <f>'1. LDC Info'!F27-4</f>
        <v>2020</v>
      </c>
      <c r="C34" s="456">
        <v>755.6</v>
      </c>
      <c r="D34" s="456">
        <v>725.9</v>
      </c>
      <c r="E34" s="456">
        <v>561.70000000000005</v>
      </c>
      <c r="F34" s="456">
        <v>391.1</v>
      </c>
      <c r="G34" s="456">
        <v>193.3</v>
      </c>
      <c r="H34" s="456">
        <v>44.7</v>
      </c>
      <c r="I34" s="456">
        <v>0</v>
      </c>
      <c r="J34" s="456">
        <v>25.5</v>
      </c>
      <c r="K34" s="456">
        <v>129</v>
      </c>
      <c r="L34" s="456">
        <v>327.39999999999998</v>
      </c>
      <c r="M34" s="456">
        <v>429.9</v>
      </c>
      <c r="N34" s="456">
        <v>647</v>
      </c>
    </row>
    <row r="35" spans="1:14">
      <c r="A35" s="200"/>
      <c r="B35" s="204">
        <f>'1. LDC Info'!F27-3</f>
        <v>2021</v>
      </c>
      <c r="C35" s="456">
        <v>755.2</v>
      </c>
      <c r="D35" s="456">
        <v>683.5</v>
      </c>
      <c r="E35" s="456">
        <v>577.29999999999995</v>
      </c>
      <c r="F35" s="456">
        <v>295.3</v>
      </c>
      <c r="G35" s="456">
        <v>173.9</v>
      </c>
      <c r="H35" s="456">
        <v>13.8</v>
      </c>
      <c r="I35" s="456">
        <v>16.100000000000001</v>
      </c>
      <c r="J35" s="456">
        <v>4.4000000000000004</v>
      </c>
      <c r="K35" s="456">
        <v>69.5</v>
      </c>
      <c r="L35" s="456">
        <v>196.1</v>
      </c>
      <c r="M35" s="456">
        <v>509.3</v>
      </c>
      <c r="N35" s="456">
        <v>692.7</v>
      </c>
    </row>
    <row r="36" spans="1:14">
      <c r="A36" s="200"/>
      <c r="B36" s="204">
        <f>'1. LDC Info'!F27-2</f>
        <v>2022</v>
      </c>
      <c r="C36" s="456">
        <v>1015.7</v>
      </c>
      <c r="D36" s="456">
        <v>722.8</v>
      </c>
      <c r="E36" s="456">
        <v>610.70000000000005</v>
      </c>
      <c r="F36" s="456">
        <v>363.6</v>
      </c>
      <c r="G36" s="456">
        <v>115.2</v>
      </c>
      <c r="H36" s="456">
        <v>30.9</v>
      </c>
      <c r="I36" s="456">
        <v>0.5</v>
      </c>
      <c r="J36" s="456">
        <v>5</v>
      </c>
      <c r="K36" s="456">
        <v>107.1</v>
      </c>
      <c r="L36" s="456">
        <v>278.8</v>
      </c>
      <c r="M36" s="456">
        <v>426.7</v>
      </c>
      <c r="N36" s="456">
        <v>650.20000000000005</v>
      </c>
    </row>
    <row r="37" spans="1:14">
      <c r="A37" s="200"/>
    </row>
    <row r="38" spans="1:14">
      <c r="A38" s="200"/>
      <c r="B38" s="205"/>
      <c r="C38" s="201"/>
      <c r="D38" s="201"/>
      <c r="E38" s="201"/>
      <c r="F38" s="201"/>
      <c r="G38" s="201"/>
      <c r="H38" s="201"/>
      <c r="I38" s="201"/>
      <c r="J38" s="201"/>
      <c r="K38" s="201"/>
      <c r="L38" s="201"/>
      <c r="M38" s="201"/>
      <c r="N38" s="201"/>
    </row>
    <row r="39" spans="1:14">
      <c r="A39" s="200"/>
      <c r="B39" s="199" t="s">
        <v>2</v>
      </c>
      <c r="C39" s="203" t="s">
        <v>133</v>
      </c>
      <c r="D39" s="203" t="s">
        <v>134</v>
      </c>
      <c r="E39" s="203" t="s">
        <v>135</v>
      </c>
      <c r="F39" s="203" t="s">
        <v>136</v>
      </c>
      <c r="G39" s="203" t="s">
        <v>113</v>
      </c>
      <c r="H39" s="203" t="s">
        <v>137</v>
      </c>
      <c r="I39" s="203" t="s">
        <v>138</v>
      </c>
      <c r="J39" s="203" t="s">
        <v>139</v>
      </c>
      <c r="K39" s="203" t="s">
        <v>140</v>
      </c>
      <c r="L39" s="203" t="s">
        <v>143</v>
      </c>
      <c r="M39" s="203" t="s">
        <v>141</v>
      </c>
      <c r="N39" s="203" t="s">
        <v>142</v>
      </c>
    </row>
    <row r="40" spans="1:14" hidden="1" outlineLevel="1">
      <c r="A40" s="200"/>
      <c r="B40" s="206" t="str">
        <f t="shared" ref="B40:B59" si="0">B17</f>
        <v>2001</v>
      </c>
      <c r="C40" s="455"/>
      <c r="D40" s="455"/>
      <c r="E40" s="455"/>
      <c r="F40" s="455"/>
      <c r="G40" s="455"/>
      <c r="H40" s="455"/>
      <c r="I40" s="455"/>
      <c r="J40" s="455"/>
      <c r="K40" s="455"/>
      <c r="L40" s="455"/>
      <c r="M40" s="455"/>
      <c r="N40" s="455"/>
    </row>
    <row r="41" spans="1:14" hidden="1" outlineLevel="1">
      <c r="A41" s="200"/>
      <c r="B41" s="206">
        <f t="shared" si="0"/>
        <v>2004</v>
      </c>
      <c r="C41" s="455"/>
      <c r="D41" s="455"/>
      <c r="E41" s="455"/>
      <c r="F41" s="455"/>
      <c r="G41" s="455"/>
      <c r="H41" s="455"/>
      <c r="I41" s="455"/>
      <c r="J41" s="455"/>
      <c r="K41" s="455"/>
      <c r="L41" s="455"/>
      <c r="M41" s="455"/>
      <c r="N41" s="455"/>
    </row>
    <row r="42" spans="1:14" hidden="1" outlineLevel="1">
      <c r="A42" s="200"/>
      <c r="B42" s="206">
        <f t="shared" si="0"/>
        <v>2005</v>
      </c>
      <c r="C42" s="455"/>
      <c r="D42" s="455"/>
      <c r="E42" s="455"/>
      <c r="F42" s="455"/>
      <c r="G42" s="455"/>
      <c r="H42" s="455"/>
      <c r="I42" s="455"/>
      <c r="J42" s="455"/>
      <c r="K42" s="455"/>
      <c r="L42" s="455"/>
      <c r="M42" s="455"/>
      <c r="N42" s="455"/>
    </row>
    <row r="43" spans="1:14" hidden="1" outlineLevel="1">
      <c r="A43" s="200"/>
      <c r="B43" s="206">
        <f t="shared" si="0"/>
        <v>2006</v>
      </c>
      <c r="C43" s="455"/>
      <c r="D43" s="455"/>
      <c r="E43" s="455"/>
      <c r="F43" s="455"/>
      <c r="G43" s="455"/>
      <c r="H43" s="455"/>
      <c r="I43" s="455"/>
      <c r="J43" s="455"/>
      <c r="K43" s="455"/>
      <c r="L43" s="455"/>
      <c r="M43" s="455"/>
      <c r="N43" s="455"/>
    </row>
    <row r="44" spans="1:14" hidden="1" outlineLevel="1">
      <c r="A44" s="200"/>
      <c r="B44" s="206">
        <f t="shared" si="0"/>
        <v>2007</v>
      </c>
      <c r="C44" s="455"/>
      <c r="D44" s="455"/>
      <c r="E44" s="455"/>
      <c r="F44" s="455"/>
      <c r="G44" s="455"/>
      <c r="H44" s="455"/>
      <c r="I44" s="455"/>
      <c r="J44" s="455"/>
      <c r="K44" s="455"/>
      <c r="L44" s="455"/>
      <c r="M44" s="455"/>
      <c r="N44" s="455"/>
    </row>
    <row r="45" spans="1:14" hidden="1" outlineLevel="1">
      <c r="A45" s="200"/>
      <c r="B45" s="206">
        <f t="shared" si="0"/>
        <v>2008</v>
      </c>
      <c r="C45" s="455"/>
      <c r="D45" s="455"/>
      <c r="E45" s="455"/>
      <c r="F45" s="455"/>
      <c r="G45" s="455"/>
      <c r="H45" s="455"/>
      <c r="I45" s="455"/>
      <c r="J45" s="455"/>
      <c r="K45" s="455"/>
      <c r="L45" s="455"/>
      <c r="M45" s="455"/>
      <c r="N45" s="455"/>
    </row>
    <row r="46" spans="1:14" hidden="1" outlineLevel="1">
      <c r="A46" s="200"/>
      <c r="B46" s="206">
        <f t="shared" si="0"/>
        <v>2009</v>
      </c>
      <c r="C46" s="455"/>
      <c r="D46" s="455"/>
      <c r="E46" s="455"/>
      <c r="F46" s="455"/>
      <c r="G46" s="455"/>
      <c r="H46" s="455"/>
      <c r="I46" s="455"/>
      <c r="J46" s="455"/>
      <c r="K46" s="455"/>
      <c r="L46" s="455"/>
      <c r="M46" s="455"/>
      <c r="N46" s="455"/>
    </row>
    <row r="47" spans="1:14" hidden="1" outlineLevel="1">
      <c r="A47" s="200"/>
      <c r="B47" s="206">
        <f t="shared" si="0"/>
        <v>2010</v>
      </c>
      <c r="C47" s="455"/>
      <c r="D47" s="455"/>
      <c r="E47" s="455"/>
      <c r="F47" s="455"/>
      <c r="G47" s="455"/>
      <c r="H47" s="455"/>
      <c r="I47" s="455"/>
      <c r="J47" s="455"/>
      <c r="K47" s="455"/>
      <c r="L47" s="455"/>
      <c r="M47" s="455"/>
      <c r="N47" s="455"/>
    </row>
    <row r="48" spans="1:14" hidden="1" outlineLevel="1">
      <c r="A48" s="200"/>
      <c r="B48" s="206">
        <f t="shared" si="0"/>
        <v>2011</v>
      </c>
      <c r="C48" s="455"/>
      <c r="D48" s="455"/>
      <c r="E48" s="455"/>
      <c r="F48" s="455"/>
      <c r="G48" s="455"/>
      <c r="H48" s="455"/>
      <c r="I48" s="455"/>
      <c r="J48" s="455"/>
      <c r="K48" s="455"/>
      <c r="L48" s="455"/>
      <c r="M48" s="455"/>
      <c r="N48" s="455"/>
    </row>
    <row r="49" spans="1:14" hidden="1" outlineLevel="1">
      <c r="A49" s="200"/>
      <c r="B49" s="206">
        <f t="shared" si="0"/>
        <v>2012</v>
      </c>
      <c r="C49" s="455"/>
      <c r="D49" s="455"/>
      <c r="E49" s="455"/>
      <c r="F49" s="455"/>
      <c r="G49" s="455"/>
      <c r="H49" s="455"/>
      <c r="I49" s="455"/>
      <c r="J49" s="455"/>
      <c r="K49" s="455"/>
      <c r="L49" s="455"/>
      <c r="M49" s="455"/>
      <c r="N49" s="455"/>
    </row>
    <row r="50" spans="1:14" collapsed="1">
      <c r="A50" s="200"/>
      <c r="B50" s="206">
        <f t="shared" si="0"/>
        <v>2013</v>
      </c>
      <c r="C50" s="455">
        <v>0</v>
      </c>
      <c r="D50" s="455">
        <v>0</v>
      </c>
      <c r="E50" s="455">
        <v>0</v>
      </c>
      <c r="F50" s="455">
        <v>0</v>
      </c>
      <c r="G50" s="455">
        <v>15.3</v>
      </c>
      <c r="H50" s="455">
        <v>39.4</v>
      </c>
      <c r="I50" s="455">
        <v>111.1</v>
      </c>
      <c r="J50" s="455">
        <v>57.2</v>
      </c>
      <c r="K50" s="455">
        <v>10.1</v>
      </c>
      <c r="L50" s="455">
        <v>0.7</v>
      </c>
      <c r="M50" s="455">
        <v>0</v>
      </c>
      <c r="N50" s="455">
        <v>0</v>
      </c>
    </row>
    <row r="51" spans="1:14">
      <c r="A51" s="200"/>
      <c r="B51" s="206">
        <f t="shared" si="0"/>
        <v>2014</v>
      </c>
      <c r="C51" s="455">
        <v>0</v>
      </c>
      <c r="D51" s="455">
        <v>0</v>
      </c>
      <c r="E51" s="455">
        <v>0</v>
      </c>
      <c r="F51" s="455">
        <v>0</v>
      </c>
      <c r="G51" s="455">
        <v>8.8000000000000007</v>
      </c>
      <c r="H51" s="455">
        <v>54.9</v>
      </c>
      <c r="I51" s="455">
        <v>62.800000000000011</v>
      </c>
      <c r="J51" s="455">
        <v>55.800000000000004</v>
      </c>
      <c r="K51" s="455">
        <v>21.600000000000005</v>
      </c>
      <c r="L51" s="455">
        <v>3.1</v>
      </c>
      <c r="M51" s="455">
        <v>0</v>
      </c>
      <c r="N51" s="455">
        <v>0</v>
      </c>
    </row>
    <row r="52" spans="1:14">
      <c r="A52" s="200"/>
      <c r="B52" s="206">
        <f t="shared" si="0"/>
        <v>2015</v>
      </c>
      <c r="C52" s="455">
        <v>0</v>
      </c>
      <c r="D52" s="455">
        <v>0</v>
      </c>
      <c r="E52" s="455">
        <v>0</v>
      </c>
      <c r="F52" s="455">
        <v>0</v>
      </c>
      <c r="G52" s="455">
        <v>25.3</v>
      </c>
      <c r="H52" s="455">
        <v>20.3</v>
      </c>
      <c r="I52" s="455">
        <v>100</v>
      </c>
      <c r="J52" s="455">
        <v>67.400000000000006</v>
      </c>
      <c r="K52" s="455">
        <v>46.5</v>
      </c>
      <c r="L52" s="455">
        <v>0</v>
      </c>
      <c r="M52" s="455">
        <v>0</v>
      </c>
      <c r="N52" s="455">
        <v>0</v>
      </c>
    </row>
    <row r="53" spans="1:14">
      <c r="A53" s="200"/>
      <c r="B53" s="206">
        <f t="shared" si="0"/>
        <v>2016</v>
      </c>
      <c r="C53" s="455">
        <v>0</v>
      </c>
      <c r="D53" s="455">
        <v>0</v>
      </c>
      <c r="E53" s="455">
        <v>0</v>
      </c>
      <c r="F53" s="455">
        <v>0</v>
      </c>
      <c r="G53" s="455">
        <v>28.7</v>
      </c>
      <c r="H53" s="455">
        <v>52</v>
      </c>
      <c r="I53" s="455">
        <v>112.6</v>
      </c>
      <c r="J53" s="455">
        <v>124.6</v>
      </c>
      <c r="K53" s="455">
        <v>24.9</v>
      </c>
      <c r="L53" s="455">
        <v>0</v>
      </c>
      <c r="M53" s="455">
        <v>0</v>
      </c>
      <c r="N53" s="455">
        <v>0</v>
      </c>
    </row>
    <row r="54" spans="1:14">
      <c r="A54" s="200"/>
      <c r="B54" s="206">
        <f t="shared" si="0"/>
        <v>2017</v>
      </c>
      <c r="C54" s="455">
        <v>0</v>
      </c>
      <c r="D54" s="455">
        <v>0</v>
      </c>
      <c r="E54" s="455">
        <v>0</v>
      </c>
      <c r="F54" s="455">
        <v>1.2</v>
      </c>
      <c r="G54" s="455">
        <v>9.1</v>
      </c>
      <c r="H54" s="455">
        <v>45</v>
      </c>
      <c r="I54" s="455">
        <v>63.8</v>
      </c>
      <c r="J54" s="455">
        <v>51</v>
      </c>
      <c r="K54" s="455">
        <v>52</v>
      </c>
      <c r="L54" s="455">
        <v>0.4</v>
      </c>
      <c r="M54" s="455">
        <v>0</v>
      </c>
      <c r="N54" s="455">
        <v>0</v>
      </c>
    </row>
    <row r="55" spans="1:14">
      <c r="A55" s="200"/>
      <c r="B55" s="206">
        <f t="shared" si="0"/>
        <v>2018</v>
      </c>
      <c r="C55" s="455">
        <v>0</v>
      </c>
      <c r="D55" s="455">
        <v>0</v>
      </c>
      <c r="E55" s="455">
        <v>0</v>
      </c>
      <c r="F55" s="455">
        <v>0</v>
      </c>
      <c r="G55" s="455">
        <v>15.7</v>
      </c>
      <c r="H55" s="455">
        <v>36.200000000000003</v>
      </c>
      <c r="I55" s="455">
        <v>156.9</v>
      </c>
      <c r="J55" s="455">
        <v>115.4</v>
      </c>
      <c r="K55" s="455">
        <v>49.5</v>
      </c>
      <c r="L55" s="455">
        <v>0.7</v>
      </c>
      <c r="M55" s="455">
        <v>0</v>
      </c>
      <c r="N55" s="455">
        <v>0</v>
      </c>
    </row>
    <row r="56" spans="1:14">
      <c r="A56" s="200"/>
      <c r="B56" s="206">
        <f t="shared" si="0"/>
        <v>2019</v>
      </c>
      <c r="C56" s="455">
        <v>0</v>
      </c>
      <c r="D56" s="455">
        <v>0</v>
      </c>
      <c r="E56" s="455">
        <v>0</v>
      </c>
      <c r="F56" s="455">
        <v>0</v>
      </c>
      <c r="G56" s="455">
        <v>0</v>
      </c>
      <c r="H56" s="455">
        <v>32</v>
      </c>
      <c r="I56" s="455">
        <v>133.1</v>
      </c>
      <c r="J56" s="455">
        <v>54.8</v>
      </c>
      <c r="K56" s="455">
        <v>9.1</v>
      </c>
      <c r="L56" s="455">
        <v>0</v>
      </c>
      <c r="M56" s="455">
        <v>0</v>
      </c>
      <c r="N56" s="455">
        <v>0</v>
      </c>
    </row>
    <row r="57" spans="1:14">
      <c r="A57" s="200"/>
      <c r="B57" s="206">
        <f t="shared" si="0"/>
        <v>2020</v>
      </c>
      <c r="C57" s="456">
        <v>0</v>
      </c>
      <c r="D57" s="456">
        <v>0</v>
      </c>
      <c r="E57" s="456">
        <v>0</v>
      </c>
      <c r="F57" s="456">
        <v>0</v>
      </c>
      <c r="G57" s="456">
        <v>25.7</v>
      </c>
      <c r="H57" s="456">
        <v>70.400000000000006</v>
      </c>
      <c r="I57" s="456">
        <v>185.8</v>
      </c>
      <c r="J57" s="456">
        <v>70.400000000000006</v>
      </c>
      <c r="K57" s="456">
        <v>9</v>
      </c>
      <c r="L57" s="456">
        <v>0</v>
      </c>
      <c r="M57" s="456">
        <v>0</v>
      </c>
      <c r="N57" s="456">
        <v>0</v>
      </c>
    </row>
    <row r="58" spans="1:14">
      <c r="A58" s="200"/>
      <c r="B58" s="206">
        <f t="shared" si="0"/>
        <v>2021</v>
      </c>
      <c r="C58" s="455">
        <v>0</v>
      </c>
      <c r="D58" s="455">
        <v>0</v>
      </c>
      <c r="E58" s="455">
        <v>0</v>
      </c>
      <c r="F58" s="455">
        <v>0</v>
      </c>
      <c r="G58" s="455">
        <v>24.4</v>
      </c>
      <c r="H58" s="455">
        <v>89.8</v>
      </c>
      <c r="I58" s="455">
        <v>64.5</v>
      </c>
      <c r="J58" s="455">
        <v>136</v>
      </c>
      <c r="K58" s="455">
        <v>4.7</v>
      </c>
      <c r="L58" s="455">
        <v>0.7</v>
      </c>
      <c r="M58" s="455">
        <v>0</v>
      </c>
      <c r="N58" s="455">
        <v>0</v>
      </c>
    </row>
    <row r="59" spans="1:14">
      <c r="A59" s="200"/>
      <c r="B59" s="206">
        <f t="shared" si="0"/>
        <v>2022</v>
      </c>
      <c r="C59" s="455">
        <v>0</v>
      </c>
      <c r="D59" s="455">
        <v>0</v>
      </c>
      <c r="E59" s="455">
        <v>0</v>
      </c>
      <c r="F59" s="455">
        <v>0</v>
      </c>
      <c r="G59" s="455">
        <v>25.9</v>
      </c>
      <c r="H59" s="455">
        <v>28.7</v>
      </c>
      <c r="I59" s="455">
        <v>92.9</v>
      </c>
      <c r="J59" s="455">
        <v>84.2</v>
      </c>
      <c r="K59" s="455">
        <v>11.9</v>
      </c>
      <c r="L59" s="455">
        <v>0</v>
      </c>
      <c r="M59" s="455">
        <v>1.1000000000000001</v>
      </c>
      <c r="N59" s="455">
        <v>0</v>
      </c>
    </row>
    <row r="60" spans="1:14">
      <c r="A60" s="200"/>
      <c r="B60" s="201"/>
      <c r="C60" s="201"/>
      <c r="D60" s="201"/>
      <c r="E60" s="201"/>
      <c r="F60" s="201"/>
      <c r="G60" s="201"/>
      <c r="H60" s="201"/>
      <c r="I60" s="201"/>
      <c r="J60" s="201"/>
      <c r="K60" s="201"/>
      <c r="L60" s="201"/>
      <c r="M60" s="201"/>
      <c r="N60" s="201"/>
    </row>
    <row r="61" spans="1:14">
      <c r="A61" s="200"/>
      <c r="B61" s="201"/>
      <c r="C61" s="201"/>
      <c r="D61" s="201"/>
      <c r="E61" s="201"/>
      <c r="F61" s="201"/>
      <c r="G61" s="201"/>
      <c r="H61" s="201"/>
      <c r="I61" s="201"/>
      <c r="J61" s="201"/>
      <c r="K61" s="201"/>
      <c r="L61" s="201"/>
      <c r="M61" s="201"/>
      <c r="N61" s="201"/>
    </row>
    <row r="62" spans="1:14" ht="25.5">
      <c r="A62" s="200"/>
      <c r="B62" s="207" t="s">
        <v>236</v>
      </c>
      <c r="C62" s="201"/>
      <c r="D62" s="201"/>
      <c r="E62" s="201"/>
      <c r="F62" s="201"/>
      <c r="G62" s="201"/>
      <c r="H62" s="201"/>
      <c r="I62" s="201"/>
      <c r="J62" s="201"/>
      <c r="K62" s="201"/>
      <c r="L62" s="201"/>
      <c r="M62" s="201"/>
      <c r="N62" s="201"/>
    </row>
    <row r="63" spans="1:14">
      <c r="A63" s="200"/>
      <c r="B63" s="200"/>
      <c r="C63" s="203" t="s">
        <v>133</v>
      </c>
      <c r="D63" s="203" t="s">
        <v>134</v>
      </c>
      <c r="E63" s="203" t="s">
        <v>135</v>
      </c>
      <c r="F63" s="203" t="s">
        <v>136</v>
      </c>
      <c r="G63" s="203" t="s">
        <v>113</v>
      </c>
      <c r="H63" s="203" t="s">
        <v>137</v>
      </c>
      <c r="I63" s="203" t="s">
        <v>138</v>
      </c>
      <c r="J63" s="203" t="s">
        <v>139</v>
      </c>
      <c r="K63" s="203" t="s">
        <v>140</v>
      </c>
      <c r="L63" s="203" t="s">
        <v>143</v>
      </c>
      <c r="M63" s="203" t="s">
        <v>141</v>
      </c>
      <c r="N63" s="203" t="s">
        <v>142</v>
      </c>
    </row>
    <row r="64" spans="1:14">
      <c r="A64" s="200"/>
      <c r="B64" s="204">
        <f t="shared" ref="B64:B73" si="1">B50</f>
        <v>2013</v>
      </c>
      <c r="C64" s="454">
        <v>31</v>
      </c>
      <c r="D64" s="454">
        <v>28</v>
      </c>
      <c r="E64" s="454">
        <v>31</v>
      </c>
      <c r="F64" s="454">
        <v>30</v>
      </c>
      <c r="G64" s="454">
        <v>31</v>
      </c>
      <c r="H64" s="454">
        <v>30</v>
      </c>
      <c r="I64" s="454">
        <v>31</v>
      </c>
      <c r="J64" s="454">
        <v>31</v>
      </c>
      <c r="K64" s="454">
        <v>30</v>
      </c>
      <c r="L64" s="454">
        <v>31</v>
      </c>
      <c r="M64" s="454">
        <v>30</v>
      </c>
      <c r="N64" s="454">
        <v>31</v>
      </c>
    </row>
    <row r="65" spans="1:14">
      <c r="A65" s="200"/>
      <c r="B65" s="204">
        <f t="shared" si="1"/>
        <v>2014</v>
      </c>
      <c r="C65" s="454">
        <v>31</v>
      </c>
      <c r="D65" s="454">
        <v>28</v>
      </c>
      <c r="E65" s="454">
        <v>31</v>
      </c>
      <c r="F65" s="454">
        <v>30</v>
      </c>
      <c r="G65" s="454">
        <v>31</v>
      </c>
      <c r="H65" s="454">
        <v>30</v>
      </c>
      <c r="I65" s="454">
        <v>31</v>
      </c>
      <c r="J65" s="454">
        <v>31</v>
      </c>
      <c r="K65" s="454">
        <v>30</v>
      </c>
      <c r="L65" s="454">
        <v>31</v>
      </c>
      <c r="M65" s="454">
        <v>30</v>
      </c>
      <c r="N65" s="454">
        <v>31</v>
      </c>
    </row>
    <row r="66" spans="1:14">
      <c r="A66" s="200"/>
      <c r="B66" s="204">
        <f t="shared" si="1"/>
        <v>2015</v>
      </c>
      <c r="C66" s="454">
        <v>31</v>
      </c>
      <c r="D66" s="454">
        <v>28</v>
      </c>
      <c r="E66" s="454">
        <v>31</v>
      </c>
      <c r="F66" s="454">
        <v>30</v>
      </c>
      <c r="G66" s="454">
        <v>31</v>
      </c>
      <c r="H66" s="454">
        <v>30</v>
      </c>
      <c r="I66" s="454">
        <v>31</v>
      </c>
      <c r="J66" s="454">
        <v>31</v>
      </c>
      <c r="K66" s="454">
        <v>30</v>
      </c>
      <c r="L66" s="454">
        <v>31</v>
      </c>
      <c r="M66" s="454">
        <v>30</v>
      </c>
      <c r="N66" s="454">
        <v>31</v>
      </c>
    </row>
    <row r="67" spans="1:14">
      <c r="A67" s="200"/>
      <c r="B67" s="204">
        <f t="shared" si="1"/>
        <v>2016</v>
      </c>
      <c r="C67" s="454">
        <v>31</v>
      </c>
      <c r="D67" s="454">
        <v>29</v>
      </c>
      <c r="E67" s="454">
        <v>31</v>
      </c>
      <c r="F67" s="454">
        <v>30</v>
      </c>
      <c r="G67" s="454">
        <v>31</v>
      </c>
      <c r="H67" s="454">
        <v>30</v>
      </c>
      <c r="I67" s="454">
        <v>31</v>
      </c>
      <c r="J67" s="454">
        <v>31</v>
      </c>
      <c r="K67" s="454">
        <v>30</v>
      </c>
      <c r="L67" s="454">
        <v>31</v>
      </c>
      <c r="M67" s="454">
        <v>30</v>
      </c>
      <c r="N67" s="454">
        <v>31</v>
      </c>
    </row>
    <row r="68" spans="1:14">
      <c r="A68" s="200"/>
      <c r="B68" s="204">
        <f t="shared" si="1"/>
        <v>2017</v>
      </c>
      <c r="C68" s="454">
        <v>31</v>
      </c>
      <c r="D68" s="454">
        <v>28</v>
      </c>
      <c r="E68" s="454">
        <v>31</v>
      </c>
      <c r="F68" s="454">
        <v>30</v>
      </c>
      <c r="G68" s="454">
        <v>31</v>
      </c>
      <c r="H68" s="454">
        <v>30</v>
      </c>
      <c r="I68" s="454">
        <v>31</v>
      </c>
      <c r="J68" s="454">
        <v>31</v>
      </c>
      <c r="K68" s="454">
        <v>30</v>
      </c>
      <c r="L68" s="454">
        <v>31</v>
      </c>
      <c r="M68" s="454">
        <v>30</v>
      </c>
      <c r="N68" s="454">
        <v>31</v>
      </c>
    </row>
    <row r="69" spans="1:14">
      <c r="A69" s="200"/>
      <c r="B69" s="204">
        <f t="shared" si="1"/>
        <v>2018</v>
      </c>
      <c r="C69" s="454">
        <v>31</v>
      </c>
      <c r="D69" s="454">
        <v>28</v>
      </c>
      <c r="E69" s="454">
        <v>31</v>
      </c>
      <c r="F69" s="454">
        <v>30</v>
      </c>
      <c r="G69" s="454">
        <v>31</v>
      </c>
      <c r="H69" s="454">
        <v>30</v>
      </c>
      <c r="I69" s="454">
        <v>31</v>
      </c>
      <c r="J69" s="454">
        <v>31</v>
      </c>
      <c r="K69" s="454">
        <v>30</v>
      </c>
      <c r="L69" s="454">
        <v>31</v>
      </c>
      <c r="M69" s="454">
        <v>30</v>
      </c>
      <c r="N69" s="454">
        <v>31</v>
      </c>
    </row>
    <row r="70" spans="1:14">
      <c r="A70" s="200"/>
      <c r="B70" s="204">
        <f t="shared" si="1"/>
        <v>2019</v>
      </c>
      <c r="C70" s="454">
        <v>31</v>
      </c>
      <c r="D70" s="454">
        <v>28</v>
      </c>
      <c r="E70" s="454">
        <v>31</v>
      </c>
      <c r="F70" s="454">
        <v>30</v>
      </c>
      <c r="G70" s="454">
        <v>31</v>
      </c>
      <c r="H70" s="454">
        <v>30</v>
      </c>
      <c r="I70" s="454">
        <v>31</v>
      </c>
      <c r="J70" s="454">
        <v>31</v>
      </c>
      <c r="K70" s="454">
        <v>30</v>
      </c>
      <c r="L70" s="454">
        <v>31</v>
      </c>
      <c r="M70" s="454">
        <v>30</v>
      </c>
      <c r="N70" s="454">
        <v>31</v>
      </c>
    </row>
    <row r="71" spans="1:14">
      <c r="A71" s="200"/>
      <c r="B71" s="204">
        <f t="shared" si="1"/>
        <v>2020</v>
      </c>
      <c r="C71" s="454">
        <v>31</v>
      </c>
      <c r="D71" s="454">
        <v>29</v>
      </c>
      <c r="E71" s="454">
        <v>31</v>
      </c>
      <c r="F71" s="454">
        <v>30</v>
      </c>
      <c r="G71" s="454">
        <v>31</v>
      </c>
      <c r="H71" s="454">
        <v>30</v>
      </c>
      <c r="I71" s="454">
        <v>31</v>
      </c>
      <c r="J71" s="454">
        <v>31</v>
      </c>
      <c r="K71" s="454">
        <v>30</v>
      </c>
      <c r="L71" s="454">
        <v>31</v>
      </c>
      <c r="M71" s="454">
        <v>30</v>
      </c>
      <c r="N71" s="454">
        <v>31</v>
      </c>
    </row>
    <row r="72" spans="1:14">
      <c r="A72" s="200"/>
      <c r="B72" s="204">
        <f t="shared" si="1"/>
        <v>2021</v>
      </c>
      <c r="C72" s="454">
        <v>31</v>
      </c>
      <c r="D72" s="454">
        <v>28</v>
      </c>
      <c r="E72" s="454">
        <v>31</v>
      </c>
      <c r="F72" s="454">
        <v>30</v>
      </c>
      <c r="G72" s="454">
        <v>31</v>
      </c>
      <c r="H72" s="454">
        <v>30</v>
      </c>
      <c r="I72" s="454">
        <v>31</v>
      </c>
      <c r="J72" s="454">
        <v>31</v>
      </c>
      <c r="K72" s="454">
        <v>30</v>
      </c>
      <c r="L72" s="454">
        <v>31</v>
      </c>
      <c r="M72" s="454">
        <v>30</v>
      </c>
      <c r="N72" s="454">
        <v>31</v>
      </c>
    </row>
    <row r="73" spans="1:14">
      <c r="A73" s="200"/>
      <c r="B73" s="204">
        <f t="shared" si="1"/>
        <v>2022</v>
      </c>
      <c r="C73" s="454">
        <v>31</v>
      </c>
      <c r="D73" s="454">
        <v>28</v>
      </c>
      <c r="E73" s="454">
        <v>31</v>
      </c>
      <c r="F73" s="454">
        <v>30</v>
      </c>
      <c r="G73" s="454">
        <v>31</v>
      </c>
      <c r="H73" s="454">
        <v>30</v>
      </c>
      <c r="I73" s="454">
        <v>31</v>
      </c>
      <c r="J73" s="454">
        <v>31</v>
      </c>
      <c r="K73" s="454">
        <v>30</v>
      </c>
      <c r="L73" s="454">
        <v>31</v>
      </c>
      <c r="M73" s="454">
        <v>30</v>
      </c>
      <c r="N73" s="454">
        <v>31</v>
      </c>
    </row>
    <row r="74" spans="1:14">
      <c r="A74" s="200"/>
      <c r="B74" s="201"/>
      <c r="C74" s="201"/>
      <c r="D74" s="201"/>
      <c r="E74" s="201"/>
      <c r="F74" s="201"/>
      <c r="G74" s="201"/>
      <c r="H74" s="201"/>
      <c r="I74" s="201"/>
      <c r="J74" s="201"/>
      <c r="K74" s="201"/>
      <c r="L74" s="201"/>
      <c r="M74" s="201"/>
      <c r="N74" s="201"/>
    </row>
    <row r="75" spans="1:14">
      <c r="A75" s="200"/>
      <c r="B75" s="201"/>
      <c r="C75" s="201"/>
      <c r="D75" s="201"/>
      <c r="E75" s="201"/>
      <c r="F75" s="201"/>
      <c r="G75" s="201"/>
      <c r="H75" s="201"/>
      <c r="I75" s="201"/>
      <c r="J75" s="201"/>
      <c r="K75" s="201"/>
      <c r="L75" s="201"/>
      <c r="M75" s="201"/>
      <c r="N75" s="201"/>
    </row>
    <row r="76" spans="1:14">
      <c r="A76" s="200"/>
      <c r="B76" s="207" t="s">
        <v>328</v>
      </c>
      <c r="C76" s="201"/>
      <c r="D76" s="201"/>
      <c r="E76" s="201"/>
      <c r="F76" s="201"/>
      <c r="G76" s="201"/>
      <c r="H76" s="201"/>
      <c r="I76" s="201"/>
      <c r="J76" s="201"/>
      <c r="K76" s="201"/>
      <c r="L76" s="201"/>
      <c r="M76" s="201"/>
      <c r="N76" s="201"/>
    </row>
    <row r="77" spans="1:14">
      <c r="A77" s="200"/>
      <c r="B77" s="200"/>
      <c r="C77" s="203" t="s">
        <v>133</v>
      </c>
      <c r="D77" s="203" t="s">
        <v>134</v>
      </c>
      <c r="E77" s="203" t="s">
        <v>135</v>
      </c>
      <c r="F77" s="203" t="s">
        <v>136</v>
      </c>
      <c r="G77" s="203" t="s">
        <v>113</v>
      </c>
      <c r="H77" s="203" t="s">
        <v>137</v>
      </c>
      <c r="I77" s="203" t="s">
        <v>138</v>
      </c>
      <c r="J77" s="203" t="s">
        <v>139</v>
      </c>
      <c r="K77" s="203" t="s">
        <v>140</v>
      </c>
      <c r="L77" s="203" t="s">
        <v>143</v>
      </c>
      <c r="M77" s="203" t="s">
        <v>141</v>
      </c>
      <c r="N77" s="203" t="s">
        <v>142</v>
      </c>
    </row>
    <row r="78" spans="1:14">
      <c r="A78" s="200"/>
      <c r="B78" s="204">
        <f t="shared" ref="B78:B86" si="2">B64</f>
        <v>2013</v>
      </c>
      <c r="C78" s="245">
        <v>9.09</v>
      </c>
      <c r="D78" s="245">
        <v>10.19</v>
      </c>
      <c r="E78" s="245">
        <v>11.51</v>
      </c>
      <c r="F78" s="245">
        <v>13.28</v>
      </c>
      <c r="G78" s="245">
        <v>14.52</v>
      </c>
      <c r="H78" s="245">
        <v>15.35</v>
      </c>
      <c r="I78" s="245">
        <v>15.15</v>
      </c>
      <c r="J78" s="245">
        <v>14.03</v>
      </c>
      <c r="K78" s="245">
        <v>12.29</v>
      </c>
      <c r="L78" s="245">
        <v>10.51</v>
      </c>
      <c r="M78" s="245">
        <v>9.2799999999999994</v>
      </c>
      <c r="N78" s="245">
        <v>8.4700000000000006</v>
      </c>
    </row>
    <row r="79" spans="1:14">
      <c r="A79" s="200"/>
      <c r="B79" s="204">
        <f t="shared" si="2"/>
        <v>2014</v>
      </c>
      <c r="C79" s="245">
        <v>9.09</v>
      </c>
      <c r="D79" s="245">
        <v>10.19</v>
      </c>
      <c r="E79" s="245">
        <v>11.51</v>
      </c>
      <c r="F79" s="245">
        <v>13.28</v>
      </c>
      <c r="G79" s="245">
        <v>14.52</v>
      </c>
      <c r="H79" s="245">
        <v>15.35</v>
      </c>
      <c r="I79" s="245">
        <v>15.15</v>
      </c>
      <c r="J79" s="245">
        <v>14.03</v>
      </c>
      <c r="K79" s="245">
        <v>12.29</v>
      </c>
      <c r="L79" s="245">
        <v>10.51</v>
      </c>
      <c r="M79" s="245">
        <v>9.2799999999999994</v>
      </c>
      <c r="N79" s="245">
        <v>8.4700000000000006</v>
      </c>
    </row>
    <row r="80" spans="1:14">
      <c r="A80" s="200"/>
      <c r="B80" s="204">
        <f t="shared" si="2"/>
        <v>2015</v>
      </c>
      <c r="C80" s="245">
        <v>9.09</v>
      </c>
      <c r="D80" s="245">
        <v>10.19</v>
      </c>
      <c r="E80" s="245">
        <v>11.51</v>
      </c>
      <c r="F80" s="245">
        <v>13.28</v>
      </c>
      <c r="G80" s="245">
        <v>14.52</v>
      </c>
      <c r="H80" s="245">
        <v>15.35</v>
      </c>
      <c r="I80" s="245">
        <v>15.15</v>
      </c>
      <c r="J80" s="245">
        <v>14.03</v>
      </c>
      <c r="K80" s="245">
        <v>12.29</v>
      </c>
      <c r="L80" s="245">
        <v>10.51</v>
      </c>
      <c r="M80" s="245">
        <v>9.2799999999999994</v>
      </c>
      <c r="N80" s="245">
        <v>8.4700000000000006</v>
      </c>
    </row>
    <row r="81" spans="1:15">
      <c r="A81" s="200"/>
      <c r="B81" s="204">
        <f t="shared" si="2"/>
        <v>2016</v>
      </c>
      <c r="C81" s="245">
        <v>9.09</v>
      </c>
      <c r="D81" s="245">
        <v>10.19</v>
      </c>
      <c r="E81" s="245">
        <v>11.51</v>
      </c>
      <c r="F81" s="245">
        <v>13.28</v>
      </c>
      <c r="G81" s="245">
        <v>14.52</v>
      </c>
      <c r="H81" s="245">
        <v>15.35</v>
      </c>
      <c r="I81" s="245">
        <v>15.15</v>
      </c>
      <c r="J81" s="245">
        <v>14.03</v>
      </c>
      <c r="K81" s="245">
        <v>12.29</v>
      </c>
      <c r="L81" s="245">
        <v>10.51</v>
      </c>
      <c r="M81" s="245">
        <v>9.2799999999999994</v>
      </c>
      <c r="N81" s="245">
        <v>8.4700000000000006</v>
      </c>
    </row>
    <row r="82" spans="1:15">
      <c r="A82" s="200"/>
      <c r="B82" s="204">
        <f t="shared" si="2"/>
        <v>2017</v>
      </c>
      <c r="C82" s="245">
        <v>9.09</v>
      </c>
      <c r="D82" s="245">
        <v>10.19</v>
      </c>
      <c r="E82" s="245">
        <v>11.51</v>
      </c>
      <c r="F82" s="245">
        <v>13.28</v>
      </c>
      <c r="G82" s="245">
        <v>14.52</v>
      </c>
      <c r="H82" s="245">
        <v>15.35</v>
      </c>
      <c r="I82" s="245">
        <v>15.15</v>
      </c>
      <c r="J82" s="245">
        <v>14.03</v>
      </c>
      <c r="K82" s="245">
        <v>12.29</v>
      </c>
      <c r="L82" s="245">
        <v>10.51</v>
      </c>
      <c r="M82" s="245">
        <v>9.2799999999999994</v>
      </c>
      <c r="N82" s="245">
        <v>8.4700000000000006</v>
      </c>
    </row>
    <row r="83" spans="1:15">
      <c r="A83" s="200"/>
      <c r="B83" s="204">
        <f t="shared" si="2"/>
        <v>2018</v>
      </c>
      <c r="C83" s="245">
        <v>9.09</v>
      </c>
      <c r="D83" s="245">
        <v>10.19</v>
      </c>
      <c r="E83" s="245">
        <v>11.51</v>
      </c>
      <c r="F83" s="245">
        <v>13.28</v>
      </c>
      <c r="G83" s="245">
        <v>14.52</v>
      </c>
      <c r="H83" s="245">
        <v>15.35</v>
      </c>
      <c r="I83" s="245">
        <v>15.15</v>
      </c>
      <c r="J83" s="245">
        <v>14.03</v>
      </c>
      <c r="K83" s="245">
        <v>12.29</v>
      </c>
      <c r="L83" s="245">
        <v>10.51</v>
      </c>
      <c r="M83" s="245">
        <v>9.2799999999999994</v>
      </c>
      <c r="N83" s="245">
        <v>8.4700000000000006</v>
      </c>
    </row>
    <row r="84" spans="1:15">
      <c r="A84" s="200"/>
      <c r="B84" s="204">
        <f t="shared" si="2"/>
        <v>2019</v>
      </c>
      <c r="C84" s="245">
        <v>9.09</v>
      </c>
      <c r="D84" s="245">
        <v>10.19</v>
      </c>
      <c r="E84" s="245">
        <v>11.51</v>
      </c>
      <c r="F84" s="245">
        <v>13.28</v>
      </c>
      <c r="G84" s="245">
        <v>14.52</v>
      </c>
      <c r="H84" s="245">
        <v>15.35</v>
      </c>
      <c r="I84" s="245">
        <v>15.15</v>
      </c>
      <c r="J84" s="245">
        <v>14.03</v>
      </c>
      <c r="K84" s="245">
        <v>12.29</v>
      </c>
      <c r="L84" s="245">
        <v>10.51</v>
      </c>
      <c r="M84" s="245">
        <v>9.2799999999999994</v>
      </c>
      <c r="N84" s="245">
        <v>8.4700000000000006</v>
      </c>
    </row>
    <row r="85" spans="1:15">
      <c r="A85" s="200"/>
      <c r="B85" s="204">
        <f t="shared" si="2"/>
        <v>2020</v>
      </c>
      <c r="C85" s="245">
        <v>9.09</v>
      </c>
      <c r="D85" s="245">
        <v>10.19</v>
      </c>
      <c r="E85" s="245">
        <v>11.51</v>
      </c>
      <c r="F85" s="245">
        <v>13.28</v>
      </c>
      <c r="G85" s="245">
        <v>14.52</v>
      </c>
      <c r="H85" s="245">
        <v>15.35</v>
      </c>
      <c r="I85" s="245">
        <v>15.15</v>
      </c>
      <c r="J85" s="245">
        <v>14.03</v>
      </c>
      <c r="K85" s="245">
        <v>12.29</v>
      </c>
      <c r="L85" s="245">
        <v>10.51</v>
      </c>
      <c r="M85" s="245">
        <v>9.2799999999999994</v>
      </c>
      <c r="N85" s="245">
        <v>8.4700000000000006</v>
      </c>
    </row>
    <row r="86" spans="1:15">
      <c r="A86" s="200"/>
      <c r="B86" s="204">
        <f t="shared" si="2"/>
        <v>2021</v>
      </c>
      <c r="C86" s="245">
        <v>9.09</v>
      </c>
      <c r="D86" s="245">
        <v>10.19</v>
      </c>
      <c r="E86" s="245">
        <v>11.51</v>
      </c>
      <c r="F86" s="245">
        <v>13.28</v>
      </c>
      <c r="G86" s="245">
        <v>14.52</v>
      </c>
      <c r="H86" s="245">
        <v>15.35</v>
      </c>
      <c r="I86" s="245">
        <v>15.15</v>
      </c>
      <c r="J86" s="245">
        <v>14.03</v>
      </c>
      <c r="K86" s="245">
        <v>12.29</v>
      </c>
      <c r="L86" s="245">
        <v>10.51</v>
      </c>
      <c r="M86" s="245">
        <v>9.2799999999999994</v>
      </c>
      <c r="N86" s="245">
        <v>8.4700000000000006</v>
      </c>
    </row>
    <row r="87" spans="1:15">
      <c r="A87" s="200"/>
      <c r="B87" s="204">
        <f>B73</f>
        <v>2022</v>
      </c>
      <c r="C87" s="245">
        <v>9.09</v>
      </c>
      <c r="D87" s="245">
        <v>10.19</v>
      </c>
      <c r="E87" s="245">
        <v>11.51</v>
      </c>
      <c r="F87" s="245">
        <v>13.28</v>
      </c>
      <c r="G87" s="245">
        <v>14.52</v>
      </c>
      <c r="H87" s="245">
        <v>15.35</v>
      </c>
      <c r="I87" s="245">
        <v>15.15</v>
      </c>
      <c r="J87" s="245">
        <v>14.03</v>
      </c>
      <c r="K87" s="245">
        <v>12.29</v>
      </c>
      <c r="L87" s="245">
        <v>10.51</v>
      </c>
      <c r="M87" s="245">
        <v>9.2799999999999994</v>
      </c>
      <c r="N87" s="245">
        <v>8.4700000000000006</v>
      </c>
      <c r="O87" s="168"/>
    </row>
    <row r="88" spans="1:15">
      <c r="A88" s="200"/>
      <c r="B88" s="201"/>
      <c r="C88" s="201"/>
      <c r="D88" s="201"/>
      <c r="E88" s="201"/>
      <c r="F88" s="201"/>
      <c r="G88" s="201"/>
      <c r="H88" s="201"/>
      <c r="I88" s="201"/>
      <c r="J88" s="201"/>
      <c r="K88" s="201"/>
      <c r="L88" s="201"/>
      <c r="M88" s="201"/>
      <c r="N88" s="201"/>
    </row>
    <row r="89" spans="1:15">
      <c r="A89" s="200"/>
      <c r="B89" s="201"/>
      <c r="C89" s="201"/>
      <c r="D89" s="201"/>
      <c r="E89" s="201"/>
      <c r="F89" s="201"/>
      <c r="G89" s="201"/>
      <c r="H89" s="201"/>
      <c r="I89" s="201"/>
      <c r="J89" s="201"/>
      <c r="K89" s="201"/>
      <c r="L89" s="201"/>
      <c r="M89" s="201"/>
      <c r="N89" s="201"/>
    </row>
    <row r="90" spans="1:15" hidden="1" outlineLevel="1">
      <c r="A90" s="200"/>
      <c r="B90" s="207" t="s">
        <v>328</v>
      </c>
      <c r="C90" s="201"/>
      <c r="D90" s="201"/>
      <c r="E90" s="201"/>
      <c r="F90" s="201"/>
      <c r="G90" s="201"/>
      <c r="H90" s="201"/>
      <c r="I90" s="201"/>
      <c r="J90" s="201"/>
      <c r="K90" s="201"/>
      <c r="L90" s="201"/>
      <c r="M90" s="201"/>
      <c r="N90" s="201"/>
    </row>
    <row r="91" spans="1:15" hidden="1" outlineLevel="1">
      <c r="A91" s="200"/>
      <c r="B91" s="200"/>
      <c r="C91" s="203" t="s">
        <v>133</v>
      </c>
      <c r="D91" s="203" t="s">
        <v>134</v>
      </c>
      <c r="E91" s="203" t="s">
        <v>135</v>
      </c>
      <c r="F91" s="203" t="s">
        <v>136</v>
      </c>
      <c r="G91" s="203" t="s">
        <v>113</v>
      </c>
      <c r="H91" s="203" t="s">
        <v>137</v>
      </c>
      <c r="I91" s="203" t="s">
        <v>138</v>
      </c>
      <c r="J91" s="203" t="s">
        <v>139</v>
      </c>
      <c r="K91" s="203" t="s">
        <v>140</v>
      </c>
      <c r="L91" s="203" t="s">
        <v>143</v>
      </c>
      <c r="M91" s="203" t="s">
        <v>141</v>
      </c>
      <c r="N91" s="203" t="s">
        <v>142</v>
      </c>
    </row>
    <row r="92" spans="1:15" hidden="1" outlineLevel="1">
      <c r="A92" s="200"/>
      <c r="B92" s="204">
        <f t="shared" ref="B92:B100" si="3">B78</f>
        <v>2013</v>
      </c>
      <c r="C92" s="37"/>
      <c r="D92" s="37"/>
      <c r="E92" s="37"/>
      <c r="F92" s="37"/>
      <c r="G92" s="37"/>
      <c r="H92" s="37"/>
      <c r="I92" s="37"/>
      <c r="J92" s="37"/>
      <c r="K92" s="37"/>
      <c r="L92" s="37"/>
      <c r="M92" s="37"/>
      <c r="N92" s="37"/>
    </row>
    <row r="93" spans="1:15" hidden="1" outlineLevel="1">
      <c r="A93" s="200"/>
      <c r="B93" s="204">
        <f t="shared" si="3"/>
        <v>2014</v>
      </c>
      <c r="C93" s="37"/>
      <c r="D93" s="37"/>
      <c r="E93" s="37"/>
      <c r="F93" s="37"/>
      <c r="G93" s="37"/>
      <c r="H93" s="37"/>
      <c r="I93" s="37"/>
      <c r="J93" s="37"/>
      <c r="K93" s="37"/>
      <c r="L93" s="37"/>
      <c r="M93" s="37"/>
      <c r="N93" s="37"/>
    </row>
    <row r="94" spans="1:15" hidden="1" outlineLevel="1">
      <c r="A94" s="200"/>
      <c r="B94" s="204">
        <f t="shared" si="3"/>
        <v>2015</v>
      </c>
      <c r="C94" s="37"/>
      <c r="D94" s="37"/>
      <c r="E94" s="37"/>
      <c r="F94" s="37"/>
      <c r="G94" s="37"/>
      <c r="H94" s="37"/>
      <c r="I94" s="37"/>
      <c r="J94" s="37"/>
      <c r="K94" s="37"/>
      <c r="L94" s="37"/>
      <c r="M94" s="37"/>
      <c r="N94" s="37"/>
    </row>
    <row r="95" spans="1:15" hidden="1" outlineLevel="1">
      <c r="A95" s="200"/>
      <c r="B95" s="204">
        <f t="shared" si="3"/>
        <v>2016</v>
      </c>
      <c r="C95" s="37"/>
      <c r="D95" s="37"/>
      <c r="E95" s="37"/>
      <c r="F95" s="37"/>
      <c r="G95" s="37"/>
      <c r="H95" s="37"/>
      <c r="I95" s="37"/>
      <c r="J95" s="37"/>
      <c r="K95" s="37"/>
      <c r="L95" s="37"/>
      <c r="M95" s="37"/>
      <c r="N95" s="37"/>
    </row>
    <row r="96" spans="1:15" hidden="1" outlineLevel="1">
      <c r="A96" s="200"/>
      <c r="B96" s="204">
        <f t="shared" si="3"/>
        <v>2017</v>
      </c>
      <c r="C96" s="37"/>
      <c r="D96" s="37"/>
      <c r="E96" s="37"/>
      <c r="F96" s="37"/>
      <c r="G96" s="37"/>
      <c r="H96" s="37"/>
      <c r="I96" s="37"/>
      <c r="J96" s="37"/>
      <c r="K96" s="37"/>
      <c r="L96" s="37"/>
      <c r="M96" s="37"/>
      <c r="N96" s="37"/>
    </row>
    <row r="97" spans="1:14" hidden="1" outlineLevel="1">
      <c r="A97" s="200"/>
      <c r="B97" s="204">
        <f t="shared" si="3"/>
        <v>2018</v>
      </c>
      <c r="C97" s="37"/>
      <c r="D97" s="37"/>
      <c r="E97" s="37"/>
      <c r="F97" s="37"/>
      <c r="G97" s="37"/>
      <c r="H97" s="37"/>
      <c r="I97" s="37"/>
      <c r="J97" s="37"/>
      <c r="K97" s="37"/>
      <c r="L97" s="37"/>
      <c r="M97" s="37"/>
      <c r="N97" s="37"/>
    </row>
    <row r="98" spans="1:14" hidden="1" outlineLevel="1">
      <c r="A98" s="200"/>
      <c r="B98" s="204">
        <f t="shared" si="3"/>
        <v>2019</v>
      </c>
      <c r="C98" s="37"/>
      <c r="D98" s="37"/>
      <c r="E98" s="37"/>
      <c r="F98" s="37"/>
      <c r="G98" s="37"/>
      <c r="H98" s="37"/>
      <c r="I98" s="37"/>
      <c r="J98" s="37"/>
      <c r="K98" s="37"/>
      <c r="L98" s="37"/>
      <c r="M98" s="37"/>
      <c r="N98" s="37"/>
    </row>
    <row r="99" spans="1:14" hidden="1" outlineLevel="1">
      <c r="A99" s="200"/>
      <c r="B99" s="204">
        <f t="shared" si="3"/>
        <v>2020</v>
      </c>
      <c r="C99" s="37"/>
      <c r="D99" s="37"/>
      <c r="E99" s="37"/>
      <c r="F99" s="37"/>
      <c r="G99" s="37"/>
      <c r="H99" s="37"/>
      <c r="I99" s="37"/>
      <c r="J99" s="37"/>
      <c r="K99" s="37"/>
      <c r="L99" s="37"/>
      <c r="M99" s="37"/>
      <c r="N99" s="37"/>
    </row>
    <row r="100" spans="1:14" hidden="1" outlineLevel="1">
      <c r="A100" s="200"/>
      <c r="B100" s="204">
        <f t="shared" si="3"/>
        <v>2021</v>
      </c>
      <c r="C100" s="37"/>
      <c r="D100" s="37"/>
      <c r="E100" s="37"/>
      <c r="F100" s="37"/>
      <c r="G100" s="37"/>
      <c r="H100" s="37"/>
      <c r="I100" s="37"/>
      <c r="J100" s="37"/>
      <c r="K100" s="37"/>
      <c r="L100" s="37"/>
      <c r="M100" s="37"/>
      <c r="N100" s="37"/>
    </row>
    <row r="101" spans="1:14" hidden="1" outlineLevel="1">
      <c r="A101" s="200"/>
      <c r="B101" s="204">
        <f>B87</f>
        <v>2022</v>
      </c>
      <c r="C101" s="37"/>
      <c r="D101" s="37"/>
      <c r="E101" s="37"/>
      <c r="F101" s="37"/>
      <c r="G101" s="37"/>
      <c r="H101" s="37"/>
      <c r="I101" s="37"/>
      <c r="J101" s="37"/>
      <c r="K101" s="37"/>
      <c r="L101" s="37"/>
      <c r="M101" s="37"/>
      <c r="N101" s="37"/>
    </row>
    <row r="102" spans="1:14" hidden="1" outlineLevel="1">
      <c r="A102" s="200"/>
      <c r="B102" s="201"/>
      <c r="C102" s="201"/>
      <c r="D102" s="201"/>
      <c r="E102" s="201"/>
      <c r="F102" s="201"/>
      <c r="G102" s="201"/>
      <c r="H102" s="201"/>
      <c r="I102" s="201"/>
      <c r="J102" s="201"/>
      <c r="K102" s="201"/>
      <c r="L102" s="201"/>
      <c r="M102" s="201"/>
      <c r="N102" s="201"/>
    </row>
    <row r="103" spans="1:14" hidden="1" outlineLevel="1">
      <c r="A103" s="200"/>
      <c r="B103" s="201"/>
      <c r="C103" s="201"/>
      <c r="D103" s="201"/>
      <c r="E103" s="201"/>
      <c r="F103" s="201"/>
      <c r="G103" s="201"/>
      <c r="H103" s="201"/>
      <c r="I103" s="201"/>
      <c r="J103" s="201"/>
      <c r="K103" s="201"/>
      <c r="L103" s="201"/>
      <c r="M103" s="201"/>
      <c r="N103" s="201"/>
    </row>
    <row r="104" spans="1:14" hidden="1" outlineLevel="1">
      <c r="A104" s="200"/>
      <c r="B104" s="207"/>
      <c r="C104" s="201"/>
      <c r="D104" s="201"/>
      <c r="E104" s="201"/>
      <c r="F104" s="201"/>
      <c r="G104" s="201"/>
      <c r="H104" s="201"/>
      <c r="I104" s="201"/>
      <c r="J104" s="201"/>
      <c r="K104" s="201"/>
      <c r="L104" s="201"/>
      <c r="M104" s="201"/>
      <c r="N104" s="201"/>
    </row>
    <row r="105" spans="1:14" hidden="1" outlineLevel="1">
      <c r="A105" s="200"/>
      <c r="B105" s="200"/>
      <c r="C105" s="203" t="s">
        <v>133</v>
      </c>
      <c r="D105" s="203" t="s">
        <v>134</v>
      </c>
      <c r="E105" s="203" t="s">
        <v>135</v>
      </c>
      <c r="F105" s="203" t="s">
        <v>136</v>
      </c>
      <c r="G105" s="203" t="s">
        <v>113</v>
      </c>
      <c r="H105" s="203" t="s">
        <v>137</v>
      </c>
      <c r="I105" s="203" t="s">
        <v>138</v>
      </c>
      <c r="J105" s="203" t="s">
        <v>139</v>
      </c>
      <c r="K105" s="203" t="s">
        <v>140</v>
      </c>
      <c r="L105" s="203" t="s">
        <v>143</v>
      </c>
      <c r="M105" s="203" t="s">
        <v>141</v>
      </c>
      <c r="N105" s="203" t="s">
        <v>142</v>
      </c>
    </row>
    <row r="106" spans="1:14" hidden="1" outlineLevel="1">
      <c r="A106" s="200"/>
      <c r="B106" s="204">
        <f t="shared" ref="B106:B114" si="4">B92</f>
        <v>2013</v>
      </c>
      <c r="C106" s="583"/>
      <c r="D106" s="583"/>
      <c r="E106" s="583"/>
      <c r="F106" s="583"/>
      <c r="G106" s="583"/>
      <c r="H106" s="583"/>
      <c r="I106" s="583"/>
      <c r="J106" s="583"/>
      <c r="K106" s="583"/>
      <c r="L106" s="583"/>
      <c r="M106" s="583"/>
      <c r="N106" s="583"/>
    </row>
    <row r="107" spans="1:14" hidden="1" outlineLevel="1">
      <c r="A107" s="200"/>
      <c r="B107" s="204">
        <f t="shared" si="4"/>
        <v>2014</v>
      </c>
      <c r="C107" s="583"/>
      <c r="D107" s="583"/>
      <c r="E107" s="583"/>
      <c r="F107" s="583"/>
      <c r="G107" s="583"/>
      <c r="H107" s="583"/>
      <c r="I107" s="583"/>
      <c r="J107" s="583"/>
      <c r="K107" s="583"/>
      <c r="L107" s="583"/>
      <c r="M107" s="583"/>
      <c r="N107" s="583"/>
    </row>
    <row r="108" spans="1:14" hidden="1" outlineLevel="1">
      <c r="A108" s="200"/>
      <c r="B108" s="204">
        <f t="shared" si="4"/>
        <v>2015</v>
      </c>
      <c r="C108" s="583"/>
      <c r="D108" s="583"/>
      <c r="E108" s="583"/>
      <c r="F108" s="583"/>
      <c r="G108" s="583"/>
      <c r="H108" s="583"/>
      <c r="I108" s="583"/>
      <c r="J108" s="583"/>
      <c r="K108" s="583"/>
      <c r="L108" s="583"/>
      <c r="M108" s="583"/>
      <c r="N108" s="583"/>
    </row>
    <row r="109" spans="1:14" hidden="1" outlineLevel="1">
      <c r="A109" s="200"/>
      <c r="B109" s="204">
        <f t="shared" si="4"/>
        <v>2016</v>
      </c>
      <c r="C109" s="583"/>
      <c r="D109" s="583"/>
      <c r="E109" s="583"/>
      <c r="F109" s="583"/>
      <c r="G109" s="583"/>
      <c r="H109" s="583"/>
      <c r="I109" s="583"/>
      <c r="J109" s="583"/>
      <c r="K109" s="583"/>
      <c r="L109" s="583"/>
      <c r="M109" s="583"/>
      <c r="N109" s="583"/>
    </row>
    <row r="110" spans="1:14" hidden="1" outlineLevel="1">
      <c r="A110" s="200"/>
      <c r="B110" s="204">
        <f t="shared" si="4"/>
        <v>2017</v>
      </c>
      <c r="C110" s="583"/>
      <c r="D110" s="583"/>
      <c r="E110" s="583"/>
      <c r="F110" s="583"/>
      <c r="G110" s="583"/>
      <c r="H110" s="583"/>
      <c r="I110" s="583"/>
      <c r="J110" s="583"/>
      <c r="K110" s="583"/>
      <c r="L110" s="583"/>
      <c r="M110" s="583"/>
      <c r="N110" s="583"/>
    </row>
    <row r="111" spans="1:14" hidden="1" outlineLevel="1">
      <c r="A111" s="200"/>
      <c r="B111" s="204">
        <f t="shared" si="4"/>
        <v>2018</v>
      </c>
      <c r="C111" s="583"/>
      <c r="D111" s="583"/>
      <c r="E111" s="583"/>
      <c r="F111" s="583"/>
      <c r="G111" s="583"/>
      <c r="H111" s="583"/>
      <c r="I111" s="583"/>
      <c r="J111" s="583"/>
      <c r="K111" s="583"/>
      <c r="L111" s="583"/>
      <c r="M111" s="583"/>
      <c r="N111" s="583"/>
    </row>
    <row r="112" spans="1:14" hidden="1" outlineLevel="1">
      <c r="A112" s="200"/>
      <c r="B112" s="204">
        <f t="shared" si="4"/>
        <v>2019</v>
      </c>
      <c r="C112" s="583"/>
      <c r="D112" s="583"/>
      <c r="E112" s="583"/>
      <c r="F112" s="583"/>
      <c r="G112" s="583"/>
      <c r="H112" s="583"/>
      <c r="I112" s="583"/>
      <c r="J112" s="583"/>
      <c r="K112" s="583"/>
      <c r="L112" s="583"/>
      <c r="M112" s="583"/>
      <c r="N112" s="583"/>
    </row>
    <row r="113" spans="1:15" hidden="1" outlineLevel="1">
      <c r="A113" s="200"/>
      <c r="B113" s="204">
        <f t="shared" si="4"/>
        <v>2020</v>
      </c>
      <c r="C113" s="583"/>
      <c r="D113" s="583"/>
      <c r="E113" s="583"/>
      <c r="F113" s="583"/>
      <c r="G113" s="583"/>
      <c r="H113" s="583"/>
      <c r="I113" s="583"/>
      <c r="J113" s="583"/>
      <c r="K113" s="583"/>
      <c r="L113" s="583"/>
      <c r="M113" s="583"/>
      <c r="N113" s="583"/>
    </row>
    <row r="114" spans="1:15" hidden="1" outlineLevel="1">
      <c r="A114" s="200"/>
      <c r="B114" s="204">
        <f t="shared" si="4"/>
        <v>2021</v>
      </c>
      <c r="C114" s="583"/>
      <c r="D114" s="583"/>
      <c r="E114" s="583"/>
      <c r="F114" s="583"/>
      <c r="G114" s="583"/>
      <c r="H114" s="583"/>
      <c r="I114" s="583"/>
      <c r="J114" s="583"/>
      <c r="K114" s="583"/>
      <c r="L114" s="583"/>
      <c r="M114" s="583"/>
      <c r="N114" s="583"/>
    </row>
    <row r="115" spans="1:15" hidden="1" outlineLevel="1">
      <c r="A115" s="200"/>
      <c r="B115" s="204">
        <f>B101</f>
        <v>2022</v>
      </c>
      <c r="C115" s="583"/>
      <c r="D115" s="583"/>
      <c r="E115" s="583"/>
      <c r="F115" s="583"/>
      <c r="G115" s="583"/>
      <c r="H115" s="583"/>
      <c r="I115" s="583"/>
      <c r="J115" s="583"/>
      <c r="K115" s="583"/>
      <c r="L115" s="583"/>
      <c r="M115" s="583"/>
      <c r="N115" s="583"/>
      <c r="O115" s="168"/>
    </row>
    <row r="116" spans="1:15" collapsed="1">
      <c r="A116" s="200"/>
      <c r="B116" s="201"/>
      <c r="C116" s="201"/>
      <c r="D116" s="201"/>
      <c r="E116" s="201"/>
      <c r="F116" s="201"/>
      <c r="G116" s="201"/>
      <c r="H116" s="201"/>
      <c r="I116" s="201"/>
      <c r="J116" s="201"/>
      <c r="K116" s="201"/>
      <c r="L116" s="201"/>
      <c r="M116" s="201"/>
      <c r="N116" s="201"/>
    </row>
    <row r="117" spans="1:15">
      <c r="A117" s="200"/>
      <c r="B117" s="201"/>
      <c r="C117" s="201"/>
      <c r="D117" s="201"/>
      <c r="E117" s="201"/>
      <c r="F117" s="201"/>
      <c r="G117" s="201"/>
      <c r="H117" s="201"/>
      <c r="I117" s="201"/>
      <c r="J117" s="201"/>
      <c r="K117" s="201"/>
      <c r="L117" s="201"/>
      <c r="M117" s="201"/>
      <c r="N117" s="201"/>
    </row>
    <row r="118" spans="1:15">
      <c r="A118" s="200"/>
      <c r="B118" s="208" t="s">
        <v>132</v>
      </c>
      <c r="C118" s="201"/>
      <c r="D118" s="201"/>
      <c r="E118" s="201"/>
      <c r="F118" s="201"/>
      <c r="G118" s="201"/>
      <c r="H118" s="201"/>
      <c r="I118" s="201"/>
      <c r="J118" s="201"/>
      <c r="K118" s="201"/>
      <c r="L118" s="201"/>
      <c r="M118" s="201"/>
      <c r="N118" s="201"/>
    </row>
    <row r="119" spans="1:15">
      <c r="A119" s="200"/>
      <c r="B119" s="209"/>
      <c r="C119" s="201"/>
      <c r="D119" s="201"/>
      <c r="E119" s="201"/>
      <c r="F119" s="201"/>
      <c r="G119" s="201"/>
      <c r="H119" s="201"/>
      <c r="I119" s="201"/>
      <c r="J119" s="201"/>
      <c r="K119" s="201"/>
      <c r="L119" s="201"/>
      <c r="M119" s="201"/>
      <c r="N119" s="201"/>
    </row>
    <row r="120" spans="1:15">
      <c r="A120" s="200"/>
      <c r="B120" s="210" t="str">
        <f>Variable1</f>
        <v>HDD</v>
      </c>
      <c r="C120" s="201"/>
      <c r="D120" s="201"/>
      <c r="E120" s="201"/>
      <c r="F120" s="201"/>
      <c r="G120" s="201"/>
      <c r="H120" s="201"/>
      <c r="I120" s="201"/>
      <c r="J120" s="201"/>
      <c r="K120" s="201"/>
      <c r="L120" s="201"/>
      <c r="M120" s="201"/>
      <c r="N120" s="201"/>
    </row>
    <row r="121" spans="1:15">
      <c r="A121" s="200"/>
      <c r="B121" s="210" t="str">
        <f>Variable2</f>
        <v>CDD</v>
      </c>
      <c r="C121" s="201"/>
      <c r="D121" s="201"/>
      <c r="E121" s="201"/>
      <c r="F121" s="201"/>
      <c r="G121" s="201"/>
      <c r="H121" s="201"/>
      <c r="I121" s="201"/>
      <c r="J121" s="201"/>
      <c r="K121" s="201"/>
      <c r="L121" s="201"/>
      <c r="M121" s="201"/>
      <c r="N121" s="201"/>
    </row>
    <row r="122" spans="1:15">
      <c r="A122" s="200"/>
      <c r="B122" s="210" t="str">
        <f>Variable3</f>
        <v>Number of Days in Month</v>
      </c>
      <c r="C122" s="201"/>
      <c r="D122" s="201"/>
      <c r="E122" s="201"/>
      <c r="F122" s="201"/>
      <c r="G122" s="201"/>
      <c r="H122" s="201"/>
      <c r="I122" s="201"/>
      <c r="J122" s="201"/>
      <c r="K122" s="201"/>
      <c r="L122" s="201"/>
      <c r="M122" s="201"/>
      <c r="N122" s="201"/>
    </row>
    <row r="123" spans="1:15">
      <c r="A123" s="200"/>
      <c r="B123" s="210" t="str">
        <f>B76</f>
        <v>Daylight hours</v>
      </c>
      <c r="C123" s="201"/>
      <c r="D123" s="201"/>
      <c r="E123" s="201"/>
      <c r="F123" s="201"/>
      <c r="G123" s="201"/>
      <c r="H123" s="201"/>
      <c r="I123" s="201"/>
      <c r="J123" s="201"/>
      <c r="K123" s="201"/>
      <c r="L123" s="201"/>
      <c r="M123" s="201"/>
      <c r="N123" s="201"/>
    </row>
    <row r="124" spans="1:15" hidden="1" outlineLevel="1">
      <c r="A124" s="200"/>
      <c r="B124" s="210" t="str">
        <f>Variable5</f>
        <v>Daylight hours</v>
      </c>
      <c r="C124" s="201"/>
      <c r="D124" s="201"/>
      <c r="E124" s="201"/>
      <c r="F124" s="201"/>
      <c r="G124" s="201"/>
      <c r="H124" s="201"/>
      <c r="I124" s="201"/>
      <c r="J124" s="201"/>
      <c r="K124" s="201"/>
      <c r="L124" s="201"/>
      <c r="M124" s="201"/>
      <c r="N124" s="201"/>
    </row>
    <row r="125" spans="1:15" hidden="1" outlineLevel="1">
      <c r="A125" s="200"/>
      <c r="B125" s="210">
        <f>Variable6</f>
        <v>0</v>
      </c>
      <c r="C125" s="201"/>
      <c r="D125" s="201"/>
      <c r="E125" s="201"/>
      <c r="F125" s="201"/>
      <c r="G125" s="201"/>
      <c r="H125" s="201"/>
      <c r="I125" s="201"/>
      <c r="J125" s="201"/>
      <c r="K125" s="201"/>
      <c r="L125" s="201"/>
      <c r="M125" s="201"/>
      <c r="N125" s="201"/>
    </row>
    <row r="126" spans="1:15" collapsed="1">
      <c r="A126" s="200"/>
      <c r="B126" s="201"/>
      <c r="C126" s="201"/>
      <c r="D126" s="201"/>
      <c r="E126" s="201"/>
      <c r="F126" s="201"/>
      <c r="G126" s="201"/>
      <c r="H126" s="201"/>
      <c r="I126" s="201"/>
      <c r="J126" s="201"/>
      <c r="K126" s="201"/>
      <c r="L126" s="201"/>
      <c r="M126" s="201"/>
      <c r="N126" s="201"/>
    </row>
    <row r="127" spans="1:15">
      <c r="A127" s="200"/>
      <c r="B127" s="201"/>
      <c r="C127" s="201"/>
      <c r="D127" s="201"/>
      <c r="E127" s="201"/>
      <c r="F127" s="201"/>
      <c r="G127" s="201"/>
      <c r="H127" s="201"/>
      <c r="I127" s="201"/>
      <c r="J127" s="201"/>
      <c r="K127" s="201"/>
      <c r="L127" s="201"/>
      <c r="M127" s="201"/>
      <c r="N127" s="201"/>
    </row>
    <row r="128" spans="1:15">
      <c r="A128" s="200"/>
      <c r="B128" s="201"/>
      <c r="C128" s="201"/>
      <c r="D128" s="201"/>
      <c r="E128" s="201"/>
      <c r="F128" s="201"/>
      <c r="G128" s="201"/>
      <c r="H128" s="201"/>
      <c r="I128" s="201"/>
      <c r="J128" s="201"/>
      <c r="K128" s="201"/>
      <c r="L128" s="201"/>
      <c r="M128" s="201"/>
      <c r="N128" s="201"/>
    </row>
    <row r="129" spans="1:14">
      <c r="A129" s="200"/>
      <c r="B129" s="201"/>
      <c r="C129" s="201"/>
      <c r="D129" s="201"/>
      <c r="E129" s="201"/>
      <c r="F129" s="201"/>
      <c r="G129" s="201"/>
      <c r="H129" s="201"/>
      <c r="I129" s="201"/>
      <c r="J129" s="201"/>
      <c r="K129" s="201"/>
      <c r="L129" s="201"/>
      <c r="M129" s="201"/>
      <c r="N129" s="201"/>
    </row>
    <row r="130" spans="1:14">
      <c r="A130" s="200"/>
      <c r="B130" s="201"/>
      <c r="C130" s="201"/>
      <c r="D130" s="201"/>
      <c r="E130" s="201"/>
      <c r="F130" s="201"/>
      <c r="G130" s="201"/>
      <c r="H130" s="201"/>
      <c r="I130" s="201"/>
      <c r="J130" s="201"/>
      <c r="K130" s="201"/>
      <c r="L130" s="201"/>
      <c r="M130" s="201"/>
      <c r="N130" s="201"/>
    </row>
    <row r="131" spans="1:14">
      <c r="A131" s="200"/>
      <c r="B131" s="201"/>
      <c r="C131" s="201"/>
      <c r="D131" s="201"/>
      <c r="E131" s="201"/>
      <c r="F131" s="201"/>
      <c r="G131" s="201"/>
      <c r="H131" s="201"/>
      <c r="I131" s="201"/>
      <c r="J131" s="201"/>
      <c r="K131" s="201"/>
      <c r="L131" s="201"/>
      <c r="M131" s="201"/>
      <c r="N131" s="201"/>
    </row>
    <row r="132" spans="1:14">
      <c r="A132" s="200"/>
      <c r="B132" s="201"/>
      <c r="C132" s="201"/>
      <c r="D132" s="201"/>
      <c r="E132" s="201"/>
      <c r="F132" s="201"/>
      <c r="G132" s="201"/>
      <c r="H132" s="201"/>
      <c r="I132" s="201"/>
      <c r="J132" s="201"/>
      <c r="K132" s="201"/>
      <c r="L132" s="201"/>
      <c r="M132" s="201"/>
      <c r="N132" s="201"/>
    </row>
  </sheetData>
  <pageMargins left="0.7" right="0.7" top="0.75" bottom="0.75" header="0.3" footer="0.3"/>
  <pageSetup scale="42" fitToWidth="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182"/>
  <sheetViews>
    <sheetView showGridLines="0" topLeftCell="H13" zoomScale="93" zoomScaleNormal="93" workbookViewId="0">
      <pane ySplit="6" topLeftCell="A40" activePane="bottomLeft" state="frozen"/>
      <selection activeCell="A13" sqref="A13"/>
      <selection pane="bottomLeft" activeCell="W70" sqref="W70"/>
    </sheetView>
  </sheetViews>
  <sheetFormatPr defaultRowHeight="12.75" outlineLevelCol="1"/>
  <cols>
    <col min="1" max="1" width="13.6640625" customWidth="1"/>
    <col min="2" max="2" width="25.33203125" style="23" customWidth="1"/>
    <col min="3" max="3" width="16.83203125" style="586" customWidth="1"/>
    <col min="4" max="4" width="16.83203125" style="648" customWidth="1"/>
    <col min="5" max="5" width="23.33203125" style="23" customWidth="1"/>
    <col min="6" max="9" width="16.83203125" style="23" customWidth="1"/>
    <col min="10" max="13" width="16.83203125" style="1" customWidth="1"/>
    <col min="14" max="15" width="16.83203125" style="1" hidden="1" customWidth="1" outlineLevel="1"/>
    <col min="16" max="16" width="4.1640625" style="1" customWidth="1" collapsed="1"/>
    <col min="17" max="17" width="20.33203125" style="23" bestFit="1" customWidth="1"/>
    <col min="18" max="18" width="21.6640625" style="1" bestFit="1" customWidth="1"/>
    <col min="19" max="19" width="10.1640625" style="1" customWidth="1"/>
    <col min="20" max="20" width="21.5" style="1" customWidth="1"/>
    <col min="21" max="21" width="33.6640625" style="1" bestFit="1" customWidth="1"/>
    <col min="22" max="23" width="21" style="1" bestFit="1" customWidth="1"/>
    <col min="24" max="24" width="17" style="1" bestFit="1" customWidth="1"/>
    <col min="25" max="25" width="26.6640625" style="1" bestFit="1" customWidth="1"/>
    <col min="26" max="26" width="17.33203125" style="1" customWidth="1"/>
    <col min="27" max="16384" width="9.33203125" style="1"/>
  </cols>
  <sheetData>
    <row r="1" spans="1:38">
      <c r="A1" s="626" t="s">
        <v>255</v>
      </c>
    </row>
    <row r="11" spans="1:38" ht="23.25">
      <c r="A11" s="213"/>
      <c r="B11" s="214" t="s">
        <v>96</v>
      </c>
      <c r="C11" s="587"/>
      <c r="D11" s="649"/>
      <c r="E11" s="201"/>
      <c r="F11" s="201"/>
      <c r="G11" s="201"/>
      <c r="H11" s="201"/>
      <c r="I11" s="201"/>
      <c r="J11" s="200"/>
      <c r="K11" s="200"/>
      <c r="L11" s="200"/>
      <c r="M11" s="200"/>
      <c r="N11" s="200"/>
      <c r="O11" s="200"/>
      <c r="P11" s="200"/>
      <c r="Q11" s="201"/>
      <c r="R11" s="200"/>
      <c r="S11" s="200"/>
      <c r="T11" s="200"/>
      <c r="U11" s="200"/>
      <c r="V11" s="200"/>
      <c r="W11" s="200"/>
      <c r="X11" s="200"/>
      <c r="Y11" s="200"/>
      <c r="Z11" s="200"/>
      <c r="AA11" s="200"/>
      <c r="AB11" s="200"/>
      <c r="AC11" s="200"/>
      <c r="AD11" s="200"/>
      <c r="AE11" s="200"/>
      <c r="AF11" s="200"/>
      <c r="AG11" s="200"/>
      <c r="AH11" s="200"/>
      <c r="AI11" s="200"/>
      <c r="AJ11" s="200"/>
      <c r="AK11" s="200"/>
      <c r="AL11" s="200"/>
    </row>
    <row r="12" spans="1:38" ht="15">
      <c r="A12" s="213"/>
      <c r="B12" s="45" t="s">
        <v>63</v>
      </c>
      <c r="C12" s="587"/>
      <c r="D12" s="649"/>
      <c r="E12" s="201"/>
      <c r="F12" s="201"/>
      <c r="G12" s="201"/>
      <c r="H12" s="201"/>
      <c r="I12" s="201"/>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row>
    <row r="13" spans="1:38" ht="14.25">
      <c r="A13" s="213"/>
      <c r="B13" s="85" t="s">
        <v>242</v>
      </c>
      <c r="C13" s="587"/>
      <c r="D13" s="649"/>
      <c r="E13" s="201"/>
      <c r="F13" s="201"/>
      <c r="G13" s="201"/>
      <c r="H13" s="201"/>
      <c r="I13" s="201"/>
      <c r="J13" s="200"/>
      <c r="K13" s="200"/>
      <c r="L13" s="200"/>
      <c r="M13" s="200"/>
      <c r="N13" s="200"/>
      <c r="O13" s="200"/>
      <c r="P13" s="200"/>
      <c r="Q13" s="201"/>
      <c r="R13" s="200"/>
      <c r="S13" s="200"/>
      <c r="T13" s="200"/>
      <c r="U13" s="200"/>
      <c r="V13" s="200"/>
      <c r="W13" s="200"/>
      <c r="X13" s="200"/>
      <c r="Y13" s="200"/>
      <c r="Z13" s="200"/>
      <c r="AA13" s="200"/>
      <c r="AB13" s="200"/>
      <c r="AC13" s="200"/>
      <c r="AD13" s="200"/>
      <c r="AE13" s="200"/>
      <c r="AF13" s="200"/>
      <c r="AG13" s="200"/>
      <c r="AH13" s="200"/>
      <c r="AI13" s="200"/>
      <c r="AJ13" s="200"/>
      <c r="AK13" s="200"/>
      <c r="AL13" s="200"/>
    </row>
    <row r="14" spans="1:38" ht="14.25">
      <c r="A14" s="213"/>
      <c r="B14" s="85" t="s">
        <v>243</v>
      </c>
      <c r="C14" s="587"/>
      <c r="D14" s="649"/>
      <c r="E14" s="201"/>
      <c r="F14" s="201"/>
      <c r="G14" s="201"/>
      <c r="H14" s="201"/>
      <c r="I14" s="201"/>
      <c r="J14" s="200"/>
      <c r="K14" s="200"/>
      <c r="L14" s="200"/>
      <c r="M14" s="200"/>
      <c r="N14" s="200"/>
      <c r="O14" s="200"/>
      <c r="P14" s="200"/>
      <c r="Q14" s="201"/>
      <c r="R14" s="200"/>
      <c r="S14" s="200"/>
      <c r="T14" s="200"/>
      <c r="U14" s="200"/>
      <c r="V14" s="200"/>
      <c r="W14" s="200"/>
      <c r="X14" s="200"/>
      <c r="Y14" s="200"/>
      <c r="Z14" s="200"/>
      <c r="AA14" s="200"/>
      <c r="AB14" s="200"/>
      <c r="AC14" s="200"/>
      <c r="AD14" s="200"/>
      <c r="AE14" s="200"/>
      <c r="AF14" s="200"/>
      <c r="AG14" s="200"/>
      <c r="AH14" s="200"/>
      <c r="AI14" s="200"/>
      <c r="AJ14" s="200"/>
      <c r="AK14" s="200"/>
      <c r="AL14" s="200"/>
    </row>
    <row r="15" spans="1:38" ht="15" customHeight="1">
      <c r="A15" s="213"/>
      <c r="B15" s="85" t="s">
        <v>244</v>
      </c>
      <c r="C15" s="588"/>
      <c r="D15" s="652"/>
      <c r="E15" s="214"/>
      <c r="F15" s="214"/>
      <c r="G15" s="214"/>
      <c r="H15" s="214"/>
      <c r="I15" s="201"/>
      <c r="J15" s="200"/>
      <c r="K15" s="200"/>
      <c r="L15" s="200"/>
      <c r="M15" s="200"/>
      <c r="N15" s="200"/>
      <c r="O15" s="200"/>
      <c r="P15" s="200"/>
      <c r="Q15" s="201"/>
      <c r="R15" s="200"/>
      <c r="S15" s="200"/>
      <c r="T15" s="200"/>
      <c r="U15" s="200"/>
      <c r="V15" s="200"/>
      <c r="W15" s="200"/>
      <c r="X15" s="200"/>
      <c r="Y15" s="200"/>
      <c r="Z15" s="200"/>
      <c r="AA15" s="200"/>
      <c r="AB15" s="200"/>
      <c r="AC15" s="200"/>
      <c r="AD15" s="200"/>
      <c r="AE15" s="200"/>
      <c r="AF15" s="200"/>
      <c r="AG15" s="200"/>
      <c r="AH15" s="200"/>
      <c r="AI15" s="200"/>
      <c r="AJ15" s="200"/>
      <c r="AK15" s="200"/>
      <c r="AL15" s="200"/>
    </row>
    <row r="16" spans="1:38" ht="13.5" customHeight="1">
      <c r="A16" s="213"/>
      <c r="C16" s="588"/>
      <c r="D16" s="652"/>
      <c r="E16" s="214"/>
      <c r="F16" s="214"/>
      <c r="G16" s="214"/>
      <c r="H16" s="214"/>
      <c r="I16" s="201"/>
      <c r="J16" s="200"/>
      <c r="K16" s="200"/>
      <c r="L16" s="200"/>
      <c r="M16" s="200"/>
      <c r="N16" s="200"/>
      <c r="O16" s="200"/>
      <c r="P16" s="200"/>
      <c r="Q16" s="201"/>
      <c r="R16" s="200"/>
      <c r="S16" s="200"/>
      <c r="T16" s="200"/>
      <c r="U16" s="200"/>
      <c r="V16" s="200"/>
      <c r="W16" s="200"/>
      <c r="X16" s="200"/>
      <c r="Y16" s="200"/>
      <c r="Z16" s="200"/>
      <c r="AA16" s="200"/>
      <c r="AB16" s="200"/>
      <c r="AC16" s="200"/>
      <c r="AD16" s="200"/>
      <c r="AE16" s="200"/>
      <c r="AF16" s="200"/>
      <c r="AG16" s="200"/>
      <c r="AH16" s="200"/>
      <c r="AI16" s="200"/>
      <c r="AJ16" s="200"/>
      <c r="AK16" s="200"/>
      <c r="AL16" s="200"/>
    </row>
    <row r="17" spans="1:38" s="143" customFormat="1">
      <c r="A17" s="470"/>
      <c r="B17" s="474"/>
      <c r="C17" s="589"/>
      <c r="D17" s="971"/>
      <c r="E17" s="971"/>
      <c r="F17" s="971"/>
      <c r="G17" s="971"/>
      <c r="H17" s="971"/>
      <c r="I17" s="474"/>
      <c r="J17" s="974" t="s">
        <v>121</v>
      </c>
      <c r="K17" s="975"/>
      <c r="L17" s="975"/>
      <c r="M17" s="975"/>
      <c r="N17" s="975"/>
      <c r="O17" s="975"/>
      <c r="P17" s="223"/>
      <c r="Q17" s="474"/>
      <c r="R17" s="223"/>
      <c r="S17" s="223"/>
      <c r="T17" s="223"/>
      <c r="U17" s="223"/>
      <c r="V17" s="223"/>
      <c r="W17" s="223"/>
      <c r="X17" s="223"/>
      <c r="Y17" s="223"/>
      <c r="Z17" s="223"/>
      <c r="AA17" s="223"/>
      <c r="AB17" s="223"/>
      <c r="AC17" s="223"/>
      <c r="AD17" s="223"/>
      <c r="AE17" s="223"/>
      <c r="AF17" s="223"/>
      <c r="AG17" s="223"/>
      <c r="AH17" s="223"/>
      <c r="AI17" s="223"/>
      <c r="AJ17" s="223"/>
      <c r="AK17" s="223"/>
      <c r="AL17" s="223"/>
    </row>
    <row r="18" spans="1:38" s="658" customFormat="1" ht="75" customHeight="1">
      <c r="A18" s="655"/>
      <c r="B18" s="471"/>
      <c r="C18" s="590" t="s">
        <v>119</v>
      </c>
      <c r="D18" s="472" t="s">
        <v>330</v>
      </c>
      <c r="E18" s="472" t="s">
        <v>331</v>
      </c>
      <c r="F18" s="472" t="s">
        <v>332</v>
      </c>
      <c r="G18" s="473" t="s">
        <v>238</v>
      </c>
      <c r="H18" s="473" t="s">
        <v>238</v>
      </c>
      <c r="I18" s="199" t="s">
        <v>120</v>
      </c>
      <c r="J18" s="642" t="s">
        <v>1</v>
      </c>
      <c r="K18" s="642" t="s">
        <v>2</v>
      </c>
      <c r="L18" s="642" t="s">
        <v>236</v>
      </c>
      <c r="M18" s="642" t="s">
        <v>329</v>
      </c>
      <c r="N18" s="642" t="s">
        <v>269</v>
      </c>
      <c r="O18" s="927" t="s">
        <v>318</v>
      </c>
      <c r="P18" s="656"/>
      <c r="Q18" s="199" t="s">
        <v>144</v>
      </c>
      <c r="R18" s="199" t="s">
        <v>32</v>
      </c>
      <c r="S18" s="474"/>
      <c r="T18" s="657" t="s">
        <v>154</v>
      </c>
      <c r="U18" s="657"/>
      <c r="V18" s="657"/>
      <c r="W18" s="657"/>
      <c r="X18" s="657"/>
      <c r="Y18" s="657"/>
      <c r="Z18" s="657"/>
      <c r="AA18" s="657"/>
      <c r="AB18" s="657"/>
      <c r="AC18" s="474"/>
      <c r="AD18" s="474"/>
      <c r="AE18" s="474"/>
      <c r="AF18" s="474"/>
      <c r="AG18" s="474"/>
      <c r="AH18" s="474"/>
      <c r="AI18" s="474"/>
      <c r="AJ18" s="474"/>
      <c r="AK18" s="474"/>
      <c r="AL18" s="474"/>
    </row>
    <row r="19" spans="1:38" s="118" customFormat="1" ht="23.25" thickBot="1">
      <c r="A19" s="659"/>
      <c r="B19" s="660"/>
      <c r="C19" s="661"/>
      <c r="D19" s="650"/>
      <c r="E19" s="650"/>
      <c r="F19" s="468"/>
      <c r="G19" s="648"/>
      <c r="H19" s="617" t="s">
        <v>163</v>
      </c>
      <c r="I19" s="585"/>
      <c r="J19" s="662" t="s">
        <v>165</v>
      </c>
      <c r="K19" s="662" t="s">
        <v>165</v>
      </c>
      <c r="L19" s="662" t="s">
        <v>165</v>
      </c>
      <c r="M19" s="662" t="s">
        <v>165</v>
      </c>
      <c r="N19" s="662" t="s">
        <v>165</v>
      </c>
      <c r="O19" s="662" t="s">
        <v>165</v>
      </c>
      <c r="P19" s="972"/>
      <c r="Q19" s="972"/>
      <c r="R19" s="972"/>
      <c r="S19" s="651"/>
      <c r="T19" s="606"/>
      <c r="U19" s="606"/>
      <c r="V19" s="606"/>
      <c r="W19" s="606"/>
      <c r="X19" s="606"/>
      <c r="Y19" s="606"/>
      <c r="Z19" s="606"/>
      <c r="AA19" s="606"/>
      <c r="AB19" s="606"/>
      <c r="AC19" s="651"/>
      <c r="AD19" s="651"/>
      <c r="AE19" s="651"/>
      <c r="AF19" s="651"/>
      <c r="AG19" s="651"/>
      <c r="AH19" s="651"/>
      <c r="AI19" s="651"/>
      <c r="AJ19" s="651"/>
      <c r="AK19" s="651"/>
      <c r="AL19" s="651"/>
    </row>
    <row r="20" spans="1:38">
      <c r="A20" s="435">
        <v>1</v>
      </c>
      <c r="B20" s="877" t="str">
        <f>CONCATENATE('3. Consumption by Rate Class'!B25,"-",'3. Consumption by Rate Class'!C25)</f>
        <v>2013-January</v>
      </c>
      <c r="C20" s="883">
        <v>9101600</v>
      </c>
      <c r="D20" s="932">
        <v>-30771</v>
      </c>
      <c r="E20" s="469">
        <v>-66933</v>
      </c>
      <c r="F20" s="469">
        <v>-77502.42</v>
      </c>
      <c r="G20" s="873"/>
      <c r="H20" s="873"/>
      <c r="I20" s="469">
        <f>C20-D20+E20+F20</f>
        <v>8987935.5800000001</v>
      </c>
      <c r="J20" s="599">
        <f>IF(J$18='5.Variables'!$B$16,+'5.Variables'!$C27,+IF(J$18='5.Variables'!$B$39,+'5.Variables'!$C50,+IF(J$18='5.Variables'!$B$62,+'5.Variables'!$C64,+IF(J$18='5.Variables'!$B$76,+'5.Variables'!$C78,+IF(J$18='5.Variables'!$B$90,+'5.Variables'!$C92,+IF(J$18='5.Variables'!$B$104,+'5.Variables'!$C106,0))))))</f>
        <v>839.9</v>
      </c>
      <c r="K20" s="599">
        <f>IF(K$18='5.Variables'!$B$16,+'5.Variables'!$C27,+IF(K$18='5.Variables'!$B$39,+'5.Variables'!$C50,+IF(K$18='5.Variables'!$B$62,+'5.Variables'!$C64,+IF(K$18='5.Variables'!$B$76,+'5.Variables'!$C78,+IF(K$18='5.Variables'!$B$90,+'5.Variables'!$C92,+IF(K$18='5.Variables'!$B$104,+'5.Variables'!$C106,0))))))</f>
        <v>0</v>
      </c>
      <c r="L20" s="599">
        <f>IF(L$18='5.Variables'!$B$16,+'5.Variables'!$C26,+IF(L$18='5.Variables'!$B$39,+'5.Variables'!$C50,+IF(L$18='5.Variables'!$B$62,+'5.Variables'!$C64,+IF(L$18='5.Variables'!$B$76,+'5.Variables'!$C78,+IF(L$18='5.Variables'!$B$90,+'5.Variables'!$C92,+IF(L$18='5.Variables'!$B$104,+'5.Variables'!$C106,0))))))</f>
        <v>31</v>
      </c>
      <c r="M20" s="599">
        <f>IF(M$18='5.Variables'!$B$16,+'5.Variables'!$C26,+IF(M$18='5.Variables'!$B$39,+'5.Variables'!$C50,+IF(M$18='5.Variables'!$B$62,+'5.Variables'!$C64,+IF(M$18='5.Variables'!$B$76,+'5.Variables'!$C78,+IF(M$18='5.Variables'!$B$90,+'5.Variables'!$C92,+IF(M$18='5.Variables'!$B$104,+'5.Variables'!$C106,0))))))</f>
        <v>9.09</v>
      </c>
      <c r="N20" s="599">
        <f>IF(N$18='5.Variables'!$B$16,+'5.Variables'!$C26,+IF(N$18='5.Variables'!$B$39,+'5.Variables'!$C50,+IF(N$18='5.Variables'!$B$62,+'5.Variables'!$C64,+IF(N$18='5.Variables'!$B$76,+'5.Variables'!$C78,+IF(N$18='5.Variables'!$B$90,+'5.Variables'!$C92,+IF(N$18='5.Variables'!$B$104,+'5.Variables'!$C106,0))))))</f>
        <v>0</v>
      </c>
      <c r="O20" s="928">
        <v>0</v>
      </c>
      <c r="P20" s="200"/>
      <c r="Q20" s="469">
        <f>$U$34+(J20*$U$35)+(K20*$U$36)+(L20*$U$37)+(M20*$U$38)</f>
        <v>8553525.4693399947</v>
      </c>
      <c r="R20" s="215"/>
      <c r="S20" s="200"/>
      <c r="T20" s="664" t="s">
        <v>7</v>
      </c>
      <c r="U20" s="664"/>
      <c r="V20"/>
      <c r="W20"/>
      <c r="X20"/>
      <c r="Y20"/>
      <c r="Z20"/>
      <c r="AA20"/>
      <c r="AB20"/>
      <c r="AC20" s="200"/>
      <c r="AD20" s="200"/>
      <c r="AE20" s="200"/>
      <c r="AF20" s="200"/>
      <c r="AG20" s="200"/>
      <c r="AH20" s="200"/>
      <c r="AI20" s="200"/>
      <c r="AJ20" s="200"/>
      <c r="AK20" s="200"/>
      <c r="AL20" s="200"/>
    </row>
    <row r="21" spans="1:38">
      <c r="A21" s="435">
        <f>+A20+1</f>
        <v>2</v>
      </c>
      <c r="B21" s="871" t="str">
        <f>CONCATENATE('3. Consumption by Rate Class'!B26,"-",'3. Consumption by Rate Class'!C26)</f>
        <v>2013-February</v>
      </c>
      <c r="C21" s="870">
        <v>7991165</v>
      </c>
      <c r="D21" s="933">
        <v>-32610</v>
      </c>
      <c r="E21" s="163">
        <v>-79343</v>
      </c>
      <c r="F21" s="469">
        <v>-69147.110000000015</v>
      </c>
      <c r="G21" s="874"/>
      <c r="H21" s="874"/>
      <c r="I21" s="469">
        <f>C21-D21+E21+F21</f>
        <v>7875284.8899999997</v>
      </c>
      <c r="J21" s="599">
        <f>IF(J$18='5.Variables'!$B$16,+'5.Variables'!$D27,+IF(J$18='5.Variables'!$B$39,+'5.Variables'!$D50,+IF(J$18='5.Variables'!$B$62,+'5.Variables'!$D64,+IF(J$18='5.Variables'!$B$76,+'5.Variables'!$D78,+IF(J$18='5.Variables'!$B$90,+'5.Variables'!$D92,+IF(J$18='5.Variables'!$B$104,+'5.Variables'!$D106,0))))))</f>
        <v>728.5</v>
      </c>
      <c r="K21" s="599">
        <f>IF(K$18='5.Variables'!$B$16,+'5.Variables'!$D27,+IF(K$18='5.Variables'!$B$39,+'5.Variables'!$D50,+IF(K$18='5.Variables'!$B$62,+'5.Variables'!$D64,+IF(K$18='5.Variables'!$B$76,+'5.Variables'!$D78,+IF(K$18='5.Variables'!$B$90,+'5.Variables'!$D92,+IF(K$18='5.Variables'!$B$104,+'5.Variables'!$D106,0))))))</f>
        <v>0</v>
      </c>
      <c r="L21" s="599">
        <f>IF(L$18='5.Variables'!$B$16,+'5.Variables'!$D26,+IF(L$18='5.Variables'!$B$39,+'5.Variables'!$D50,+IF(L$18='5.Variables'!$B$62,+'5.Variables'!$D64,+IF(L$18='5.Variables'!$B$76,+'5.Variables'!$D78,+IF(L$18='5.Variables'!$B$90,+'5.Variables'!$D92,+IF(L$18='5.Variables'!$B$104,+'5.Variables'!$D106,0))))))</f>
        <v>28</v>
      </c>
      <c r="M21" s="599">
        <f>IF(M$18='5.Variables'!$B$16,+'5.Variables'!$D26,+IF(M$18='5.Variables'!$B$39,+'5.Variables'!$D50,+IF(M$18='5.Variables'!$B$62,+'5.Variables'!$D64,+IF(M$18='5.Variables'!$B$76,+'5.Variables'!$D78,+IF(M$18='5.Variables'!$B$90,+'5.Variables'!$D92,+IF(M$18='5.Variables'!$B$104,+'5.Variables'!$D106,0))))))</f>
        <v>10.19</v>
      </c>
      <c r="N21" s="599">
        <f>IF(N$18='5.Variables'!$B$16,+'5.Variables'!$D26,+IF(N$18='5.Variables'!$B$39,+'5.Variables'!$D50,+IF(N$18='5.Variables'!$B$62,+'5.Variables'!$D64,+IF(N$18='5.Variables'!$B$76,+'5.Variables'!$D78,+IF(N$18='5.Variables'!$B$90,+'5.Variables'!$D92,+IF(N$18='5.Variables'!$B$104,+'5.Variables'!$D106,0))))))</f>
        <v>0</v>
      </c>
      <c r="O21" s="928">
        <v>0</v>
      </c>
      <c r="P21" s="200"/>
      <c r="Q21" s="469">
        <f t="shared" ref="Q21:Q84" si="0">$U$34+(J21*$U$35)+(K21*$U$36)+(L21*$U$37)+(M21*$U$38)</f>
        <v>7744627.37474667</v>
      </c>
      <c r="R21" s="215"/>
      <c r="S21" s="200"/>
      <c r="T21" t="s">
        <v>8</v>
      </c>
      <c r="U21">
        <v>0.95576556436446058</v>
      </c>
      <c r="V21"/>
      <c r="W21"/>
      <c r="X21"/>
      <c r="Y21"/>
      <c r="Z21"/>
      <c r="AA21"/>
      <c r="AB21"/>
      <c r="AC21" s="200"/>
      <c r="AD21" s="200"/>
      <c r="AE21" s="200"/>
      <c r="AF21" s="200"/>
      <c r="AG21" s="200"/>
      <c r="AH21" s="200"/>
      <c r="AI21" s="200"/>
      <c r="AJ21" s="200"/>
      <c r="AK21" s="200"/>
      <c r="AL21" s="200"/>
    </row>
    <row r="22" spans="1:38">
      <c r="A22" s="435">
        <f t="shared" ref="A22:A85" si="1">+A21+1</f>
        <v>3</v>
      </c>
      <c r="B22" s="871" t="str">
        <f>CONCATENATE('3. Consumption by Rate Class'!B27,"-",'3. Consumption by Rate Class'!C27)</f>
        <v>2013-March</v>
      </c>
      <c r="C22" s="870">
        <v>8052530</v>
      </c>
      <c r="D22" s="934">
        <v>-27801</v>
      </c>
      <c r="E22" s="935">
        <v>-55965</v>
      </c>
      <c r="F22" s="469">
        <v>-63108.26</v>
      </c>
      <c r="G22" s="875"/>
      <c r="H22" s="875"/>
      <c r="I22" s="469">
        <f t="shared" ref="I22:I84" si="2">C22-D22+E22+F22</f>
        <v>7961257.7400000002</v>
      </c>
      <c r="J22" s="599">
        <f>IF(J$18='5.Variables'!$B$16,+'5.Variables'!$E27,+IF(J$18='5.Variables'!$B$39,+'5.Variables'!$E50,+IF(J$18='5.Variables'!$B$62,+'5.Variables'!$E64,+IF(J$18='5.Variables'!$B$76,+'5.Variables'!$E78,+IF(J$18='5.Variables'!$B$90,+'5.Variables'!$E92,+IF(J$18='5.Variables'!$B$104,+'5.Variables'!$E106,0))))))</f>
        <v>579.6</v>
      </c>
      <c r="K22" s="599">
        <f>IF(K$18='5.Variables'!$B$16,+'5.Variables'!$E27,+IF(K$18='5.Variables'!$B$39,+'5.Variables'!$E50,+IF(K$18='5.Variables'!$B$62,+'5.Variables'!$E64,+IF(K$18='5.Variables'!$B$76,+'5.Variables'!$E78,+IF(K$18='5.Variables'!$B$90,+'5.Variables'!$E92,+IF(K$18='5.Variables'!$B$104,+'5.Variables'!$E106,0))))))</f>
        <v>0</v>
      </c>
      <c r="L22" s="599">
        <f>IF(L$18='5.Variables'!$B$16,+'5.Variables'!$E26,+IF(L$18='5.Variables'!$B$39,+'5.Variables'!$E50,+IF(L$18='5.Variables'!$B$62,+'5.Variables'!$E64,+IF(L$18='5.Variables'!$B$76,+'5.Variables'!$E78,+IF(L$18='5.Variables'!$B$90,+'5.Variables'!$E92,+IF(L$18='5.Variables'!$B$104,+'5.Variables'!$E106,0))))))</f>
        <v>31</v>
      </c>
      <c r="M22" s="599">
        <f>IF(M$18='5.Variables'!$B$16,+'5.Variables'!$E26,+IF(M$18='5.Variables'!$B$39,+'5.Variables'!$E50,+IF(M$18='5.Variables'!$B$62,+'5.Variables'!$E64,+IF(M$18='5.Variables'!$B$76,+'5.Variables'!$E78,+IF(M$18='5.Variables'!$B$90,+'5.Variables'!$E92,+IF(M$18='5.Variables'!$B$104,+'5.Variables'!$E106,0))))))</f>
        <v>11.51</v>
      </c>
      <c r="N22" s="599">
        <f>IF(N$18='5.Variables'!$B$16,+'5.Variables'!$E26,+IF(N$18='5.Variables'!$B$39,+'5.Variables'!$E50,+IF(N$18='5.Variables'!$B$62,+'5.Variables'!$E64,+IF(N$18='5.Variables'!$B$76,+'5.Variables'!$E78,+IF(N$18='5.Variables'!$B$90,+'5.Variables'!$E92,+IF(N$18='5.Variables'!$B$104,+'5.Variables'!$E106,0))))))</f>
        <v>0</v>
      </c>
      <c r="O22" s="928">
        <v>0</v>
      </c>
      <c r="P22" s="200"/>
      <c r="Q22" s="469">
        <f t="shared" si="0"/>
        <v>7804467.8330154363</v>
      </c>
      <c r="R22" s="216"/>
      <c r="S22" s="200"/>
      <c r="T22" t="s">
        <v>9</v>
      </c>
      <c r="U22">
        <v>0.91348781402491586</v>
      </c>
      <c r="V22"/>
      <c r="W22"/>
      <c r="X22"/>
      <c r="Y22"/>
      <c r="Z22"/>
      <c r="AA22"/>
      <c r="AB22"/>
      <c r="AC22" s="200"/>
      <c r="AD22" s="200"/>
      <c r="AE22" s="200"/>
      <c r="AF22" s="200"/>
      <c r="AG22" s="200"/>
      <c r="AH22" s="200"/>
      <c r="AI22" s="200"/>
      <c r="AJ22" s="200"/>
      <c r="AK22" s="200"/>
      <c r="AL22" s="200"/>
    </row>
    <row r="23" spans="1:38">
      <c r="A23" s="435">
        <f t="shared" si="1"/>
        <v>4</v>
      </c>
      <c r="B23" s="871" t="str">
        <f>CONCATENATE('3. Consumption by Rate Class'!B28,"-",'3. Consumption by Rate Class'!C28)</f>
        <v>2013-April</v>
      </c>
      <c r="C23" s="870">
        <v>7150699</v>
      </c>
      <c r="D23" s="934">
        <v>-28667</v>
      </c>
      <c r="E23" s="935">
        <v>-59951</v>
      </c>
      <c r="F23" s="469">
        <v>-52822.5</v>
      </c>
      <c r="G23" s="875"/>
      <c r="H23" s="875"/>
      <c r="I23" s="469">
        <f t="shared" si="2"/>
        <v>7066592.5</v>
      </c>
      <c r="J23" s="599">
        <f>IF(J$18='5.Variables'!$B$16,+'5.Variables'!$F27,+IF(J$18='5.Variables'!$B$39,+'5.Variables'!$F50,+IF(J$18='5.Variables'!$B$62,+'5.Variables'!$F64,+IF(J$18='5.Variables'!$B$76,+'5.Variables'!$F78,+IF(J$18='5.Variables'!$B$90,+'5.Variables'!$F92,+IF(J$18='5.Variables'!$B$104,+'5.Variables'!$F106,0))))))</f>
        <v>285.5</v>
      </c>
      <c r="K23" s="599">
        <f>IF(K$18='5.Variables'!$B$16,+'5.Variables'!$F27,+IF(K$18='5.Variables'!$B$39,+'5.Variables'!$F50,+IF(K$18='5.Variables'!$B$62,+'5.Variables'!$F64,+IF(K$18='5.Variables'!$B$76,+'5.Variables'!$F78,+IF(K$18='5.Variables'!$B$90,+'5.Variables'!$F92,+IF(K$18='5.Variables'!$B$104,+'5.Variables'!$F106,0))))))</f>
        <v>0</v>
      </c>
      <c r="L23" s="599">
        <f>IF(L$18='5.Variables'!$B$16,+'5.Variables'!$F26,+IF(L$18='5.Variables'!$B$39,+'5.Variables'!$F50,+IF(L$18='5.Variables'!$B$62,+'5.Variables'!$F64,+IF(L$18='5.Variables'!$B$76,+'5.Variables'!$F78,+IF(L$18='5.Variables'!$B$90,+'5.Variables'!$F92,+IF(L$18='5.Variables'!$B$104,+'5.Variables'!$F106,0))))))</f>
        <v>30</v>
      </c>
      <c r="M23" s="599">
        <f>IF(M$18='5.Variables'!$B$16,+'5.Variables'!$F26,+IF(M$18='5.Variables'!$B$39,+'5.Variables'!$F50,+IF(M$18='5.Variables'!$B$62,+'5.Variables'!$F64,+IF(M$18='5.Variables'!$B$76,+'5.Variables'!$F78,+IF(M$18='5.Variables'!$B$90,+'5.Variables'!$F92,+IF(M$18='5.Variables'!$B$104,+'5.Variables'!$F106,0))))))</f>
        <v>13.28</v>
      </c>
      <c r="N23" s="599">
        <f>IF(N$18='5.Variables'!$B$16,+'5.Variables'!$F26,+IF(N$18='5.Variables'!$B$39,+'5.Variables'!$F50,+IF(N$18='5.Variables'!$B$62,+'5.Variables'!$F64,+IF(N$18='5.Variables'!$B$76,+'5.Variables'!$F78,+IF(N$18='5.Variables'!$B$90,+'5.Variables'!$F92,+IF(N$18='5.Variables'!$B$104,+'5.Variables'!$F106,0))))))</f>
        <v>0</v>
      </c>
      <c r="O23" s="928">
        <v>0</v>
      </c>
      <c r="P23" s="200"/>
      <c r="Q23" s="469">
        <f t="shared" si="0"/>
        <v>6776887.3401063289</v>
      </c>
      <c r="R23" s="216"/>
      <c r="S23" s="200"/>
      <c r="T23" t="s">
        <v>10</v>
      </c>
      <c r="U23">
        <v>0.91047869451273911</v>
      </c>
      <c r="V23"/>
      <c r="W23"/>
      <c r="X23"/>
      <c r="Y23"/>
      <c r="Z23"/>
      <c r="AA23"/>
      <c r="AB23"/>
      <c r="AC23" s="200"/>
      <c r="AD23" s="200"/>
      <c r="AE23" s="200"/>
      <c r="AF23" s="200"/>
      <c r="AG23" s="200"/>
      <c r="AH23" s="200"/>
      <c r="AI23" s="200"/>
      <c r="AJ23" s="200"/>
      <c r="AK23" s="200"/>
      <c r="AL23" s="200"/>
    </row>
    <row r="24" spans="1:38">
      <c r="A24" s="435">
        <f t="shared" si="1"/>
        <v>5</v>
      </c>
      <c r="B24" s="871" t="str">
        <f>CONCATENATE('3. Consumption by Rate Class'!B29,"-",'3. Consumption by Rate Class'!C29)</f>
        <v>2013-May</v>
      </c>
      <c r="C24" s="870">
        <v>6854461</v>
      </c>
      <c r="D24" s="934">
        <v>-24766</v>
      </c>
      <c r="E24" s="935">
        <v>-49920</v>
      </c>
      <c r="F24" s="469">
        <v>-47496.160000000003</v>
      </c>
      <c r="G24" s="875"/>
      <c r="H24" s="875"/>
      <c r="I24" s="469">
        <f t="shared" si="2"/>
        <v>6781810.8399999999</v>
      </c>
      <c r="J24" s="599">
        <f>IF(J$18='5.Variables'!$B$16,+'5.Variables'!$G27,+IF(J$18='5.Variables'!$B$39,+'5.Variables'!$G50,+IF(J$18='5.Variables'!$B$62,+'5.Variables'!$G64,+IF(J$18='5.Variables'!$B$76,+'5.Variables'!$G78,+IF(J$18='5.Variables'!$B$90,+'5.Variables'!$G92,+IF(J$18='5.Variables'!$B$104,+'5.Variables'!$G106,0))))))</f>
        <v>105.7</v>
      </c>
      <c r="K24" s="599">
        <f>IF(K$18='5.Variables'!$B$16,+'5.Variables'!$G27,+IF(K$18='5.Variables'!$B$39,+'5.Variables'!$G50,+IF(K$18='5.Variables'!$B$62,+'5.Variables'!$G64,+IF(K$18='5.Variables'!$B$76,+'5.Variables'!$G78,+IF(K$18='5.Variables'!$B$90,+'5.Variables'!$G92,+IF(K$18='5.Variables'!$B$104,+'5.Variables'!$G106,0))))))</f>
        <v>15.3</v>
      </c>
      <c r="L24" s="599">
        <f>IF(L$18='5.Variables'!$B$16,+'5.Variables'!$G26,+IF(L$18='5.Variables'!$B$39,+'5.Variables'!$G50,+IF(L$18='5.Variables'!$B$62,+'5.Variables'!$G64,+IF(L$18='5.Variables'!$B$76,+'5.Variables'!$G78,+IF(L$18='5.Variables'!$B$90,+'5.Variables'!$G92,+IF(L$18='5.Variables'!$B$104,+'5.Variables'!$G106,0))))))</f>
        <v>31</v>
      </c>
      <c r="M24" s="599">
        <f>IF(M$18='5.Variables'!$B$16,+'5.Variables'!$G26,+IF(M$18='5.Variables'!$B$39,+'5.Variables'!$G50,+IF(M$18='5.Variables'!$B$62,+'5.Variables'!$G64,+IF(M$18='5.Variables'!$B$76,+'5.Variables'!$G78,+IF(M$18='5.Variables'!$B$90,+'5.Variables'!$G92,+IF(M$18='5.Variables'!$B$104,+'5.Variables'!$G106,0))))))</f>
        <v>14.52</v>
      </c>
      <c r="N24" s="599">
        <f>IF(N$18='5.Variables'!$B$16,+'5.Variables'!$G26,+IF(N$18='5.Variables'!$B$39,+'5.Variables'!$G50,+IF(N$18='5.Variables'!$B$62,+'5.Variables'!$G64,+IF(N$18='5.Variables'!$B$76,+'5.Variables'!$G78,+IF(N$18='5.Variables'!$B$90,+'5.Variables'!$G92,+IF(N$18='5.Variables'!$B$104,+'5.Variables'!$G106,0))))))</f>
        <v>0</v>
      </c>
      <c r="O24" s="928">
        <v>0</v>
      </c>
      <c r="P24" s="200"/>
      <c r="Q24" s="469">
        <f t="shared" si="0"/>
        <v>6646337.8977146978</v>
      </c>
      <c r="R24" s="216"/>
      <c r="S24" s="200"/>
      <c r="T24" t="s">
        <v>11</v>
      </c>
      <c r="U24">
        <v>216352.8763742907</v>
      </c>
      <c r="V24"/>
      <c r="W24"/>
      <c r="X24"/>
      <c r="Y24"/>
      <c r="Z24"/>
      <c r="AA24"/>
      <c r="AB24"/>
      <c r="AC24" s="200"/>
      <c r="AD24" s="200"/>
      <c r="AE24" s="200"/>
      <c r="AF24" s="200"/>
      <c r="AG24" s="200"/>
      <c r="AH24" s="200"/>
      <c r="AI24" s="200"/>
      <c r="AJ24" s="200"/>
      <c r="AK24" s="200"/>
      <c r="AL24" s="200"/>
    </row>
    <row r="25" spans="1:38" ht="13.5" thickBot="1">
      <c r="A25" s="435">
        <f t="shared" si="1"/>
        <v>6</v>
      </c>
      <c r="B25" s="871" t="str">
        <f>CONCATENATE('3. Consumption by Rate Class'!B30,"-",'3. Consumption by Rate Class'!C30)</f>
        <v>2013-June</v>
      </c>
      <c r="C25" s="870">
        <v>6905812</v>
      </c>
      <c r="D25" s="934">
        <v>-22468</v>
      </c>
      <c r="E25" s="935">
        <v>-44486</v>
      </c>
      <c r="F25" s="469">
        <v>-41917.279999999999</v>
      </c>
      <c r="G25" s="875"/>
      <c r="H25" s="875"/>
      <c r="I25" s="469">
        <f t="shared" si="2"/>
        <v>6841876.7199999997</v>
      </c>
      <c r="J25" s="599">
        <f>IF(J$18='5.Variables'!$B$16,+'5.Variables'!$H27,+IF(J$18='5.Variables'!$B$39,+'5.Variables'!$H50,+IF(J$18='5.Variables'!$B$62,+'5.Variables'!$H64,+IF(J$18='5.Variables'!$B$76,+'5.Variables'!$H78,+IF(J$18='5.Variables'!$B$90,+'5.Variables'!$H92,+IF(J$18='5.Variables'!$B$104,+'5.Variables'!$H106,0))))))</f>
        <v>54.1</v>
      </c>
      <c r="K25" s="599">
        <f>IF(K$18='5.Variables'!$B$16,+'5.Variables'!$H27,+IF(K$18='5.Variables'!$B$39,+'5.Variables'!$H50,+IF(K$18='5.Variables'!$B$62,+'5.Variables'!$H64,+IF(K$18='5.Variables'!$B$76,+'5.Variables'!$H78,+IF(K$18='5.Variables'!$B$90,+'5.Variables'!$H92,+IF(K$18='5.Variables'!$B$104,+'5.Variables'!$H106,0))))))</f>
        <v>39.4</v>
      </c>
      <c r="L25" s="599">
        <f>IF(L$18='5.Variables'!$B$16,+'5.Variables'!$H26,+IF(L$18='5.Variables'!$B$39,+'5.Variables'!$H50,+IF(L$18='5.Variables'!$B$62,+'5.Variables'!$H64,+IF(L$18='5.Variables'!$B$76,+'5.Variables'!$H78,+IF(L$18='5.Variables'!$B$90,+'5.Variables'!$H92,+IF(L$18='5.Variables'!$B$104,+'5.Variables'!$H106,0))))))</f>
        <v>30</v>
      </c>
      <c r="M25" s="599">
        <f>IF(M$18='5.Variables'!$B$16,+'5.Variables'!$H26,+IF(M$18='5.Variables'!$B$39,+'5.Variables'!$H50,+IF(M$18='5.Variables'!$B$62,+'5.Variables'!$H64,+IF(M$18='5.Variables'!$B$76,+'5.Variables'!$H78,+IF(M$18='5.Variables'!$B$90,+'5.Variables'!$H92,+IF(M$18='5.Variables'!$B$104,+'5.Variables'!$H106,0))))))</f>
        <v>15.35</v>
      </c>
      <c r="N25" s="599">
        <f>IF(N$18='5.Variables'!$B$16,+'5.Variables'!$H26,+IF(N$18='5.Variables'!$B$39,+'5.Variables'!$H50,+IF(N$18='5.Variables'!$B$62,+'5.Variables'!$H64,+IF(N$18='5.Variables'!$B$76,+'5.Variables'!$H78,+IF(N$18='5.Variables'!$B$90,+'5.Variables'!$H92,+IF(N$18='5.Variables'!$B$104,+'5.Variables'!$H106,0))))))</f>
        <v>0</v>
      </c>
      <c r="O25" s="928">
        <v>0</v>
      </c>
      <c r="P25" s="200"/>
      <c r="Q25" s="469">
        <f t="shared" si="0"/>
        <v>6706318.6154152695</v>
      </c>
      <c r="R25" s="216"/>
      <c r="S25" s="200"/>
      <c r="T25" s="466" t="s">
        <v>12</v>
      </c>
      <c r="U25" s="466">
        <v>120</v>
      </c>
      <c r="V25"/>
      <c r="W25"/>
      <c r="X25"/>
      <c r="Y25"/>
      <c r="Z25"/>
      <c r="AA25"/>
      <c r="AB25"/>
      <c r="AC25" s="200"/>
      <c r="AD25" s="200"/>
      <c r="AE25" s="200"/>
      <c r="AF25" s="200"/>
      <c r="AG25" s="200"/>
      <c r="AH25" s="200"/>
      <c r="AI25" s="200"/>
      <c r="AJ25" s="200"/>
      <c r="AK25" s="200"/>
      <c r="AL25" s="200"/>
    </row>
    <row r="26" spans="1:38">
      <c r="A26" s="435">
        <f t="shared" si="1"/>
        <v>7</v>
      </c>
      <c r="B26" s="871" t="str">
        <f>CONCATENATE('3. Consumption by Rate Class'!B31,"-",'3. Consumption by Rate Class'!C31)</f>
        <v>2013-July</v>
      </c>
      <c r="C26" s="870">
        <v>7879017</v>
      </c>
      <c r="D26" s="934">
        <v>-25409</v>
      </c>
      <c r="E26" s="935">
        <v>-41307</v>
      </c>
      <c r="F26" s="469">
        <v>-45552.020000000004</v>
      </c>
      <c r="G26" s="875"/>
      <c r="H26" s="875"/>
      <c r="I26" s="469">
        <f t="shared" si="2"/>
        <v>7817566.9800000004</v>
      </c>
      <c r="J26" s="599">
        <f>IF(J$18='5.Variables'!$B$16,+'5.Variables'!$I27,+IF(J$18='5.Variables'!$B$39,+'5.Variables'!$I50,+IF(J$18='5.Variables'!$B$62,+'5.Variables'!$I64,+IF(J$18='5.Variables'!$B$76,+'5.Variables'!$I78,+IF(J$18='5.Variables'!$B$90,+'5.Variables'!$I92,+IF(J$18='5.Variables'!$B$104,+'5.Variables'!$I106,0))))))</f>
        <v>7.7</v>
      </c>
      <c r="K26" s="599">
        <f>IF(K$18='5.Variables'!$B$16,+'5.Variables'!$I27,+IF(K$18='5.Variables'!$B$39,+'5.Variables'!$I50,+IF(K$18='5.Variables'!$B$62,+'5.Variables'!$I64,+IF(K$18='5.Variables'!$B$76,+'5.Variables'!$I78,+IF(K$18='5.Variables'!$B$90,+'5.Variables'!$I92,+IF(K$18='5.Variables'!$B$104,+'5.Variables'!$I106,0))))))</f>
        <v>111.1</v>
      </c>
      <c r="L26" s="599">
        <f>IF(L$18='5.Variables'!$B$16,+'5.Variables'!$I26,+IF(L$18='5.Variables'!$B$39,+'5.Variables'!$I50,+IF(L$18='5.Variables'!$B$62,+'5.Variables'!$I64,+IF(L$18='5.Variables'!$B$76,+'5.Variables'!$I78,+IF(L$18='5.Variables'!$B$90,+'5.Variables'!$I92,+IF(L$18='5.Variables'!$B$104,+'5.Variables'!$I106,0))))))</f>
        <v>31</v>
      </c>
      <c r="M26" s="599">
        <f>IF(M$18='5.Variables'!$B$16,+'5.Variables'!$I26,+IF(M$18='5.Variables'!$B$39,+'5.Variables'!$I50,+IF(M$18='5.Variables'!$B$62,+'5.Variables'!$I64,+IF(M$18='5.Variables'!$B$76,+'5.Variables'!$I78,+IF(M$18='5.Variables'!$B$90,+'5.Variables'!$I92,+IF(M$18='5.Variables'!$B$104,+'5.Variables'!$I106,0))))))</f>
        <v>15.15</v>
      </c>
      <c r="N26" s="599">
        <f>IF(N$18='5.Variables'!$B$16,+'5.Variables'!$I26,+IF(N$18='5.Variables'!$B$39,+'5.Variables'!$I50,+IF(N$18='5.Variables'!$B$62,+'5.Variables'!$I64,+IF(N$18='5.Variables'!$B$76,+'5.Variables'!$I78,+IF(N$18='5.Variables'!$B$90,+'5.Variables'!$I92,+IF(N$18='5.Variables'!$B$104,+'5.Variables'!$I106,0))))))</f>
        <v>0</v>
      </c>
      <c r="O26" s="928">
        <v>0</v>
      </c>
      <c r="P26" s="200"/>
      <c r="Q26" s="469">
        <f t="shared" si="0"/>
        <v>7810276.968785991</v>
      </c>
      <c r="R26" s="216"/>
      <c r="S26" s="200"/>
      <c r="T26"/>
      <c r="U26"/>
      <c r="V26"/>
      <c r="W26"/>
      <c r="X26"/>
      <c r="Y26"/>
      <c r="Z26"/>
      <c r="AA26"/>
      <c r="AB26"/>
      <c r="AC26" s="200"/>
      <c r="AD26" s="200"/>
      <c r="AE26" s="200"/>
      <c r="AF26" s="200"/>
      <c r="AG26" s="200"/>
      <c r="AH26" s="200"/>
      <c r="AI26" s="200"/>
      <c r="AJ26" s="200"/>
      <c r="AK26" s="200"/>
      <c r="AL26" s="200"/>
    </row>
    <row r="27" spans="1:38" ht="13.5" thickBot="1">
      <c r="A27" s="435">
        <f t="shared" si="1"/>
        <v>8</v>
      </c>
      <c r="B27" s="871" t="str">
        <f>CONCATENATE('3. Consumption by Rate Class'!B32,"-",'3. Consumption by Rate Class'!C32)</f>
        <v>2013-August</v>
      </c>
      <c r="C27" s="870">
        <v>7318263</v>
      </c>
      <c r="D27" s="934">
        <v>-29150</v>
      </c>
      <c r="E27" s="935">
        <v>-47596</v>
      </c>
      <c r="F27" s="469">
        <v>-52103.47</v>
      </c>
      <c r="G27" s="875"/>
      <c r="H27" s="875"/>
      <c r="I27" s="469">
        <f t="shared" si="2"/>
        <v>7247713.5300000003</v>
      </c>
      <c r="J27" s="599">
        <f>IF(J$18='5.Variables'!$B$16,+'5.Variables'!$J27,+IF(J$18='5.Variables'!$B$39,+'5.Variables'!$J50,+IF(J$18='5.Variables'!$B$62,+'5.Variables'!$J64,+IF(J$18='5.Variables'!$B$76,+'5.Variables'!$J78,+IF(J$18='5.Variables'!$B$90,+'5.Variables'!$J92,+IF(J$18='5.Variables'!$B$104,+'5.Variables'!$J106,0))))))</f>
        <v>13.4</v>
      </c>
      <c r="K27" s="599">
        <f>IF(K$18='5.Variables'!$B$16,+'5.Variables'!$J27,+IF(K$18='5.Variables'!$B$39,+'5.Variables'!$J50,+IF(K$18='5.Variables'!$B$62,+'5.Variables'!$J64,+IF(K$18='5.Variables'!$B$76,+'5.Variables'!$J78,+IF(K$18='5.Variables'!$B$90,+'5.Variables'!$J92,+IF(K$18='5.Variables'!$B$104,+'5.Variables'!$J106,0))))))</f>
        <v>57.2</v>
      </c>
      <c r="L27" s="599">
        <f>IF(L$18='5.Variables'!$B$16,+'5.Variables'!$J26,+IF(L$18='5.Variables'!$B$39,+'5.Variables'!$J50,+IF(L$18='5.Variables'!$B$62,+'5.Variables'!$J64,+IF(L$18='5.Variables'!$B$76,+'5.Variables'!$J78,+IF(L$18='5.Variables'!$B$90,+'5.Variables'!$J92,+IF(L$18='5.Variables'!$B$104,+'5.Variables'!$J106,0))))))</f>
        <v>31</v>
      </c>
      <c r="M27" s="599">
        <f>IF(M$18='5.Variables'!$B$16,+'5.Variables'!$J26,+IF(M$18='5.Variables'!$B$39,+'5.Variables'!$J50,+IF(M$18='5.Variables'!$B$62,+'5.Variables'!$J64,+IF(M$18='5.Variables'!$B$76,+'5.Variables'!$J78,+IF(M$18='5.Variables'!$B$90,+'5.Variables'!$J92,+IF(M$18='5.Variables'!$B$104,+'5.Variables'!$J106,0))))))</f>
        <v>14.03</v>
      </c>
      <c r="N27" s="599">
        <f>IF(N$18='5.Variables'!$B$16,+'5.Variables'!$J26,+IF(N$18='5.Variables'!$B$39,+'5.Variables'!$J50,+IF(N$18='5.Variables'!$B$62,+'5.Variables'!$J64,+IF(N$18='5.Variables'!$B$76,+'5.Variables'!$J78,+IF(N$18='5.Variables'!$B$90,+'5.Variables'!$J92,+IF(N$18='5.Variables'!$B$104,+'5.Variables'!$J106,0))))))</f>
        <v>0</v>
      </c>
      <c r="O27" s="928">
        <v>0</v>
      </c>
      <c r="P27" s="200"/>
      <c r="Q27" s="469">
        <f t="shared" si="0"/>
        <v>6990170.6941718534</v>
      </c>
      <c r="R27" s="216"/>
      <c r="S27" s="200"/>
      <c r="T27" t="s">
        <v>13</v>
      </c>
      <c r="U27"/>
      <c r="V27"/>
      <c r="W27"/>
      <c r="X27"/>
      <c r="Y27"/>
      <c r="Z27"/>
      <c r="AA27"/>
      <c r="AB27"/>
      <c r="AC27" s="200"/>
      <c r="AD27" s="200"/>
      <c r="AE27" s="200"/>
      <c r="AF27" s="200"/>
      <c r="AG27" s="200"/>
      <c r="AH27" s="200"/>
      <c r="AI27" s="200"/>
      <c r="AJ27" s="200"/>
      <c r="AK27" s="200"/>
      <c r="AL27" s="200"/>
    </row>
    <row r="28" spans="1:38">
      <c r="A28" s="435">
        <f t="shared" si="1"/>
        <v>9</v>
      </c>
      <c r="B28" s="871" t="str">
        <f>CONCATENATE('3. Consumption by Rate Class'!B33,"-",'3. Consumption by Rate Class'!C33)</f>
        <v>2013-September</v>
      </c>
      <c r="C28" s="870">
        <v>6702828</v>
      </c>
      <c r="D28" s="934">
        <v>-22450</v>
      </c>
      <c r="E28" s="935">
        <v>-44959</v>
      </c>
      <c r="F28" s="469">
        <v>-58191.43</v>
      </c>
      <c r="G28" s="875"/>
      <c r="H28" s="875"/>
      <c r="I28" s="469">
        <f t="shared" si="2"/>
        <v>6622127.5700000003</v>
      </c>
      <c r="J28" s="599">
        <f>IF(J$18='5.Variables'!$B$16,+'5.Variables'!$K27,+IF(J$18='5.Variables'!$B$39,+'5.Variables'!$K50,+IF(J$18='5.Variables'!$B$62,+'5.Variables'!$K64,+IF(J$18='5.Variables'!$B$76,+'5.Variables'!$K78,+IF(J$18='5.Variables'!$B$90,+'5.Variables'!$K92,+IF(J$18='5.Variables'!$B$104,+'5.Variables'!$K106,0))))))</f>
        <v>133.19999999999999</v>
      </c>
      <c r="K28" s="599">
        <f>IF(K$18='5.Variables'!$B$16,+'5.Variables'!$K27,+IF(K$18='5.Variables'!$B$39,+'5.Variables'!$K50,+IF(K$18='5.Variables'!$B$62,+'5.Variables'!$K64,+IF(K$18='5.Variables'!$B$76,+'5.Variables'!$K78,+IF(K$18='5.Variables'!$B$90,+'5.Variables'!$K92,+IF(K$18='5.Variables'!$B$104,+'5.Variables'!$K106,0))))))</f>
        <v>10.1</v>
      </c>
      <c r="L28" s="599">
        <f>IF(L$18='5.Variables'!$B$16,+'5.Variables'!$K26,+IF(L$18='5.Variables'!$B$39,+'5.Variables'!$K50,+IF(L$18='5.Variables'!$B$62,+'5.Variables'!$K64,+IF(L$18='5.Variables'!$B$76,+'5.Variables'!$K78,+IF(L$18='5.Variables'!$B$90,+'5.Variables'!$K92,+IF(L$18='5.Variables'!$B$104,+'5.Variables'!$K106,0))))))</f>
        <v>30</v>
      </c>
      <c r="M28" s="599">
        <f>IF(M$18='5.Variables'!$B$16,+'5.Variables'!$K26,+IF(M$18='5.Variables'!$B$39,+'5.Variables'!$K50,+IF(M$18='5.Variables'!$B$62,+'5.Variables'!$K64,+IF(M$18='5.Variables'!$B$76,+'5.Variables'!$K78,+IF(M$18='5.Variables'!$B$90,+'5.Variables'!$K92,+IF(M$18='5.Variables'!$B$104,+'5.Variables'!$K106,0))))))</f>
        <v>12.29</v>
      </c>
      <c r="N28" s="599">
        <f>IF(N$18='5.Variables'!$B$16,+'5.Variables'!$K26,+IF(N$18='5.Variables'!$B$39,+'5.Variables'!$K50,+IF(N$18='5.Variables'!$B$62,+'5.Variables'!$K64,+IF(N$18='5.Variables'!$B$76,+'5.Variables'!$K78,+IF(N$18='5.Variables'!$B$90,+'5.Variables'!$K92,+IF(N$18='5.Variables'!$B$104,+'5.Variables'!$K106,0))))))</f>
        <v>0</v>
      </c>
      <c r="O28" s="928">
        <v>0</v>
      </c>
      <c r="P28" s="200"/>
      <c r="Q28" s="469">
        <f t="shared" si="0"/>
        <v>6446504.0140010715</v>
      </c>
      <c r="R28" s="216"/>
      <c r="S28" s="200"/>
      <c r="T28" s="665"/>
      <c r="U28" s="665" t="s">
        <v>18</v>
      </c>
      <c r="V28" s="665" t="s">
        <v>19</v>
      </c>
      <c r="W28" s="665" t="s">
        <v>20</v>
      </c>
      <c r="X28" s="665" t="s">
        <v>21</v>
      </c>
      <c r="Y28" s="665" t="s">
        <v>22</v>
      </c>
      <c r="Z28"/>
      <c r="AA28"/>
      <c r="AB28"/>
      <c r="AC28" s="200"/>
      <c r="AD28" s="200"/>
      <c r="AE28" s="200"/>
      <c r="AF28" s="200"/>
      <c r="AG28" s="200"/>
      <c r="AH28" s="200"/>
      <c r="AI28" s="200"/>
      <c r="AJ28" s="200"/>
      <c r="AK28" s="200"/>
      <c r="AL28" s="200"/>
    </row>
    <row r="29" spans="1:38">
      <c r="A29" s="435">
        <f t="shared" si="1"/>
        <v>10</v>
      </c>
      <c r="B29" s="871" t="str">
        <f>CONCATENATE('3. Consumption by Rate Class'!B34,"-",'3. Consumption by Rate Class'!C34)</f>
        <v>2013-October</v>
      </c>
      <c r="C29" s="870">
        <v>7083341</v>
      </c>
      <c r="D29" s="934">
        <v>-18395</v>
      </c>
      <c r="E29" s="935">
        <v>-42504</v>
      </c>
      <c r="F29" s="469">
        <v>-68715.34</v>
      </c>
      <c r="G29" s="875"/>
      <c r="H29" s="875"/>
      <c r="I29" s="469">
        <f t="shared" si="2"/>
        <v>6990516.6600000001</v>
      </c>
      <c r="J29" s="599">
        <f>IF(J$18='5.Variables'!$B$16,+'5.Variables'!$L27,+IF(J$18='5.Variables'!$B$39,+'5.Variables'!$L50,+IF(J$18='5.Variables'!$B$62,+'5.Variables'!$L64,+IF(J$18='5.Variables'!$B$76,+'5.Variables'!$L78,+IF(J$18='5.Variables'!$B$90,+'5.Variables'!$L92,+IF(J$18='5.Variables'!$B$104,+'5.Variables'!$L106,0))))))</f>
        <v>235.8</v>
      </c>
      <c r="K29" s="599">
        <f>IF(K$18='5.Variables'!$B$16,+'5.Variables'!$L27,+IF(K$18='5.Variables'!$B$39,+'5.Variables'!$L50,+IF(K$18='5.Variables'!$B$62,+'5.Variables'!$L64,+IF(K$18='5.Variables'!$B$76,+'5.Variables'!$L78,+IF(K$18='5.Variables'!$B$90,+'5.Variables'!$L92,+IF(K$18='5.Variables'!$B$104,+'5.Variables'!$L106,0))))))</f>
        <v>0.7</v>
      </c>
      <c r="L29" s="599">
        <f>IF(L$18='5.Variables'!$B$16,+'5.Variables'!$L26,+IF(L$18='5.Variables'!$B$39,+'5.Variables'!$L50,+IF(L$18='5.Variables'!$B$62,+'5.Variables'!$L64,+IF(L$18='5.Variables'!$B$76,+'5.Variables'!$L78,+IF(L$18='5.Variables'!$B$90,+'5.Variables'!$L92,+IF(L$18='5.Variables'!$B$104,+'5.Variables'!$L106,0))))))</f>
        <v>31</v>
      </c>
      <c r="M29" s="599">
        <f>IF(M$18='5.Variables'!$B$16,+'5.Variables'!$L26,+IF(M$18='5.Variables'!$B$39,+'5.Variables'!$L50,+IF(M$18='5.Variables'!$B$62,+'5.Variables'!$L64,+IF(M$18='5.Variables'!$B$76,+'5.Variables'!$L78,+IF(M$18='5.Variables'!$B$90,+'5.Variables'!$L92,+IF(M$18='5.Variables'!$B$104,+'5.Variables'!$L106,0))))))</f>
        <v>10.51</v>
      </c>
      <c r="N29" s="599">
        <f>IF(N$18='5.Variables'!$B$16,+'5.Variables'!$L26,+IF(N$18='5.Variables'!$B$39,+'5.Variables'!$L50,+IF(N$18='5.Variables'!$B$62,+'5.Variables'!$L64,+IF(N$18='5.Variables'!$B$76,+'5.Variables'!$L78,+IF(N$18='5.Variables'!$B$90,+'5.Variables'!$L92,+IF(N$18='5.Variables'!$B$104,+'5.Variables'!$L106,0))))))</f>
        <v>0</v>
      </c>
      <c r="O29" s="928">
        <v>0</v>
      </c>
      <c r="P29" s="200"/>
      <c r="Q29" s="469">
        <f t="shared" si="0"/>
        <v>6747044.0035249675</v>
      </c>
      <c r="R29" s="216"/>
      <c r="S29" s="200"/>
      <c r="T29" t="s">
        <v>14</v>
      </c>
      <c r="U29">
        <v>4</v>
      </c>
      <c r="V29">
        <v>56839291997384.891</v>
      </c>
      <c r="W29">
        <v>14209822999346.223</v>
      </c>
      <c r="X29">
        <v>303.57312507142217</v>
      </c>
      <c r="Y29">
        <v>4.0785432160300791E-60</v>
      </c>
      <c r="Z29"/>
      <c r="AA29"/>
      <c r="AB29"/>
      <c r="AC29" s="200"/>
      <c r="AD29" s="200"/>
      <c r="AE29" s="200"/>
      <c r="AF29" s="200"/>
      <c r="AG29" s="200"/>
      <c r="AH29" s="200"/>
      <c r="AI29" s="200"/>
      <c r="AJ29" s="200"/>
      <c r="AK29" s="200"/>
      <c r="AL29" s="200"/>
    </row>
    <row r="30" spans="1:38">
      <c r="A30" s="435">
        <f t="shared" si="1"/>
        <v>11</v>
      </c>
      <c r="B30" s="871" t="str">
        <f>CONCATENATE('3. Consumption by Rate Class'!B35,"-",'3. Consumption by Rate Class'!C35)</f>
        <v>2013-November</v>
      </c>
      <c r="C30" s="870">
        <v>7744935</v>
      </c>
      <c r="D30" s="934">
        <v>-22803</v>
      </c>
      <c r="E30" s="935">
        <v>-43552</v>
      </c>
      <c r="F30" s="469">
        <v>-73619.78</v>
      </c>
      <c r="G30" s="875"/>
      <c r="H30" s="875"/>
      <c r="I30" s="469">
        <f t="shared" si="2"/>
        <v>7650566.2199999997</v>
      </c>
      <c r="J30" s="599">
        <f>IF(J$18='5.Variables'!$B$16,+'5.Variables'!$M27,+IF(J$18='5.Variables'!$B$39,+'5.Variables'!$M50,+IF(J$18='5.Variables'!$B$62,+'5.Variables'!$M64,+IF(J$18='5.Variables'!$B$76,+'5.Variables'!$M78,+IF(J$18='5.Variables'!$B$90,+'5.Variables'!$M92,+IF(J$18='5.Variables'!$B$104,+'5.Variables'!$M106,0))))))</f>
        <v>560.79999999999995</v>
      </c>
      <c r="K30" s="599">
        <f>IF(K$18='5.Variables'!$B$16,+'5.Variables'!$M27,+IF(K$18='5.Variables'!$B$39,+'5.Variables'!$M50,+IF(K$18='5.Variables'!$B$62,+'5.Variables'!$M64,+IF(K$18='5.Variables'!$B$76,+'5.Variables'!$M78,+IF(K$18='5.Variables'!$B$90,+'5.Variables'!$M92,+IF(K$18='5.Variables'!$B$104,+'5.Variables'!$M106,0))))))</f>
        <v>0</v>
      </c>
      <c r="L30" s="599">
        <f>IF(L$18='5.Variables'!$B$16,+'5.Variables'!$M26,+IF(L$18='5.Variables'!$B$39,+'5.Variables'!$M50,+IF(L$18='5.Variables'!$B$62,+'5.Variables'!$M64,+IF(L$18='5.Variables'!$B$76,+'5.Variables'!$M78,+IF(L$18='5.Variables'!$B$90,+'5.Variables'!$M92,+IF(L$18='5.Variables'!$B$104,+'5.Variables'!$M106,0))))))</f>
        <v>30</v>
      </c>
      <c r="M30" s="599">
        <f>IF(M$18='5.Variables'!$B$16,+'5.Variables'!$M26,+IF(M$18='5.Variables'!$B$39,+'5.Variables'!$M50,+IF(M$18='5.Variables'!$B$62,+'5.Variables'!$M64,+IF(M$18='5.Variables'!$B$76,+'5.Variables'!$M78,+IF(M$18='5.Variables'!$B$90,+'5.Variables'!$M92,+IF(M$18='5.Variables'!$B$104,+'5.Variables'!$M106,0))))))</f>
        <v>9.2799999999999994</v>
      </c>
      <c r="N30" s="599">
        <f>IF(N$18='5.Variables'!$B$16,+'5.Variables'!$M26,+IF(N$18='5.Variables'!$B$39,+'5.Variables'!$M50,+IF(N$18='5.Variables'!$B$62,+'5.Variables'!$M64,+IF(N$18='5.Variables'!$B$76,+'5.Variables'!$M78,+IF(N$18='5.Variables'!$B$90,+'5.Variables'!$M92,+IF(N$18='5.Variables'!$B$104,+'5.Variables'!$M106,0))))))</f>
        <v>0</v>
      </c>
      <c r="O30" s="928">
        <v>0</v>
      </c>
      <c r="P30" s="200"/>
      <c r="Q30" s="469">
        <f t="shared" si="0"/>
        <v>7542098.4117350634</v>
      </c>
      <c r="R30" s="216"/>
      <c r="S30" s="200"/>
      <c r="T30" t="s">
        <v>15</v>
      </c>
      <c r="U30">
        <v>115</v>
      </c>
      <c r="V30">
        <v>5382985218274.3486</v>
      </c>
      <c r="W30">
        <v>46808567115.429115</v>
      </c>
      <c r="X30"/>
      <c r="Y30"/>
      <c r="Z30"/>
      <c r="AA30"/>
      <c r="AB30"/>
      <c r="AC30" s="200"/>
      <c r="AD30" s="200"/>
      <c r="AE30" s="200"/>
      <c r="AF30" s="200"/>
      <c r="AG30" s="200"/>
      <c r="AH30" s="200"/>
      <c r="AI30" s="200"/>
      <c r="AJ30" s="200"/>
      <c r="AK30" s="200"/>
      <c r="AL30" s="200"/>
    </row>
    <row r="31" spans="1:38" ht="13.5" thickBot="1">
      <c r="A31" s="435">
        <f t="shared" si="1"/>
        <v>12</v>
      </c>
      <c r="B31" s="451" t="str">
        <f>CONCATENATE('3. Consumption by Rate Class'!B36,"-",'3. Consumption by Rate Class'!C36)</f>
        <v>2013-December</v>
      </c>
      <c r="C31" s="882">
        <v>9122002</v>
      </c>
      <c r="D31" s="936">
        <v>-30250</v>
      </c>
      <c r="E31" s="881">
        <v>-41765</v>
      </c>
      <c r="F31" s="881">
        <v>-79579.97</v>
      </c>
      <c r="G31" s="880"/>
      <c r="H31" s="880"/>
      <c r="I31" s="881">
        <f t="shared" si="2"/>
        <v>9030907.0299999993</v>
      </c>
      <c r="J31" s="599">
        <f>IF(J$18='5.Variables'!$B$16,+'5.Variables'!$N27,+IF(J$18='5.Variables'!$B$39,+'5.Variables'!$N50,+IF(J$18='5.Variables'!$B$62,+'5.Variables'!$N64,+IF(J$18='5.Variables'!$B$76,+'5.Variables'!$N78,+IF(J$18='5.Variables'!$B$90,+'5.Variables'!$N92,+IF(J$18='5.Variables'!$B$104,+'5.Variables'!$N106,0))))))</f>
        <v>858.2</v>
      </c>
      <c r="K31" s="599">
        <f>IF(K$18='5.Variables'!$B$16,+'5.Variables'!$N27,+IF(K$18='5.Variables'!$B$39,+'5.Variables'!$N50,+IF(K$18='5.Variables'!$B$62,+'5.Variables'!$N64,+IF(K$18='5.Variables'!$B$76,+'5.Variables'!$N78,+IF(K$18='5.Variables'!$B$90,+'5.Variables'!$N92,+IF(K$18='5.Variables'!$B$104,+'5.Variables'!$N106,0))))))</f>
        <v>0</v>
      </c>
      <c r="L31" s="599">
        <f>IF(L$18='5.Variables'!$B$16,+'5.Variables'!$N26,+IF(L$18='5.Variables'!$B$39,+'5.Variables'!$N50,+IF(L$18='5.Variables'!$B$62,+'5.Variables'!$N64,+IF(L$18='5.Variables'!$B$76,+'5.Variables'!$N78,+IF(L$18='5.Variables'!$B$90,+'5.Variables'!$N92,+IF(L$18='5.Variables'!$B$104,+'5.Variables'!$N106,0))))))</f>
        <v>31</v>
      </c>
      <c r="M31" s="599">
        <f>IF(M$18='5.Variables'!$B$16,+'5.Variables'!$N26,+IF(M$18='5.Variables'!$B$39,+'5.Variables'!$N50,+IF(M$18='5.Variables'!$B$62,+'5.Variables'!$N64,+IF(M$18='5.Variables'!$B$76,+'5.Variables'!$N78,+IF(M$18='5.Variables'!$B$90,+'5.Variables'!$N92,+IF(M$18='5.Variables'!$B$104,+'5.Variables'!$N106,0))))))</f>
        <v>8.4700000000000006</v>
      </c>
      <c r="N31" s="599">
        <f>IF(N$18='5.Variables'!$B$16,+'5.Variables'!$N26,+IF(N$18='5.Variables'!$B$39,+'5.Variables'!$N50,+IF(N$18='5.Variables'!$B$62,+'5.Variables'!$N64,+IF(N$18='5.Variables'!$B$76,+'5.Variables'!$N78,+IF(N$18='5.Variables'!$B$90,+'5.Variables'!$N92,+IF(N$18='5.Variables'!$B$104,+'5.Variables'!$N106,0))))))</f>
        <v>0</v>
      </c>
      <c r="O31" s="928">
        <v>0</v>
      </c>
      <c r="P31" s="200"/>
      <c r="Q31" s="469">
        <f t="shared" si="0"/>
        <v>8597751.4256809391</v>
      </c>
      <c r="R31" s="216">
        <f>SUM(Q20:Q31)</f>
        <v>88366010.048238277</v>
      </c>
      <c r="S31" s="200"/>
      <c r="T31" s="466" t="s">
        <v>16</v>
      </c>
      <c r="U31" s="466">
        <v>119</v>
      </c>
      <c r="V31" s="466">
        <v>62222277215659.242</v>
      </c>
      <c r="W31" s="466"/>
      <c r="X31" s="466"/>
      <c r="Y31" s="466"/>
      <c r="Z31"/>
      <c r="AA31"/>
      <c r="AB31"/>
      <c r="AC31" s="200"/>
      <c r="AD31" s="200"/>
      <c r="AE31" s="200"/>
      <c r="AF31" s="200"/>
      <c r="AG31" s="200"/>
      <c r="AH31" s="200"/>
      <c r="AI31" s="200"/>
      <c r="AJ31" s="200"/>
      <c r="AK31" s="200"/>
      <c r="AL31" s="200"/>
    </row>
    <row r="32" spans="1:38" ht="13.5" thickBot="1">
      <c r="A32" s="435">
        <f t="shared" si="1"/>
        <v>13</v>
      </c>
      <c r="B32" s="871" t="str">
        <f>CONCATENATE('3. Consumption by Rate Class'!B37,"-",'3. Consumption by Rate Class'!C37)</f>
        <v>2014-January</v>
      </c>
      <c r="C32" s="870">
        <v>9438027</v>
      </c>
      <c r="D32" s="933">
        <v>-37973</v>
      </c>
      <c r="E32" s="163">
        <v>-39510</v>
      </c>
      <c r="F32" s="935">
        <v>-77692.42</v>
      </c>
      <c r="G32" s="875"/>
      <c r="H32" s="875"/>
      <c r="I32" s="469">
        <f t="shared" si="2"/>
        <v>9358797.5800000001</v>
      </c>
      <c r="J32" s="599">
        <f>IF(J$18='5.Variables'!$B$16,+'5.Variables'!$C28,+IF(J$18='5.Variables'!$B$39,+'5.Variables'!$C51,+IF(J$18='5.Variables'!$B$62,+'5.Variables'!$C65,+IF(J$18='5.Variables'!$B$76,+'5.Variables'!$C79,+IF(J$18='5.Variables'!$B$90,+'5.Variables'!$C93,+IF(J$18='5.Variables'!$B$104,+'5.Variables'!$C107,0))))))</f>
        <v>918.3</v>
      </c>
      <c r="K32" s="599">
        <f>IF(K$18='5.Variables'!$B$16,+'5.Variables'!$C27,+IF(K$18='5.Variables'!$B$39,+'5.Variables'!$C51,+IF(K$18='5.Variables'!$B$62,+'5.Variables'!$C65,+IF(K$18='5.Variables'!$B$76,+'5.Variables'!$C79,+IF(K$18='5.Variables'!$B$90,+'5.Variables'!$C93,+IF(K$18='5.Variables'!$B$104,+'5.Variables'!$C107,0))))))</f>
        <v>0</v>
      </c>
      <c r="L32" s="599">
        <f>IF(L$18='5.Variables'!$B$16,+'5.Variables'!$C27,+IF(L$18='5.Variables'!$B$39,+'5.Variables'!$C51,+IF(L$18='5.Variables'!$B$62,+'5.Variables'!$C65,+IF(L$18='5.Variables'!$B$76,+'5.Variables'!$C79,+IF(L$18='5.Variables'!$B$90,+'5.Variables'!$C93,+IF(L$18='5.Variables'!$B$104,+'5.Variables'!$C107,0))))))</f>
        <v>31</v>
      </c>
      <c r="M32" s="599">
        <f>IF(M$18='5.Variables'!$B$16,+'5.Variables'!$C27,+IF(M$18='5.Variables'!$B$39,+'5.Variables'!$C51,+IF(M$18='5.Variables'!$B$62,+'5.Variables'!$C65,+IF(M$18='5.Variables'!$B$76,+'5.Variables'!$C79,+IF(M$18='5.Variables'!$B$90,+'5.Variables'!$C93,+IF(M$18='5.Variables'!$B$104,+'5.Variables'!$C107,0))))))</f>
        <v>9.09</v>
      </c>
      <c r="N32" s="599">
        <f>IF(N$18='5.Variables'!$B$16,+'5.Variables'!$C27,+IF(N$18='5.Variables'!$B$39,+'5.Variables'!$C51,+IF(N$18='5.Variables'!$B$62,+'5.Variables'!$C65,+IF(N$18='5.Variables'!$B$76,+'5.Variables'!$C79,+IF(N$18='5.Variables'!$B$90,+'5.Variables'!$C93,+IF(N$18='5.Variables'!$B$104,+'5.Variables'!$C107,0))))))</f>
        <v>0</v>
      </c>
      <c r="O32" s="928">
        <v>0</v>
      </c>
      <c r="P32" s="200"/>
      <c r="Q32" s="469">
        <f t="shared" si="0"/>
        <v>8792802.0819942188</v>
      </c>
      <c r="R32" s="216"/>
      <c r="S32" s="200"/>
      <c r="T32"/>
      <c r="U32"/>
      <c r="V32"/>
      <c r="W32"/>
      <c r="X32"/>
      <c r="Y32"/>
      <c r="Z32"/>
      <c r="AA32"/>
      <c r="AB32"/>
      <c r="AC32" s="200"/>
      <c r="AD32" s="200"/>
      <c r="AE32" s="200"/>
      <c r="AF32" s="200"/>
      <c r="AG32" s="200"/>
      <c r="AH32" s="200"/>
      <c r="AI32" s="200"/>
      <c r="AJ32" s="200"/>
      <c r="AK32" s="200"/>
      <c r="AL32" s="200"/>
    </row>
    <row r="33" spans="1:38">
      <c r="A33" s="435">
        <f t="shared" si="1"/>
        <v>14</v>
      </c>
      <c r="B33" s="871" t="str">
        <f>CONCATENATE('3. Consumption by Rate Class'!B38,"-",'3. Consumption by Rate Class'!C38)</f>
        <v>2014-February</v>
      </c>
      <c r="C33" s="870">
        <v>8139359</v>
      </c>
      <c r="D33" s="934">
        <v>-42127</v>
      </c>
      <c r="E33" s="935">
        <v>-44238</v>
      </c>
      <c r="F33" s="935">
        <v>-69320.110000000015</v>
      </c>
      <c r="G33" s="875"/>
      <c r="H33" s="875"/>
      <c r="I33" s="469">
        <f t="shared" si="2"/>
        <v>8067927.8899999997</v>
      </c>
      <c r="J33" s="599">
        <f>IF(J$18='5.Variables'!$B$16,+'5.Variables'!$D28,+IF(J$18='5.Variables'!$B$39,+'5.Variables'!$D51,+IF(J$18='5.Variables'!$B$62,+'5.Variables'!$D65,+IF(J$18='5.Variables'!$B$76,+'5.Variables'!$D79,+IF(J$18='5.Variables'!$B$90,+'5.Variables'!$D93,+IF(J$18='5.Variables'!$B$104,+'5.Variables'!$D107,0))))))</f>
        <v>793.2</v>
      </c>
      <c r="K33" s="599">
        <f>IF(K$18='5.Variables'!$B$16,+'5.Variables'!$D27,+IF(K$18='5.Variables'!$B$39,+'5.Variables'!$D51,+IF(K$18='5.Variables'!$B$62,+'5.Variables'!$D65,+IF(K$18='5.Variables'!$B$76,+'5.Variables'!$D79,+IF(K$18='5.Variables'!$B$90,+'5.Variables'!$D93,+IF(K$18='5.Variables'!$B$104,+'5.Variables'!$D107,0))))))</f>
        <v>0</v>
      </c>
      <c r="L33" s="599">
        <f>IF(L$18='5.Variables'!$B$16,+'5.Variables'!$D27,+IF(L$18='5.Variables'!$B$39,+'5.Variables'!$D51,+IF(L$18='5.Variables'!$B$62,+'5.Variables'!$D65,+IF(L$18='5.Variables'!$B$76,+'5.Variables'!$D79,+IF(L$18='5.Variables'!$B$90,+'5.Variables'!$D93,+IF(L$18='5.Variables'!$B$104,+'5.Variables'!$D107,0))))))</f>
        <v>28</v>
      </c>
      <c r="M33" s="599">
        <f>IF(M$18='5.Variables'!$B$16,+'5.Variables'!$D27,+IF(M$18='5.Variables'!$B$39,+'5.Variables'!$D51,+IF(M$18='5.Variables'!$B$62,+'5.Variables'!$D65,+IF(M$18='5.Variables'!$B$76,+'5.Variables'!$D79,+IF(M$18='5.Variables'!$B$90,+'5.Variables'!$D93,+IF(M$18='5.Variables'!$B$104,+'5.Variables'!$D107,0))))))</f>
        <v>10.19</v>
      </c>
      <c r="N33" s="599">
        <f>IF(N$18='5.Variables'!$B$16,+'5.Variables'!$D27,+IF(N$18='5.Variables'!$B$39,+'5.Variables'!$D51,+IF(N$18='5.Variables'!$B$62,+'5.Variables'!$D65,+IF(N$18='5.Variables'!$B$76,+'5.Variables'!$D79,+IF(N$18='5.Variables'!$B$90,+'5.Variables'!$D93,+IF(N$18='5.Variables'!$B$104,+'5.Variables'!$D107,0))))))</f>
        <v>0</v>
      </c>
      <c r="O33" s="928">
        <v>0</v>
      </c>
      <c r="P33" s="200"/>
      <c r="Q33" s="469">
        <f t="shared" si="0"/>
        <v>7942091.6201386126</v>
      </c>
      <c r="R33" s="216"/>
      <c r="S33" s="200"/>
      <c r="T33" s="665"/>
      <c r="U33" s="665" t="s">
        <v>23</v>
      </c>
      <c r="V33" s="665" t="s">
        <v>11</v>
      </c>
      <c r="W33" s="665" t="s">
        <v>24</v>
      </c>
      <c r="X33" s="665" t="s">
        <v>25</v>
      </c>
      <c r="Y33" s="665" t="s">
        <v>26</v>
      </c>
      <c r="Z33" s="665" t="s">
        <v>27</v>
      </c>
      <c r="AA33" s="665" t="s">
        <v>28</v>
      </c>
      <c r="AB33" s="665" t="s">
        <v>29</v>
      </c>
      <c r="AC33" s="200"/>
      <c r="AD33" s="200"/>
      <c r="AE33" s="200"/>
      <c r="AF33" s="200"/>
      <c r="AG33" s="200"/>
      <c r="AH33" s="200"/>
      <c r="AI33" s="200"/>
      <c r="AJ33" s="200"/>
      <c r="AK33" s="200"/>
      <c r="AL33" s="200"/>
    </row>
    <row r="34" spans="1:38">
      <c r="A34" s="435">
        <f t="shared" si="1"/>
        <v>15</v>
      </c>
      <c r="B34" s="871" t="str">
        <f>CONCATENATE('3. Consumption by Rate Class'!B39,"-",'3. Consumption by Rate Class'!C39)</f>
        <v>2014-March</v>
      </c>
      <c r="C34" s="870">
        <v>8549683</v>
      </c>
      <c r="D34" s="934">
        <v>-39758</v>
      </c>
      <c r="E34" s="935">
        <v>-41926</v>
      </c>
      <c r="F34" s="935">
        <v>-63123.26</v>
      </c>
      <c r="G34" s="875"/>
      <c r="H34" s="875"/>
      <c r="I34" s="469">
        <f t="shared" si="2"/>
        <v>8484391.7400000002</v>
      </c>
      <c r="J34" s="599">
        <f>IF(J$18='5.Variables'!$B$16,+'5.Variables'!$E28,+IF(J$18='5.Variables'!$B$39,+'5.Variables'!$E51,+IF(J$18='5.Variables'!$B$62,+'5.Variables'!$E65,+IF(J$18='5.Variables'!$B$76,+'5.Variables'!$E79,+IF(J$18='5.Variables'!$B$90,+'5.Variables'!$E93,+IF(J$18='5.Variables'!$B$104,+'5.Variables'!$E107,0))))))</f>
        <v>783.6</v>
      </c>
      <c r="K34" s="599">
        <f>IF(K$18='5.Variables'!$B$16,+'5.Variables'!$E27,+IF(K$18='5.Variables'!$B$39,+'5.Variables'!$E51,+IF(K$18='5.Variables'!$B$62,+'5.Variables'!$E65,+IF(K$18='5.Variables'!$B$76,+'5.Variables'!$E79,+IF(K$18='5.Variables'!$B$90,+'5.Variables'!$E93,+IF(K$18='5.Variables'!$B$104,+'5.Variables'!$E107,0))))))</f>
        <v>0</v>
      </c>
      <c r="L34" s="599">
        <f>IF(L$18='5.Variables'!$B$16,+'5.Variables'!$E27,+IF(L$18='5.Variables'!$B$39,+'5.Variables'!$E51,+IF(L$18='5.Variables'!$B$62,+'5.Variables'!$E65,+IF(L$18='5.Variables'!$B$76,+'5.Variables'!$E79,+IF(L$18='5.Variables'!$B$90,+'5.Variables'!$E93,+IF(L$18='5.Variables'!$B$104,+'5.Variables'!$E107,0))))))</f>
        <v>31</v>
      </c>
      <c r="M34" s="599">
        <f>IF(M$18='5.Variables'!$B$16,+'5.Variables'!$E27,+IF(M$18='5.Variables'!$B$39,+'5.Variables'!$E51,+IF(M$18='5.Variables'!$B$62,+'5.Variables'!$E65,+IF(M$18='5.Variables'!$B$76,+'5.Variables'!$E79,+IF(M$18='5.Variables'!$B$90,+'5.Variables'!$E93,+IF(M$18='5.Variables'!$B$104,+'5.Variables'!$E107,0))))))</f>
        <v>11.51</v>
      </c>
      <c r="N34" s="599">
        <f>IF(N$18='5.Variables'!$B$16,+'5.Variables'!$E27,+IF(N$18='5.Variables'!$B$39,+'5.Variables'!$E51,+IF(N$18='5.Variables'!$B$62,+'5.Variables'!$E65,+IF(N$18='5.Variables'!$B$76,+'5.Variables'!$E79,+IF(N$18='5.Variables'!$B$90,+'5.Variables'!$E93,+IF(N$18='5.Variables'!$B$104,+'5.Variables'!$E107,0))))))</f>
        <v>0</v>
      </c>
      <c r="O34" s="928">
        <v>0</v>
      </c>
      <c r="P34" s="200"/>
      <c r="Q34" s="469">
        <f t="shared" si="0"/>
        <v>8427075.3455340806</v>
      </c>
      <c r="R34" s="216"/>
      <c r="S34" s="200"/>
      <c r="T34" t="s">
        <v>17</v>
      </c>
      <c r="U34">
        <v>761212.92037936905</v>
      </c>
      <c r="V34">
        <v>813392.53976176819</v>
      </c>
      <c r="W34">
        <v>0.93584940009692996</v>
      </c>
      <c r="X34">
        <v>0.35131180834303699</v>
      </c>
      <c r="Y34">
        <v>-849961.15625840332</v>
      </c>
      <c r="Z34">
        <v>2372386.9970171414</v>
      </c>
      <c r="AA34">
        <v>-849961.15625840332</v>
      </c>
      <c r="AB34">
        <v>2372386.9970171414</v>
      </c>
      <c r="AC34" s="200"/>
      <c r="AD34" s="200"/>
      <c r="AE34" s="200"/>
      <c r="AF34" s="200"/>
      <c r="AG34" s="200"/>
      <c r="AH34" s="200"/>
      <c r="AI34" s="200"/>
      <c r="AJ34" s="200"/>
      <c r="AK34" s="200"/>
      <c r="AL34" s="200"/>
    </row>
    <row r="35" spans="1:38" ht="15">
      <c r="A35" s="435">
        <f t="shared" si="1"/>
        <v>16</v>
      </c>
      <c r="B35" s="871" t="str">
        <f>CONCATENATE('3. Consumption by Rate Class'!B40,"-",'3. Consumption by Rate Class'!C40)</f>
        <v>2014-April</v>
      </c>
      <c r="C35" s="870">
        <v>6965454</v>
      </c>
      <c r="D35" s="934">
        <v>-38688</v>
      </c>
      <c r="E35" s="935">
        <v>-43293</v>
      </c>
      <c r="F35" s="935">
        <v>-52838.5</v>
      </c>
      <c r="G35" s="875"/>
      <c r="H35" s="875"/>
      <c r="I35" s="469">
        <f t="shared" si="2"/>
        <v>6908010.5</v>
      </c>
      <c r="J35" s="599">
        <f>IF(J$18='5.Variables'!$B$16,+'5.Variables'!$F28,+IF(J$18='5.Variables'!$B$39,+'5.Variables'!$F51,+IF(J$18='5.Variables'!$B$62,+'5.Variables'!$F65,+IF(J$18='5.Variables'!$B$76,+'5.Variables'!$F79,+IF(J$18='5.Variables'!$B$90,+'5.Variables'!$F93,+IF(J$18='5.Variables'!$B$104,+'5.Variables'!$F107,0))))))</f>
        <v>384.2</v>
      </c>
      <c r="K35" s="599">
        <f>IF(K$18='5.Variables'!$B$16,+'5.Variables'!$F27,+IF(K$18='5.Variables'!$B$39,+'5.Variables'!$F51,+IF(K$18='5.Variables'!$B$62,+'5.Variables'!$F65,+IF(K$18='5.Variables'!$B$76,+'5.Variables'!$F79,+IF(K$18='5.Variables'!$B$90,+'5.Variables'!$F93,+IF(K$18='5.Variables'!$B$104,+'5.Variables'!$F107,0))))))</f>
        <v>0</v>
      </c>
      <c r="L35" s="599">
        <f>IF(L$18='5.Variables'!$B$16,+'5.Variables'!$F27,+IF(L$18='5.Variables'!$B$39,+'5.Variables'!$F51,+IF(L$18='5.Variables'!$B$62,+'5.Variables'!$F65,+IF(L$18='5.Variables'!$B$76,+'5.Variables'!$F79,+IF(L$18='5.Variables'!$B$90,+'5.Variables'!$F93,+IF(L$18='5.Variables'!$B$104,+'5.Variables'!$F107,0))))))</f>
        <v>30</v>
      </c>
      <c r="M35" s="599">
        <f>IF(M$18='5.Variables'!$B$16,+'5.Variables'!$F27,+IF(M$18='5.Variables'!$B$39,+'5.Variables'!$F51,+IF(M$18='5.Variables'!$B$62,+'5.Variables'!$F65,+IF(M$18='5.Variables'!$B$76,+'5.Variables'!$F79,+IF(M$18='5.Variables'!$B$90,+'5.Variables'!$F93,+IF(M$18='5.Variables'!$B$104,+'5.Variables'!$F107,0))))))</f>
        <v>13.28</v>
      </c>
      <c r="N35" s="599">
        <f>IF(N$18='5.Variables'!$B$16,+'5.Variables'!$F27,+IF(N$18='5.Variables'!$B$39,+'5.Variables'!$F51,+IF(N$18='5.Variables'!$B$62,+'5.Variables'!$F65,+IF(N$18='5.Variables'!$B$76,+'5.Variables'!$F79,+IF(N$18='5.Variables'!$B$90,+'5.Variables'!$F93,+IF(N$18='5.Variables'!$B$104,+'5.Variables'!$F107,0))))))</f>
        <v>0</v>
      </c>
      <c r="O35" s="928">
        <v>0</v>
      </c>
      <c r="P35" s="200"/>
      <c r="Q35" s="469">
        <f t="shared" si="0"/>
        <v>7078119.5042513786</v>
      </c>
      <c r="R35" s="216"/>
      <c r="S35" s="449"/>
      <c r="T35" t="s">
        <v>1</v>
      </c>
      <c r="U35">
        <v>3051.9976103855097</v>
      </c>
      <c r="V35">
        <v>121.93181083548484</v>
      </c>
      <c r="W35">
        <v>25.030364016354881</v>
      </c>
      <c r="X35">
        <v>2.3155421697631229E-48</v>
      </c>
      <c r="Y35">
        <v>2810.4741599821259</v>
      </c>
      <c r="Z35">
        <v>3293.5210607888935</v>
      </c>
      <c r="AA35">
        <v>2810.4741599821259</v>
      </c>
      <c r="AB35">
        <v>3293.5210607888935</v>
      </c>
      <c r="AC35" s="200"/>
      <c r="AD35" s="200"/>
      <c r="AE35" s="200"/>
      <c r="AF35" s="200"/>
      <c r="AG35" s="200"/>
      <c r="AH35" s="200"/>
      <c r="AI35" s="200"/>
      <c r="AJ35" s="200"/>
      <c r="AK35" s="200"/>
      <c r="AL35" s="200"/>
    </row>
    <row r="36" spans="1:38" ht="15">
      <c r="A36" s="435">
        <f t="shared" si="1"/>
        <v>17</v>
      </c>
      <c r="B36" s="871" t="str">
        <f>CONCATENATE('3. Consumption by Rate Class'!B41,"-",'3. Consumption by Rate Class'!C41)</f>
        <v>2014-May</v>
      </c>
      <c r="C36" s="870">
        <v>6623820</v>
      </c>
      <c r="D36" s="934">
        <v>-34071</v>
      </c>
      <c r="E36" s="935">
        <v>-40874</v>
      </c>
      <c r="F36" s="935">
        <v>-47511.16</v>
      </c>
      <c r="G36" s="875"/>
      <c r="H36" s="875"/>
      <c r="I36" s="469">
        <f t="shared" si="2"/>
        <v>6569505.8399999999</v>
      </c>
      <c r="J36" s="599">
        <f>IF(J$18='5.Variables'!$B$16,+'5.Variables'!$G28,+IF(J$18='5.Variables'!$B$39,+'5.Variables'!$G51,+IF(J$18='5.Variables'!$B$62,+'5.Variables'!$G65,+IF(J$18='5.Variables'!$B$76,+'5.Variables'!$G79,+IF(J$18='5.Variables'!$B$90,+'5.Variables'!$G93,+IF(J$18='5.Variables'!$B$104,+'5.Variables'!$G107,0))))))</f>
        <v>127.3</v>
      </c>
      <c r="K36" s="599">
        <f>IF(K$18='5.Variables'!$B$16,+'5.Variables'!$G27,+IF(K$18='5.Variables'!$B$39,+'5.Variables'!$G51,+IF(K$18='5.Variables'!$B$62,+'5.Variables'!$G65,+IF(K$18='5.Variables'!$B$76,+'5.Variables'!$G79,+IF(K$18='5.Variables'!$B$90,+'5.Variables'!$G93,+IF(K$18='5.Variables'!$B$104,+'5.Variables'!$G107,0))))))</f>
        <v>8.8000000000000007</v>
      </c>
      <c r="L36" s="599">
        <f>IF(L$18='5.Variables'!$B$16,+'5.Variables'!$G27,+IF(L$18='5.Variables'!$B$39,+'5.Variables'!$G51,+IF(L$18='5.Variables'!$B$62,+'5.Variables'!$G65,+IF(L$18='5.Variables'!$B$76,+'5.Variables'!$G79,+IF(L$18='5.Variables'!$B$90,+'5.Variables'!$G93,+IF(L$18='5.Variables'!$B$104,+'5.Variables'!$G107,0))))))</f>
        <v>31</v>
      </c>
      <c r="M36" s="599">
        <f>IF(M$18='5.Variables'!$B$16,+'5.Variables'!$G27,+IF(M$18='5.Variables'!$B$39,+'5.Variables'!$G51,+IF(M$18='5.Variables'!$B$62,+'5.Variables'!$G65,+IF(M$18='5.Variables'!$B$76,+'5.Variables'!$G79,+IF(M$18='5.Variables'!$B$90,+'5.Variables'!$G93,+IF(M$18='5.Variables'!$B$104,+'5.Variables'!$G107,0))))))</f>
        <v>14.52</v>
      </c>
      <c r="N36" s="599">
        <f>IF(N$18='5.Variables'!$B$16,+'5.Variables'!$G27,+IF(N$18='5.Variables'!$B$39,+'5.Variables'!$G51,+IF(N$18='5.Variables'!$B$62,+'5.Variables'!$G65,+IF(N$18='5.Variables'!$B$76,+'5.Variables'!$G79,+IF(N$18='5.Variables'!$B$90,+'5.Variables'!$G93,+IF(N$18='5.Variables'!$B$104,+'5.Variables'!$G107,0))))))</f>
        <v>0</v>
      </c>
      <c r="O36" s="928">
        <v>0</v>
      </c>
      <c r="P36" s="200"/>
      <c r="Q36" s="469">
        <f t="shared" si="0"/>
        <v>6613796.1063563954</v>
      </c>
      <c r="R36" s="216"/>
      <c r="S36" s="449"/>
      <c r="T36" t="s">
        <v>2</v>
      </c>
      <c r="U36">
        <v>15148.452268096918</v>
      </c>
      <c r="V36">
        <v>704.78329126522851</v>
      </c>
      <c r="W36">
        <v>21.49377327164267</v>
      </c>
      <c r="X36">
        <v>4.378037238921298E-42</v>
      </c>
      <c r="Y36">
        <v>13752.412209914721</v>
      </c>
      <c r="Z36">
        <v>16544.492326279116</v>
      </c>
      <c r="AA36">
        <v>13752.412209914721</v>
      </c>
      <c r="AB36">
        <v>16544.492326279116</v>
      </c>
      <c r="AC36" s="200"/>
      <c r="AD36" s="200"/>
      <c r="AE36" s="200"/>
      <c r="AF36" s="200"/>
      <c r="AG36" s="200"/>
      <c r="AH36" s="200"/>
      <c r="AI36" s="200"/>
      <c r="AJ36" s="200"/>
      <c r="AK36" s="200"/>
      <c r="AL36" s="200"/>
    </row>
    <row r="37" spans="1:38" ht="15">
      <c r="A37" s="435">
        <f t="shared" si="1"/>
        <v>18</v>
      </c>
      <c r="B37" s="871" t="str">
        <f>CONCATENATE('3. Consumption by Rate Class'!B42,"-",'3. Consumption by Rate Class'!C42)</f>
        <v>2014-June</v>
      </c>
      <c r="C37" s="870">
        <v>6925619</v>
      </c>
      <c r="D37" s="934">
        <v>-26918</v>
      </c>
      <c r="E37" s="935">
        <v>-46209</v>
      </c>
      <c r="F37" s="935">
        <v>-41932.28</v>
      </c>
      <c r="G37" s="875"/>
      <c r="H37" s="875"/>
      <c r="I37" s="469">
        <f t="shared" si="2"/>
        <v>6864395.7199999997</v>
      </c>
      <c r="J37" s="599">
        <f>IF(J$18='5.Variables'!$B$16,+'5.Variables'!$H28,+IF(J$18='5.Variables'!$B$39,+'5.Variables'!$H51,+IF(J$18='5.Variables'!$B$62,+'5.Variables'!$H65,+IF(J$18='5.Variables'!$B$76,+'5.Variables'!$H79,+IF(J$18='5.Variables'!$B$90,+'5.Variables'!$H93,+IF(J$18='5.Variables'!$B$104,+'5.Variables'!$H107,0))))))</f>
        <v>20.3</v>
      </c>
      <c r="K37" s="599">
        <f>IF(K$18='5.Variables'!$B$16,+'5.Variables'!$H27,+IF(K$18='5.Variables'!$B$39,+'5.Variables'!$H51,+IF(K$18='5.Variables'!$B$62,+'5.Variables'!$H65,+IF(K$18='5.Variables'!$B$76,+'5.Variables'!$H79,+IF(K$18='5.Variables'!$B$90,+'5.Variables'!$H93,+IF(K$18='5.Variables'!$B$104,+'5.Variables'!$H107,0))))))</f>
        <v>54.9</v>
      </c>
      <c r="L37" s="599">
        <f>IF(L$18='5.Variables'!$B$16,+'5.Variables'!$H27,+IF(L$18='5.Variables'!$B$39,+'5.Variables'!$H51,+IF(L$18='5.Variables'!$B$62,+'5.Variables'!$H65,+IF(L$18='5.Variables'!$B$76,+'5.Variables'!$H79,+IF(L$18='5.Variables'!$B$90,+'5.Variables'!$H93,+IF(L$18='5.Variables'!$B$104,+'5.Variables'!$H107,0))))))</f>
        <v>30</v>
      </c>
      <c r="M37" s="599">
        <f>IF(M$18='5.Variables'!$B$16,+'5.Variables'!$H27,+IF(M$18='5.Variables'!$B$39,+'5.Variables'!$H51,+IF(M$18='5.Variables'!$B$62,+'5.Variables'!$H65,+IF(M$18='5.Variables'!$B$76,+'5.Variables'!$H79,+IF(M$18='5.Variables'!$B$90,+'5.Variables'!$H93,+IF(M$18='5.Variables'!$B$104,+'5.Variables'!$H107,0))))))</f>
        <v>15.35</v>
      </c>
      <c r="N37" s="599">
        <f>IF(N$18='5.Variables'!$B$16,+'5.Variables'!$H27,+IF(N$18='5.Variables'!$B$39,+'5.Variables'!$H51,+IF(N$18='5.Variables'!$B$62,+'5.Variables'!$H65,+IF(N$18='5.Variables'!$B$76,+'5.Variables'!$H79,+IF(N$18='5.Variables'!$B$90,+'5.Variables'!$H93,+IF(N$18='5.Variables'!$B$104,+'5.Variables'!$H107,0))))))</f>
        <v>0</v>
      </c>
      <c r="O37" s="928">
        <v>0</v>
      </c>
      <c r="P37" s="200"/>
      <c r="Q37" s="469">
        <f t="shared" si="0"/>
        <v>6837962.1063397415</v>
      </c>
      <c r="R37" s="216"/>
      <c r="S37" s="449"/>
      <c r="T37" t="s">
        <v>236</v>
      </c>
      <c r="U37">
        <v>163177.20839557948</v>
      </c>
      <c r="V37">
        <v>24853.65321821611</v>
      </c>
      <c r="W37">
        <v>6.5655220567727728</v>
      </c>
      <c r="X37">
        <v>1.5632672322060005E-9</v>
      </c>
      <c r="Y37">
        <v>113946.90467695554</v>
      </c>
      <c r="Z37">
        <v>212407.51211420342</v>
      </c>
      <c r="AA37">
        <v>113946.90467695554</v>
      </c>
      <c r="AB37">
        <v>212407.51211420342</v>
      </c>
      <c r="AC37" s="200"/>
      <c r="AD37" s="200"/>
      <c r="AE37" s="200"/>
      <c r="AF37" s="200"/>
      <c r="AG37" s="200"/>
      <c r="AH37" s="200"/>
      <c r="AI37" s="200"/>
      <c r="AJ37" s="200"/>
      <c r="AK37" s="200"/>
      <c r="AL37" s="200"/>
    </row>
    <row r="38" spans="1:38" ht="15.75" thickBot="1">
      <c r="A38" s="435">
        <f t="shared" si="1"/>
        <v>19</v>
      </c>
      <c r="B38" s="871" t="str">
        <f>CONCATENATE('3. Consumption by Rate Class'!B43,"-",'3. Consumption by Rate Class'!C43)</f>
        <v>2014-July</v>
      </c>
      <c r="C38" s="870">
        <v>7189425</v>
      </c>
      <c r="D38" s="934">
        <v>-22187</v>
      </c>
      <c r="E38" s="935">
        <v>-40841</v>
      </c>
      <c r="F38" s="935">
        <v>-45836.020000000004</v>
      </c>
      <c r="G38" s="875"/>
      <c r="H38" s="875"/>
      <c r="I38" s="469">
        <f t="shared" si="2"/>
        <v>7124934.9800000004</v>
      </c>
      <c r="J38" s="599">
        <f>IF(J$18='5.Variables'!$B$16,+'5.Variables'!$I28,+IF(J$18='5.Variables'!$B$39,+'5.Variables'!$I51,+IF(J$18='5.Variables'!$B$62,+'5.Variables'!$I65,+IF(J$18='5.Variables'!$B$76,+'5.Variables'!$I79,+IF(J$18='5.Variables'!$B$90,+'5.Variables'!$I93,+IF(J$18='5.Variables'!$B$104,+'5.Variables'!$I107,0))))))</f>
        <v>8.8000000000000007</v>
      </c>
      <c r="K38" s="599">
        <f>IF(K$18='5.Variables'!$B$16,+'5.Variables'!$I27,+IF(K$18='5.Variables'!$B$39,+'5.Variables'!$I51,+IF(K$18='5.Variables'!$B$62,+'5.Variables'!$I65,+IF(K$18='5.Variables'!$B$76,+'5.Variables'!$I79,+IF(K$18='5.Variables'!$B$90,+'5.Variables'!$I93,+IF(K$18='5.Variables'!$B$104,+'5.Variables'!$I107,0))))))</f>
        <v>62.800000000000011</v>
      </c>
      <c r="L38" s="599">
        <f>IF(L$18='5.Variables'!$B$16,+'5.Variables'!$I27,+IF(L$18='5.Variables'!$B$39,+'5.Variables'!$I51,+IF(L$18='5.Variables'!$B$62,+'5.Variables'!$I65,+IF(L$18='5.Variables'!$B$76,+'5.Variables'!$I79,+IF(L$18='5.Variables'!$B$90,+'5.Variables'!$I93,+IF(L$18='5.Variables'!$B$104,+'5.Variables'!$I107,0))))))</f>
        <v>31</v>
      </c>
      <c r="M38" s="599">
        <f>IF(M$18='5.Variables'!$B$16,+'5.Variables'!$I27,+IF(M$18='5.Variables'!$B$39,+'5.Variables'!$I51,+IF(M$18='5.Variables'!$B$62,+'5.Variables'!$I65,+IF(M$18='5.Variables'!$B$76,+'5.Variables'!$I79,+IF(M$18='5.Variables'!$B$90,+'5.Variables'!$I93,+IF(M$18='5.Variables'!$B$104,+'5.Variables'!$I107,0))))))</f>
        <v>15.15</v>
      </c>
      <c r="N38" s="599">
        <f>IF(N$18='5.Variables'!$B$16,+'5.Variables'!$I27,+IF(N$18='5.Variables'!$B$39,+'5.Variables'!$I51,+IF(N$18='5.Variables'!$B$62,+'5.Variables'!$I65,+IF(N$18='5.Variables'!$B$76,+'5.Variables'!$I79,+IF(N$18='5.Variables'!$B$90,+'5.Variables'!$I93,+IF(N$18='5.Variables'!$B$104,+'5.Variables'!$I107,0))))))</f>
        <v>0</v>
      </c>
      <c r="O38" s="928">
        <v>0</v>
      </c>
      <c r="P38" s="200"/>
      <c r="Q38" s="469">
        <f t="shared" si="0"/>
        <v>7081963.9216083335</v>
      </c>
      <c r="R38" s="216"/>
      <c r="S38" s="449"/>
      <c r="T38" s="930" t="s">
        <v>328</v>
      </c>
      <c r="U38" s="466">
        <v>18750.967627598806</v>
      </c>
      <c r="V38" s="466">
        <v>15711.974651839952</v>
      </c>
      <c r="W38" s="466">
        <v>1.1934189077502726</v>
      </c>
      <c r="X38" s="466">
        <v>0.23516154702065858</v>
      </c>
      <c r="Y38" s="466">
        <v>-12371.430248399254</v>
      </c>
      <c r="Z38" s="466">
        <v>49873.36550359687</v>
      </c>
      <c r="AA38" s="466">
        <v>-12371.430248399254</v>
      </c>
      <c r="AB38" s="466">
        <v>49873.36550359687</v>
      </c>
      <c r="AC38" s="200"/>
      <c r="AD38" s="200"/>
      <c r="AE38" s="200"/>
      <c r="AF38" s="200"/>
      <c r="AG38" s="200"/>
      <c r="AH38" s="200"/>
      <c r="AI38" s="200"/>
      <c r="AJ38" s="200"/>
      <c r="AK38" s="200"/>
      <c r="AL38" s="200"/>
    </row>
    <row r="39" spans="1:38" ht="15">
      <c r="A39" s="435">
        <f t="shared" si="1"/>
        <v>20</v>
      </c>
      <c r="B39" s="871" t="str">
        <f>CONCATENATE('3. Consumption by Rate Class'!B44,"-",'3. Consumption by Rate Class'!C44)</f>
        <v>2014-August</v>
      </c>
      <c r="C39" s="870">
        <v>7010898</v>
      </c>
      <c r="D39" s="934">
        <v>-16168</v>
      </c>
      <c r="E39" s="935">
        <v>-38487</v>
      </c>
      <c r="F39" s="935">
        <v>-52437.47</v>
      </c>
      <c r="G39" s="875"/>
      <c r="H39" s="875"/>
      <c r="I39" s="469">
        <f t="shared" si="2"/>
        <v>6936141.5300000003</v>
      </c>
      <c r="J39" s="599">
        <f>IF(J$18='5.Variables'!$B$16,+'5.Variables'!$J28,+IF(J$18='5.Variables'!$B$39,+'5.Variables'!$J51,+IF(J$18='5.Variables'!$B$62,+'5.Variables'!$J65,+IF(J$18='5.Variables'!$B$76,+'5.Variables'!$J79,+IF(J$18='5.Variables'!$B$90,+'5.Variables'!$J93,+IF(J$18='5.Variables'!$B$104,+'5.Variables'!$J107,0))))))</f>
        <v>21.4</v>
      </c>
      <c r="K39" s="599">
        <f>IF(K$18='5.Variables'!$B$16,+'5.Variables'!$J27,+IF(K$18='5.Variables'!$B$39,+'5.Variables'!$J51,+IF(K$18='5.Variables'!$B$62,+'5.Variables'!$J65,+IF(K$18='5.Variables'!$B$76,+'5.Variables'!$J79,+IF(K$18='5.Variables'!$B$90,+'5.Variables'!$J93,+IF(K$18='5.Variables'!$B$104,+'5.Variables'!$J107,0))))))</f>
        <v>55.800000000000004</v>
      </c>
      <c r="L39" s="599">
        <f>IF(L$18='5.Variables'!$B$16,+'5.Variables'!$J27,+IF(L$18='5.Variables'!$B$39,+'5.Variables'!$J51,+IF(L$18='5.Variables'!$B$62,+'5.Variables'!$J65,+IF(L$18='5.Variables'!$B$76,+'5.Variables'!$J79,+IF(L$18='5.Variables'!$B$90,+'5.Variables'!$J93,+IF(L$18='5.Variables'!$B$104,+'5.Variables'!$J107,0))))))</f>
        <v>31</v>
      </c>
      <c r="M39" s="599">
        <f>IF(M$18='5.Variables'!$B$16,+'5.Variables'!$J27,+IF(M$18='5.Variables'!$B$39,+'5.Variables'!$J51,+IF(M$18='5.Variables'!$B$62,+'5.Variables'!$J65,+IF(M$18='5.Variables'!$B$76,+'5.Variables'!$J79,+IF(M$18='5.Variables'!$B$90,+'5.Variables'!$J93,+IF(M$18='5.Variables'!$B$104,+'5.Variables'!$J107,0))))))</f>
        <v>14.03</v>
      </c>
      <c r="N39" s="599">
        <f>IF(N$18='5.Variables'!$B$16,+'5.Variables'!$J27,+IF(N$18='5.Variables'!$B$39,+'5.Variables'!$J51,+IF(N$18='5.Variables'!$B$62,+'5.Variables'!$J65,+IF(N$18='5.Variables'!$B$76,+'5.Variables'!$J79,+IF(N$18='5.Variables'!$B$90,+'5.Variables'!$J93,+IF(N$18='5.Variables'!$B$104,+'5.Variables'!$J107,0))))))</f>
        <v>0</v>
      </c>
      <c r="O39" s="928">
        <v>0</v>
      </c>
      <c r="P39" s="200"/>
      <c r="Q39" s="469">
        <f t="shared" si="0"/>
        <v>6993378.8418796016</v>
      </c>
      <c r="R39" s="216"/>
      <c r="S39" s="449"/>
      <c r="T39"/>
      <c r="U39"/>
      <c r="V39"/>
      <c r="W39"/>
      <c r="X39"/>
      <c r="Y39"/>
      <c r="Z39"/>
      <c r="AA39"/>
      <c r="AB39"/>
      <c r="AC39" s="200"/>
      <c r="AD39" s="200"/>
      <c r="AE39" s="200"/>
      <c r="AF39" s="200"/>
      <c r="AG39" s="200"/>
      <c r="AH39" s="200"/>
      <c r="AI39" s="200"/>
      <c r="AJ39" s="200"/>
      <c r="AK39" s="200"/>
      <c r="AL39" s="200"/>
    </row>
    <row r="40" spans="1:38" ht="15">
      <c r="A40" s="435">
        <f t="shared" si="1"/>
        <v>21</v>
      </c>
      <c r="B40" s="871" t="str">
        <f>CONCATENATE('3. Consumption by Rate Class'!B45,"-",'3. Consumption by Rate Class'!C45)</f>
        <v>2014-September</v>
      </c>
      <c r="C40" s="870">
        <v>6707937</v>
      </c>
      <c r="D40" s="934">
        <v>-9545</v>
      </c>
      <c r="E40" s="935">
        <v>-32856</v>
      </c>
      <c r="F40" s="935">
        <v>-58560.43</v>
      </c>
      <c r="G40" s="875"/>
      <c r="H40" s="875"/>
      <c r="I40" s="469">
        <f t="shared" si="2"/>
        <v>6626065.5700000003</v>
      </c>
      <c r="J40" s="599">
        <f>IF(J$18='5.Variables'!$B$16,+'5.Variables'!$K28,+IF(J$18='5.Variables'!$B$39,+'5.Variables'!$K51,+IF(J$18='5.Variables'!$B$62,+'5.Variables'!$K65,+IF(J$18='5.Variables'!$B$76,+'5.Variables'!$K79,+IF(J$18='5.Variables'!$B$90,+'5.Variables'!$K93,+IF(J$18='5.Variables'!$B$104,+'5.Variables'!$K107,0))))))</f>
        <v>110.3</v>
      </c>
      <c r="K40" s="599">
        <f>IF(K$18='5.Variables'!$B$16,+'5.Variables'!$K27,+IF(K$18='5.Variables'!$B$39,+'5.Variables'!$K51,+IF(K$18='5.Variables'!$B$62,+'5.Variables'!$K65,+IF(K$18='5.Variables'!$B$76,+'5.Variables'!$K79,+IF(K$18='5.Variables'!$B$90,+'5.Variables'!$K93,+IF(K$18='5.Variables'!$B$104,+'5.Variables'!$K107,0))))))</f>
        <v>21.600000000000005</v>
      </c>
      <c r="L40" s="599">
        <f>IF(L$18='5.Variables'!$B$16,+'5.Variables'!$K27,+IF(L$18='5.Variables'!$B$39,+'5.Variables'!$K51,+IF(L$18='5.Variables'!$B$62,+'5.Variables'!$K65,+IF(L$18='5.Variables'!$B$76,+'5.Variables'!$K79,+IF(L$18='5.Variables'!$B$90,+'5.Variables'!$K93,+IF(L$18='5.Variables'!$B$104,+'5.Variables'!$K107,0))))))</f>
        <v>30</v>
      </c>
      <c r="M40" s="599">
        <f>IF(M$18='5.Variables'!$B$16,+'5.Variables'!$K27,+IF(M$18='5.Variables'!$B$39,+'5.Variables'!$K51,+IF(M$18='5.Variables'!$B$62,+'5.Variables'!$K65,+IF(M$18='5.Variables'!$B$76,+'5.Variables'!$K79,+IF(M$18='5.Variables'!$B$90,+'5.Variables'!$K93,+IF(M$18='5.Variables'!$B$104,+'5.Variables'!$K107,0))))))</f>
        <v>12.29</v>
      </c>
      <c r="N40" s="599">
        <f>IF(N$18='5.Variables'!$B$16,+'5.Variables'!$K27,+IF(N$18='5.Variables'!$B$39,+'5.Variables'!$K51,+IF(N$18='5.Variables'!$B$62,+'5.Variables'!$K65,+IF(N$18='5.Variables'!$B$76,+'5.Variables'!$K79,+IF(N$18='5.Variables'!$B$90,+'5.Variables'!$K93,+IF(N$18='5.Variables'!$B$104,+'5.Variables'!$K107,0))))))</f>
        <v>0</v>
      </c>
      <c r="O40" s="928">
        <v>0</v>
      </c>
      <c r="P40" s="200"/>
      <c r="Q40" s="469">
        <f t="shared" si="0"/>
        <v>6550820.4698063573</v>
      </c>
      <c r="R40" s="216"/>
      <c r="S40" s="449"/>
      <c r="T40" s="446"/>
      <c r="X40"/>
      <c r="Y40"/>
      <c r="Z40"/>
      <c r="AA40"/>
      <c r="AB40"/>
      <c r="AC40" s="200"/>
      <c r="AD40" s="200"/>
      <c r="AE40" s="200"/>
      <c r="AF40" s="200"/>
      <c r="AG40" s="200"/>
      <c r="AH40" s="200"/>
      <c r="AI40" s="200"/>
      <c r="AJ40" s="200"/>
      <c r="AK40" s="200"/>
      <c r="AL40" s="200"/>
    </row>
    <row r="41" spans="1:38">
      <c r="A41" s="435">
        <f t="shared" si="1"/>
        <v>22</v>
      </c>
      <c r="B41" s="871" t="str">
        <f>CONCATENATE('3. Consumption by Rate Class'!B46,"-",'3. Consumption by Rate Class'!C46)</f>
        <v>2014-October</v>
      </c>
      <c r="C41" s="870">
        <v>6979096</v>
      </c>
      <c r="D41" s="934">
        <v>0</v>
      </c>
      <c r="E41" s="935">
        <v>-33960</v>
      </c>
      <c r="F41" s="935">
        <v>-69149.34</v>
      </c>
      <c r="G41" s="875"/>
      <c r="H41" s="875"/>
      <c r="I41" s="469">
        <f t="shared" si="2"/>
        <v>6875986.6600000001</v>
      </c>
      <c r="J41" s="599">
        <f>IF(J$18='5.Variables'!$B$16,+'5.Variables'!$L28,+IF(J$18='5.Variables'!$B$39,+'5.Variables'!$L51,+IF(J$18='5.Variables'!$B$62,+'5.Variables'!$L65,+IF(J$18='5.Variables'!$B$76,+'5.Variables'!$L79,+IF(J$18='5.Variables'!$B$90,+'5.Variables'!$L93,+IF(J$18='5.Variables'!$B$104,+'5.Variables'!$L107,0))))))</f>
        <v>257.89999999999998</v>
      </c>
      <c r="K41" s="599">
        <f>IF(K$18='5.Variables'!$B$16,+'5.Variables'!$L27,+IF(K$18='5.Variables'!$B$39,+'5.Variables'!$L51,+IF(K$18='5.Variables'!$B$62,+'5.Variables'!$L65,+IF(K$18='5.Variables'!$B$76,+'5.Variables'!$L79,+IF(K$18='5.Variables'!$B$90,+'5.Variables'!$L93,+IF(K$18='5.Variables'!$B$104,+'5.Variables'!$L107,0))))))</f>
        <v>3.1</v>
      </c>
      <c r="L41" s="599">
        <f>IF(L$18='5.Variables'!$B$16,+'5.Variables'!$L27,+IF(L$18='5.Variables'!$B$39,+'5.Variables'!$L51,+IF(L$18='5.Variables'!$B$62,+'5.Variables'!$L65,+IF(L$18='5.Variables'!$B$76,+'5.Variables'!$L79,+IF(L$18='5.Variables'!$B$90,+'5.Variables'!$L93,+IF(L$18='5.Variables'!$B$104,+'5.Variables'!$L107,0))))))</f>
        <v>31</v>
      </c>
      <c r="M41" s="599">
        <f>IF(M$18='5.Variables'!$B$16,+'5.Variables'!$L27,+IF(M$18='5.Variables'!$B$39,+'5.Variables'!$L51,+IF(M$18='5.Variables'!$B$62,+'5.Variables'!$L65,+IF(M$18='5.Variables'!$B$76,+'5.Variables'!$L79,+IF(M$18='5.Variables'!$B$90,+'5.Variables'!$L93,+IF(M$18='5.Variables'!$B$104,+'5.Variables'!$L107,0))))))</f>
        <v>10.51</v>
      </c>
      <c r="N41" s="599">
        <f>IF(N$18='5.Variables'!$B$16,+'5.Variables'!$L27,+IF(N$18='5.Variables'!$B$39,+'5.Variables'!$L51,+IF(N$18='5.Variables'!$B$62,+'5.Variables'!$L65,+IF(N$18='5.Variables'!$B$76,+'5.Variables'!$L79,+IF(N$18='5.Variables'!$B$90,+'5.Variables'!$L93,+IF(N$18='5.Variables'!$B$104,+'5.Variables'!$L107,0))))))</f>
        <v>0</v>
      </c>
      <c r="O41" s="928">
        <v>0</v>
      </c>
      <c r="P41" s="200"/>
      <c r="Q41" s="469">
        <f t="shared" si="0"/>
        <v>6850849.4361579195</v>
      </c>
      <c r="R41" s="216"/>
      <c r="S41" s="200"/>
      <c r="AC41" s="200"/>
      <c r="AD41" s="200"/>
      <c r="AE41" s="200"/>
      <c r="AF41" s="200"/>
      <c r="AG41" s="200"/>
      <c r="AH41" s="200"/>
      <c r="AI41" s="200"/>
      <c r="AJ41" s="200"/>
      <c r="AK41" s="200"/>
      <c r="AL41" s="200"/>
    </row>
    <row r="42" spans="1:38">
      <c r="A42" s="435">
        <f t="shared" si="1"/>
        <v>23</v>
      </c>
      <c r="B42" s="871" t="str">
        <f>CONCATENATE('3. Consumption by Rate Class'!B47,"-",'3. Consumption by Rate Class'!C47)</f>
        <v>2014-November</v>
      </c>
      <c r="C42" s="883">
        <v>7414780</v>
      </c>
      <c r="D42" s="932">
        <v>0</v>
      </c>
      <c r="E42" s="469">
        <v>-31831</v>
      </c>
      <c r="F42" s="935">
        <v>-74082.78</v>
      </c>
      <c r="G42" s="875"/>
      <c r="H42" s="875"/>
      <c r="I42" s="469">
        <f t="shared" si="2"/>
        <v>7308866.2199999997</v>
      </c>
      <c r="J42" s="599">
        <f>IF(J$18='5.Variables'!$B$16,+'5.Variables'!$M28,+IF(J$18='5.Variables'!$B$39,+'5.Variables'!$M51,+IF(J$18='5.Variables'!$B$62,+'5.Variables'!$M65,+IF(J$18='5.Variables'!$B$76,+'5.Variables'!$M79,+IF(J$18='5.Variables'!$B$90,+'5.Variables'!$M93,+IF(J$18='5.Variables'!$B$104,+'5.Variables'!$M107,0))))))</f>
        <v>510.6</v>
      </c>
      <c r="K42" s="599">
        <f>IF(K$18='5.Variables'!$B$16,+'5.Variables'!$M27,+IF(K$18='5.Variables'!$B$39,+'5.Variables'!$M51,+IF(K$18='5.Variables'!$B$62,+'5.Variables'!$M65,+IF(K$18='5.Variables'!$B$76,+'5.Variables'!$M79,+IF(K$18='5.Variables'!$B$90,+'5.Variables'!$M93,+IF(K$18='5.Variables'!$B$104,+'5.Variables'!$M107,0))))))</f>
        <v>0</v>
      </c>
      <c r="L42" s="599">
        <f>IF(L$18='5.Variables'!$B$16,+'5.Variables'!$M27,+IF(L$18='5.Variables'!$B$39,+'5.Variables'!$M51,+IF(L$18='5.Variables'!$B$62,+'5.Variables'!$M65,+IF(L$18='5.Variables'!$B$76,+'5.Variables'!$M79,+IF(L$18='5.Variables'!$B$90,+'5.Variables'!$M93,+IF(L$18='5.Variables'!$B$104,+'5.Variables'!$M107,0))))))</f>
        <v>30</v>
      </c>
      <c r="M42" s="599">
        <f>IF(M$18='5.Variables'!$B$16,+'5.Variables'!$M27,+IF(M$18='5.Variables'!$B$39,+'5.Variables'!$M51,+IF(M$18='5.Variables'!$B$62,+'5.Variables'!$M65,+IF(M$18='5.Variables'!$B$76,+'5.Variables'!$M79,+IF(M$18='5.Variables'!$B$90,+'5.Variables'!$M93,+IF(M$18='5.Variables'!$B$104,+'5.Variables'!$M107,0))))))</f>
        <v>9.2799999999999994</v>
      </c>
      <c r="N42" s="599">
        <f>IF(N$18='5.Variables'!$B$16,+'5.Variables'!$M27,+IF(N$18='5.Variables'!$B$39,+'5.Variables'!$M51,+IF(N$18='5.Variables'!$B$62,+'5.Variables'!$M65,+IF(N$18='5.Variables'!$B$76,+'5.Variables'!$M79,+IF(N$18='5.Variables'!$B$90,+'5.Variables'!$M93,+IF(N$18='5.Variables'!$B$104,+'5.Variables'!$M107,0))))))</f>
        <v>0</v>
      </c>
      <c r="O42" s="928">
        <v>0</v>
      </c>
      <c r="P42" s="200"/>
      <c r="Q42" s="469">
        <f t="shared" si="0"/>
        <v>7388888.1316937115</v>
      </c>
      <c r="R42" s="216"/>
      <c r="S42" s="200"/>
      <c r="U42"/>
      <c r="V42"/>
      <c r="W42"/>
      <c r="X42"/>
      <c r="Y42"/>
      <c r="Z42"/>
      <c r="AA42"/>
      <c r="AB42"/>
      <c r="AC42" s="200"/>
      <c r="AD42" s="200"/>
      <c r="AE42" s="200"/>
      <c r="AF42" s="200"/>
      <c r="AG42" s="200"/>
      <c r="AH42" s="200"/>
      <c r="AI42" s="200"/>
      <c r="AJ42" s="200"/>
      <c r="AK42" s="200"/>
      <c r="AL42" s="200"/>
    </row>
    <row r="43" spans="1:38" ht="13.5" customHeight="1">
      <c r="A43" s="435">
        <f t="shared" si="1"/>
        <v>24</v>
      </c>
      <c r="B43" s="451" t="str">
        <f>CONCATENATE('3. Consumption by Rate Class'!B48,"-",'3. Consumption by Rate Class'!C48)</f>
        <v>2014-December</v>
      </c>
      <c r="C43" s="584">
        <v>8362346</v>
      </c>
      <c r="D43" s="937">
        <v>0</v>
      </c>
      <c r="E43" s="938">
        <v>-30674</v>
      </c>
      <c r="F43" s="939">
        <v>-80080.97</v>
      </c>
      <c r="G43" s="880"/>
      <c r="H43" s="880"/>
      <c r="I43" s="881">
        <f t="shared" si="2"/>
        <v>8251591.0300000003</v>
      </c>
      <c r="J43" s="599">
        <f>IF(J$18='5.Variables'!$B$16,+'5.Variables'!$N28,+IF(J$18='5.Variables'!$B$39,+'5.Variables'!$N51,+IF(J$18='5.Variables'!$B$62,+'5.Variables'!$N65,+IF(J$18='5.Variables'!$B$76,+'5.Variables'!$N79,+IF(J$18='5.Variables'!$B$90,+'5.Variables'!$N93,+IF(J$18='5.Variables'!$B$104,+'5.Variables'!$N107,0))))))</f>
        <v>696.4</v>
      </c>
      <c r="K43" s="599">
        <f>IF(K$18='5.Variables'!$B$16,+'5.Variables'!$N27,+IF(K$18='5.Variables'!$B$39,+'5.Variables'!$N51,+IF(K$18='5.Variables'!$B$62,+'5.Variables'!$N65,+IF(K$18='5.Variables'!$B$76,+'5.Variables'!$N79,+IF(K$18='5.Variables'!$B$90,+'5.Variables'!$N93,+IF(K$18='5.Variables'!$B$104,+'5.Variables'!$N107,0))))))</f>
        <v>0</v>
      </c>
      <c r="L43" s="599">
        <f>IF(L$18='5.Variables'!$B$16,+'5.Variables'!$N27,+IF(L$18='5.Variables'!$B$39,+'5.Variables'!$N51,+IF(L$18='5.Variables'!$B$62,+'5.Variables'!$N65,+IF(L$18='5.Variables'!$B$76,+'5.Variables'!$N79,+IF(L$18='5.Variables'!$B$90,+'5.Variables'!$N93,+IF(L$18='5.Variables'!$B$104,+'5.Variables'!$N107,0))))))</f>
        <v>31</v>
      </c>
      <c r="M43" s="599">
        <f>IF(M$18='5.Variables'!$B$16,+'5.Variables'!$N27,+IF(M$18='5.Variables'!$B$39,+'5.Variables'!$N51,+IF(M$18='5.Variables'!$B$62,+'5.Variables'!$N65,+IF(M$18='5.Variables'!$B$76,+'5.Variables'!$N79,+IF(M$18='5.Variables'!$B$90,+'5.Variables'!$N93,+IF(M$18='5.Variables'!$B$104,+'5.Variables'!$N107,0))))))</f>
        <v>8.4700000000000006</v>
      </c>
      <c r="N43" s="599">
        <f>IF(N$18='5.Variables'!$B$16,+'5.Variables'!$N27,+IF(N$18='5.Variables'!$B$39,+'5.Variables'!$N51,+IF(N$18='5.Variables'!$B$62,+'5.Variables'!$N65,+IF(N$18='5.Variables'!$B$76,+'5.Variables'!$N79,+IF(N$18='5.Variables'!$B$90,+'5.Variables'!$N93,+IF(N$18='5.Variables'!$B$104,+'5.Variables'!$N107,0))))))</f>
        <v>0</v>
      </c>
      <c r="O43" s="928">
        <v>0</v>
      </c>
      <c r="P43" s="200"/>
      <c r="Q43" s="469">
        <f t="shared" si="0"/>
        <v>8103938.2123205634</v>
      </c>
      <c r="R43" s="216">
        <f>SUM(Q32:Q43)</f>
        <v>88661685.778080925</v>
      </c>
      <c r="S43" s="200"/>
      <c r="T43"/>
      <c r="U43"/>
      <c r="V43"/>
      <c r="W43"/>
      <c r="X43"/>
      <c r="Y43"/>
      <c r="Z43"/>
      <c r="AA43"/>
      <c r="AB43"/>
      <c r="AC43" s="200"/>
      <c r="AD43" s="200"/>
      <c r="AE43" s="200"/>
      <c r="AF43" s="200"/>
      <c r="AG43" s="200"/>
      <c r="AH43" s="200"/>
      <c r="AI43" s="200"/>
      <c r="AJ43" s="200"/>
      <c r="AK43" s="200"/>
      <c r="AL43" s="200"/>
    </row>
    <row r="44" spans="1:38">
      <c r="A44" s="435">
        <f t="shared" si="1"/>
        <v>25</v>
      </c>
      <c r="B44" s="871" t="str">
        <f>CONCATENATE('3. Consumption by Rate Class'!B49,"-",'3. Consumption by Rate Class'!C49)</f>
        <v>2015-January</v>
      </c>
      <c r="C44" s="870">
        <v>9446128</v>
      </c>
      <c r="D44" s="934">
        <v>0</v>
      </c>
      <c r="E44" s="935">
        <v>-34207</v>
      </c>
      <c r="F44" s="935">
        <v>-78165.42</v>
      </c>
      <c r="G44" s="875"/>
      <c r="H44" s="875"/>
      <c r="I44" s="469">
        <f t="shared" si="2"/>
        <v>9333755.5800000001</v>
      </c>
      <c r="J44" s="599">
        <f>IF(J$18='5.Variables'!$B$16,+'5.Variables'!$C29,+IF(J$18='5.Variables'!$B$39,+'5.Variables'!$C52,+IF(J$18='5.Variables'!$B$62,+'5.Variables'!$C66,+IF(J$18='5.Variables'!$B$76,+'5.Variables'!$C80,+IF(J$18='5.Variables'!$B$90,+'5.Variables'!$C94,+IF(J$18='5.Variables'!$B$104,+'5.Variables'!$C108,0))))))</f>
        <v>968.2</v>
      </c>
      <c r="K44" s="599">
        <f>IF(K$18='5.Variables'!$B$16,+'5.Variables'!$C28,+IF(K$18='5.Variables'!$B$39,+'5.Variables'!$C52,+IF(K$18='5.Variables'!$B$62,+'5.Variables'!$C66,+IF(K$18='5.Variables'!$B$76,+'5.Variables'!$C80,+IF(K$18='5.Variables'!$B$90,+'5.Variables'!$C94,+IF(K$18='5.Variables'!$B$104,+'5.Variables'!$C108,0))))))</f>
        <v>0</v>
      </c>
      <c r="L44" s="599">
        <f>IF(L$18='5.Variables'!$B$16,+'5.Variables'!$C28,+IF(L$18='5.Variables'!$B$39,+'5.Variables'!$C52,+IF(L$18='5.Variables'!$B$62,+'5.Variables'!$C66,+IF(L$18='5.Variables'!$B$76,+'5.Variables'!$C80,+IF(L$18='5.Variables'!$B$90,+'5.Variables'!$C94,+IF(L$18='5.Variables'!$B$104,+'5.Variables'!$C108,0))))))</f>
        <v>31</v>
      </c>
      <c r="M44" s="599">
        <f>IF(M$18='5.Variables'!$B$16,+'5.Variables'!$C28,+IF(M$18='5.Variables'!$B$39,+'5.Variables'!$C52,+IF(M$18='5.Variables'!$B$62,+'5.Variables'!$C66,+IF(M$18='5.Variables'!$B$76,+'5.Variables'!$C80,+IF(M$18='5.Variables'!$B$90,+'5.Variables'!$C94,+IF(M$18='5.Variables'!$B$104,+'5.Variables'!$C108,0))))))</f>
        <v>9.09</v>
      </c>
      <c r="N44" s="599">
        <f>IF(N$18='5.Variables'!$B$16,+'5.Variables'!$C28,+IF(N$18='5.Variables'!$B$39,+'5.Variables'!$C52,+IF(N$18='5.Variables'!$B$62,+'5.Variables'!$C66,+IF(N$18='5.Variables'!$B$76,+'5.Variables'!$C80,+IF(N$18='5.Variables'!$B$90,+'5.Variables'!$C94,+IF(N$18='5.Variables'!$B$104,+'5.Variables'!$C108,0))))))</f>
        <v>0</v>
      </c>
      <c r="O44" s="928">
        <v>0</v>
      </c>
      <c r="P44" s="200"/>
      <c r="Q44" s="469">
        <f t="shared" si="0"/>
        <v>8945096.7627524566</v>
      </c>
      <c r="R44" s="216"/>
      <c r="S44" s="200"/>
      <c r="T44" s="217" t="s">
        <v>162</v>
      </c>
      <c r="U44" s="213"/>
      <c r="V44" s="213"/>
      <c r="W44" s="213"/>
      <c r="X44" s="213"/>
      <c r="Y44" s="213"/>
      <c r="Z44" s="213"/>
      <c r="AA44" s="213"/>
      <c r="AB44" s="213"/>
      <c r="AC44" s="200"/>
      <c r="AD44" s="200"/>
      <c r="AE44" s="200"/>
      <c r="AF44" s="200"/>
      <c r="AG44" s="200"/>
      <c r="AH44" s="200"/>
      <c r="AI44" s="200"/>
      <c r="AJ44" s="200"/>
      <c r="AK44" s="200"/>
      <c r="AL44" s="200"/>
    </row>
    <row r="45" spans="1:38">
      <c r="A45" s="435">
        <f t="shared" si="1"/>
        <v>26</v>
      </c>
      <c r="B45" s="871" t="str">
        <f>CONCATENATE('3. Consumption by Rate Class'!B50,"-",'3. Consumption by Rate Class'!C50)</f>
        <v>2015-February</v>
      </c>
      <c r="C45" s="870">
        <v>8809615</v>
      </c>
      <c r="D45" s="934">
        <v>0</v>
      </c>
      <c r="E45" s="935">
        <v>-34207</v>
      </c>
      <c r="F45" s="935">
        <v>-69750.110000000015</v>
      </c>
      <c r="G45" s="875"/>
      <c r="H45" s="875"/>
      <c r="I45" s="469">
        <f t="shared" si="2"/>
        <v>8705657.8900000006</v>
      </c>
      <c r="J45" s="599">
        <f>IF(J$18='5.Variables'!$B$16,+'5.Variables'!$D29,+IF(J$18='5.Variables'!$B$39,+'5.Variables'!$D52,+IF(J$18='5.Variables'!$B$62,+'5.Variables'!$D66,+IF(J$18='5.Variables'!$B$76,+'5.Variables'!$D80,+IF(J$18='5.Variables'!$B$90,+'5.Variables'!$D94,+IF(J$18='5.Variables'!$B$104,+'5.Variables'!$D108,0))))))</f>
        <v>957.8</v>
      </c>
      <c r="K45" s="599">
        <f>IF(K$18='5.Variables'!$B$16,+'5.Variables'!$D28,+IF(K$18='5.Variables'!$B$39,+'5.Variables'!$D52,+IF(K$18='5.Variables'!$B$62,+'5.Variables'!$D66,+IF(K$18='5.Variables'!$B$76,+'5.Variables'!$D80,+IF(K$18='5.Variables'!$B$90,+'5.Variables'!$D94,+IF(K$18='5.Variables'!$B$104,+'5.Variables'!$D108,0))))))</f>
        <v>0</v>
      </c>
      <c r="L45" s="599">
        <f>IF(L$18='5.Variables'!$B$16,+'5.Variables'!$D28,+IF(L$18='5.Variables'!$B$39,+'5.Variables'!$D52,+IF(L$18='5.Variables'!$B$62,+'5.Variables'!$D66,+IF(L$18='5.Variables'!$B$76,+'5.Variables'!$D80,+IF(L$18='5.Variables'!$B$90,+'5.Variables'!$D94,+IF(L$18='5.Variables'!$B$104,+'5.Variables'!$D108,0))))))</f>
        <v>28</v>
      </c>
      <c r="M45" s="599">
        <f>IF(M$18='5.Variables'!$B$16,+'5.Variables'!$D28,+IF(M$18='5.Variables'!$B$39,+'5.Variables'!$D52,+IF(M$18='5.Variables'!$B$62,+'5.Variables'!$D66,+IF(M$18='5.Variables'!$B$76,+'5.Variables'!$D80,+IF(M$18='5.Variables'!$B$90,+'5.Variables'!$D94,+IF(M$18='5.Variables'!$B$104,+'5.Variables'!$D108,0))))))</f>
        <v>10.19</v>
      </c>
      <c r="N45" s="599">
        <f>IF(N$18='5.Variables'!$B$16,+'5.Variables'!$D28,+IF(N$18='5.Variables'!$B$39,+'5.Variables'!$D52,+IF(N$18='5.Variables'!$B$62,+'5.Variables'!$D66,+IF(N$18='5.Variables'!$B$76,+'5.Variables'!$D80,+IF(N$18='5.Variables'!$B$90,+'5.Variables'!$D94,+IF(N$18='5.Variables'!$B$104,+'5.Variables'!$D108,0))))))</f>
        <v>0</v>
      </c>
      <c r="O45" s="928">
        <v>0</v>
      </c>
      <c r="P45" s="200"/>
      <c r="Q45" s="469">
        <f t="shared" si="0"/>
        <v>8444450.4268080685</v>
      </c>
      <c r="R45" s="216"/>
      <c r="S45" s="200"/>
      <c r="T45" s="922" t="s">
        <v>33</v>
      </c>
      <c r="U45" s="922" t="s">
        <v>264</v>
      </c>
      <c r="V45" s="922" t="s">
        <v>265</v>
      </c>
      <c r="W45" s="922" t="s">
        <v>266</v>
      </c>
      <c r="X45" s="922" t="s">
        <v>265</v>
      </c>
      <c r="Y45" s="922" t="s">
        <v>267</v>
      </c>
      <c r="Z45" s="200"/>
      <c r="AA45" s="200"/>
      <c r="AB45" s="200"/>
      <c r="AC45" s="200"/>
      <c r="AD45" s="200"/>
      <c r="AE45" s="200"/>
      <c r="AF45" s="200"/>
      <c r="AG45" s="200"/>
      <c r="AH45" s="200"/>
      <c r="AI45" s="200"/>
      <c r="AJ45" s="200"/>
      <c r="AK45" s="200"/>
      <c r="AL45" s="200"/>
    </row>
    <row r="46" spans="1:38">
      <c r="A46" s="435">
        <f t="shared" si="1"/>
        <v>27</v>
      </c>
      <c r="B46" s="871" t="str">
        <f>CONCATENATE('3. Consumption by Rate Class'!B51,"-",'3. Consumption by Rate Class'!C51)</f>
        <v>2015-March</v>
      </c>
      <c r="C46" s="870">
        <v>8471059</v>
      </c>
      <c r="D46" s="934">
        <v>0</v>
      </c>
      <c r="E46" s="935">
        <v>-34207</v>
      </c>
      <c r="F46" s="935">
        <v>-63508.26</v>
      </c>
      <c r="G46" s="875"/>
      <c r="H46" s="875"/>
      <c r="I46" s="469">
        <f t="shared" si="2"/>
        <v>8373343.7400000002</v>
      </c>
      <c r="J46" s="599">
        <f>IF(J$18='5.Variables'!$B$16,+'5.Variables'!$E29,+IF(J$18='5.Variables'!$B$39,+'5.Variables'!$E52,+IF(J$18='5.Variables'!$B$62,+'5.Variables'!$E66,+IF(J$18='5.Variables'!$B$76,+'5.Variables'!$E80,+IF(J$18='5.Variables'!$B$90,+'5.Variables'!$E94,+IF(J$18='5.Variables'!$B$104,+'5.Variables'!$E108,0))))))</f>
        <v>718.6</v>
      </c>
      <c r="K46" s="599">
        <f>IF(K$18='5.Variables'!$B$16,+'5.Variables'!$E28,+IF(K$18='5.Variables'!$B$39,+'5.Variables'!$E52,+IF(K$18='5.Variables'!$B$62,+'5.Variables'!$E66,+IF(K$18='5.Variables'!$B$76,+'5.Variables'!$E80,+IF(K$18='5.Variables'!$B$90,+'5.Variables'!$E94,+IF(K$18='5.Variables'!$B$104,+'5.Variables'!$E108,0))))))</f>
        <v>0</v>
      </c>
      <c r="L46" s="599">
        <f>IF(L$18='5.Variables'!$B$16,+'5.Variables'!$E28,+IF(L$18='5.Variables'!$B$39,+'5.Variables'!$E52,+IF(L$18='5.Variables'!$B$62,+'5.Variables'!$E66,+IF(L$18='5.Variables'!$B$76,+'5.Variables'!$E80,+IF(L$18='5.Variables'!$B$90,+'5.Variables'!$E94,+IF(L$18='5.Variables'!$B$104,+'5.Variables'!$E108,0))))))</f>
        <v>31</v>
      </c>
      <c r="M46" s="599">
        <f>IF(M$18='5.Variables'!$B$16,+'5.Variables'!$E28,+IF(M$18='5.Variables'!$B$39,+'5.Variables'!$E52,+IF(M$18='5.Variables'!$B$62,+'5.Variables'!$E66,+IF(M$18='5.Variables'!$B$76,+'5.Variables'!$E80,+IF(M$18='5.Variables'!$B$90,+'5.Variables'!$E94,+IF(M$18='5.Variables'!$B$104,+'5.Variables'!$E108,0))))))</f>
        <v>11.51</v>
      </c>
      <c r="N46" s="599">
        <f>IF(N$18='5.Variables'!$B$16,+'5.Variables'!$E28,+IF(N$18='5.Variables'!$B$39,+'5.Variables'!$E52,+IF(N$18='5.Variables'!$B$62,+'5.Variables'!$E66,+IF(N$18='5.Variables'!$B$76,+'5.Variables'!$E80,+IF(N$18='5.Variables'!$B$90,+'5.Variables'!$E94,+IF(N$18='5.Variables'!$B$104,+'5.Variables'!$E108,0))))))</f>
        <v>0</v>
      </c>
      <c r="O46" s="928">
        <v>0</v>
      </c>
      <c r="P46" s="200"/>
      <c r="Q46" s="469">
        <f t="shared" si="0"/>
        <v>8228695.5008590221</v>
      </c>
      <c r="R46" s="216"/>
      <c r="S46" s="200"/>
      <c r="T46" s="919">
        <f>'4. Customer Growth'!B17</f>
        <v>2013</v>
      </c>
      <c r="U46" s="931">
        <f>SUM(I20:I31)</f>
        <v>90874156.25999999</v>
      </c>
      <c r="V46" s="920"/>
      <c r="W46" s="931">
        <f>R31</f>
        <v>88366010.048238277</v>
      </c>
      <c r="X46" s="920"/>
      <c r="Y46" s="921">
        <f t="shared" ref="Y46:Y55" si="3">(W46-U46)/U46</f>
        <v>-2.7600214571298548E-2</v>
      </c>
      <c r="Z46" s="200"/>
      <c r="AA46" s="200"/>
      <c r="AB46" s="200"/>
      <c r="AC46" s="200"/>
      <c r="AD46" s="200"/>
      <c r="AE46" s="200"/>
      <c r="AF46" s="200"/>
      <c r="AG46" s="200"/>
      <c r="AH46" s="200"/>
      <c r="AI46" s="200"/>
      <c r="AJ46" s="200"/>
      <c r="AK46" s="200"/>
      <c r="AL46" s="200"/>
    </row>
    <row r="47" spans="1:38">
      <c r="A47" s="435">
        <f t="shared" si="1"/>
        <v>28</v>
      </c>
      <c r="B47" s="871" t="str">
        <f>CONCATENATE('3. Consumption by Rate Class'!B52,"-",'3. Consumption by Rate Class'!C52)</f>
        <v>2015-April</v>
      </c>
      <c r="C47" s="870">
        <v>6789448</v>
      </c>
      <c r="D47" s="934">
        <v>0</v>
      </c>
      <c r="E47" s="935">
        <v>-34207</v>
      </c>
      <c r="F47" s="935">
        <v>-53159.5</v>
      </c>
      <c r="G47" s="875"/>
      <c r="H47" s="875"/>
      <c r="I47" s="469">
        <f t="shared" si="2"/>
        <v>6702081.5</v>
      </c>
      <c r="J47" s="599">
        <f>IF(J$18='5.Variables'!$B$16,+'5.Variables'!$F29,+IF(J$18='5.Variables'!$B$39,+'5.Variables'!$F52,+IF(J$18='5.Variables'!$B$62,+'5.Variables'!$F66,+IF(J$18='5.Variables'!$B$76,+'5.Variables'!$F80,+IF(J$18='5.Variables'!$B$90,+'5.Variables'!$F94,+IF(J$18='5.Variables'!$B$104,+'5.Variables'!$F108,0))))))</f>
        <v>352.6</v>
      </c>
      <c r="K47" s="599">
        <f>IF(K$18='5.Variables'!$B$16,+'5.Variables'!$F28,+IF(K$18='5.Variables'!$B$39,+'5.Variables'!$F52,+IF(K$18='5.Variables'!$B$62,+'5.Variables'!$F66,+IF(K$18='5.Variables'!$B$76,+'5.Variables'!$F80,+IF(K$18='5.Variables'!$B$90,+'5.Variables'!$F94,+IF(K$18='5.Variables'!$B$104,+'5.Variables'!$F108,0))))))</f>
        <v>0</v>
      </c>
      <c r="L47" s="599">
        <f>IF(L$18='5.Variables'!$B$16,+'5.Variables'!$F28,+IF(L$18='5.Variables'!$B$39,+'5.Variables'!$F52,+IF(L$18='5.Variables'!$B$62,+'5.Variables'!$F66,+IF(L$18='5.Variables'!$B$76,+'5.Variables'!$F80,+IF(L$18='5.Variables'!$B$90,+'5.Variables'!$F94,+IF(L$18='5.Variables'!$B$104,+'5.Variables'!$F108,0))))))</f>
        <v>30</v>
      </c>
      <c r="M47" s="599">
        <f>IF(M$18='5.Variables'!$B$16,+'5.Variables'!$F28,+IF(M$18='5.Variables'!$B$39,+'5.Variables'!$F52,+IF(M$18='5.Variables'!$B$62,+'5.Variables'!$F66,+IF(M$18='5.Variables'!$B$76,+'5.Variables'!$F80,+IF(M$18='5.Variables'!$B$90,+'5.Variables'!$F94,+IF(M$18='5.Variables'!$B$104,+'5.Variables'!$F108,0))))))</f>
        <v>13.28</v>
      </c>
      <c r="N47" s="599">
        <f>IF(N$18='5.Variables'!$B$16,+'5.Variables'!$F28,+IF(N$18='5.Variables'!$B$39,+'5.Variables'!$F52,+IF(N$18='5.Variables'!$B$62,+'5.Variables'!$F66,+IF(N$18='5.Variables'!$B$76,+'5.Variables'!$F80,+IF(N$18='5.Variables'!$B$90,+'5.Variables'!$F94,+IF(N$18='5.Variables'!$B$104,+'5.Variables'!$F108,0))))))</f>
        <v>0</v>
      </c>
      <c r="O47" s="928">
        <v>0</v>
      </c>
      <c r="P47" s="200"/>
      <c r="Q47" s="469">
        <f t="shared" si="0"/>
        <v>6981676.3797631972</v>
      </c>
      <c r="R47" s="216"/>
      <c r="S47" s="200"/>
      <c r="T47" s="919">
        <f>'4. Customer Growth'!B18</f>
        <v>2014</v>
      </c>
      <c r="U47" s="931">
        <f>SUM(I32:I43)</f>
        <v>89376615.260000005</v>
      </c>
      <c r="V47" s="921">
        <f>(U47-U46)/U46</f>
        <v>-1.6479283677917973E-2</v>
      </c>
      <c r="W47" s="931">
        <f>R43</f>
        <v>88661685.778080925</v>
      </c>
      <c r="X47" s="921">
        <f>(W47-W46)/W46</f>
        <v>3.346034631203117E-3</v>
      </c>
      <c r="Y47" s="921">
        <f t="shared" si="3"/>
        <v>-7.9990664206663308E-3</v>
      </c>
      <c r="Z47" s="200"/>
      <c r="AA47" s="200"/>
      <c r="AB47" s="200"/>
      <c r="AC47" s="200"/>
      <c r="AD47" s="200"/>
      <c r="AE47" s="200"/>
      <c r="AF47" s="200"/>
      <c r="AG47" s="200"/>
      <c r="AH47" s="200"/>
      <c r="AI47" s="200"/>
      <c r="AJ47" s="200"/>
      <c r="AK47" s="200"/>
      <c r="AL47" s="200"/>
    </row>
    <row r="48" spans="1:38">
      <c r="A48" s="435">
        <f t="shared" si="1"/>
        <v>29</v>
      </c>
      <c r="B48" s="871" t="str">
        <f>CONCATENATE('3. Consumption by Rate Class'!B53,"-",'3. Consumption by Rate Class'!C53)</f>
        <v>2015-May</v>
      </c>
      <c r="C48" s="870">
        <v>6763079</v>
      </c>
      <c r="D48" s="934">
        <v>0</v>
      </c>
      <c r="E48" s="935">
        <v>-34207</v>
      </c>
      <c r="F48" s="935">
        <v>-47801.16</v>
      </c>
      <c r="G48" s="875"/>
      <c r="H48" s="875"/>
      <c r="I48" s="469">
        <f t="shared" si="2"/>
        <v>6681070.8399999999</v>
      </c>
      <c r="J48" s="599">
        <f>IF(J$18='5.Variables'!$B$16,+'5.Variables'!$G29,+IF(J$18='5.Variables'!$B$39,+'5.Variables'!$G52,+IF(J$18='5.Variables'!$B$62,+'5.Variables'!$G66,+IF(J$18='5.Variables'!$B$76,+'5.Variables'!$G80,+IF(J$18='5.Variables'!$B$90,+'5.Variables'!$G94,+IF(J$18='5.Variables'!$B$104,+'5.Variables'!$G108,0))))))</f>
        <v>94.2</v>
      </c>
      <c r="K48" s="599">
        <f>IF(K$18='5.Variables'!$B$16,+'5.Variables'!$G28,+IF(K$18='5.Variables'!$B$39,+'5.Variables'!$G52,+IF(K$18='5.Variables'!$B$62,+'5.Variables'!$G66,+IF(K$18='5.Variables'!$B$76,+'5.Variables'!$G80,+IF(K$18='5.Variables'!$B$90,+'5.Variables'!$G94,+IF(K$18='5.Variables'!$B$104,+'5.Variables'!$G108,0))))))</f>
        <v>25.3</v>
      </c>
      <c r="L48" s="599">
        <f>IF(L$18='5.Variables'!$B$16,+'5.Variables'!$G28,+IF(L$18='5.Variables'!$B$39,+'5.Variables'!$G52,+IF(L$18='5.Variables'!$B$62,+'5.Variables'!$G66,+IF(L$18='5.Variables'!$B$76,+'5.Variables'!$G80,+IF(L$18='5.Variables'!$B$90,+'5.Variables'!$G94,+IF(L$18='5.Variables'!$B$104,+'5.Variables'!$G108,0))))))</f>
        <v>31</v>
      </c>
      <c r="M48" s="599">
        <f>IF(M$18='5.Variables'!$B$16,+'5.Variables'!$G28,+IF(M$18='5.Variables'!$B$39,+'5.Variables'!$G52,+IF(M$18='5.Variables'!$B$62,+'5.Variables'!$G66,+IF(M$18='5.Variables'!$B$76,+'5.Variables'!$G80,+IF(M$18='5.Variables'!$B$90,+'5.Variables'!$G94,+IF(M$18='5.Variables'!$B$104,+'5.Variables'!$G108,0))))))</f>
        <v>14.52</v>
      </c>
      <c r="N48" s="599">
        <f>IF(N$18='5.Variables'!$B$16,+'5.Variables'!$G28,+IF(N$18='5.Variables'!$B$39,+'5.Variables'!$G52,+IF(N$18='5.Variables'!$B$62,+'5.Variables'!$G66,+IF(N$18='5.Variables'!$B$76,+'5.Variables'!$G80,+IF(N$18='5.Variables'!$B$90,+'5.Variables'!$G94,+IF(N$18='5.Variables'!$B$104,+'5.Variables'!$G108,0))))))</f>
        <v>0</v>
      </c>
      <c r="O48" s="928">
        <v>0</v>
      </c>
      <c r="P48" s="200"/>
      <c r="Q48" s="469">
        <f t="shared" si="0"/>
        <v>6762724.4478762336</v>
      </c>
      <c r="R48" s="216"/>
      <c r="S48" s="200"/>
      <c r="T48" s="919">
        <f>'4. Customer Growth'!B19</f>
        <v>2015</v>
      </c>
      <c r="U48" s="931">
        <f>SUM(I44:I55)</f>
        <v>89768282.25999999</v>
      </c>
      <c r="V48" s="921">
        <f t="shared" ref="V48:X55" si="4">(U48-U47)/U47</f>
        <v>4.3822089129310921E-3</v>
      </c>
      <c r="W48" s="931">
        <f>R55</f>
        <v>89010777.471517652</v>
      </c>
      <c r="X48" s="921">
        <f t="shared" si="4"/>
        <v>3.937345544167737E-3</v>
      </c>
      <c r="Y48" s="921">
        <f t="shared" si="3"/>
        <v>-8.4384458453637592E-3</v>
      </c>
      <c r="Z48" s="200"/>
      <c r="AA48" s="200"/>
      <c r="AB48" s="200"/>
      <c r="AC48" s="200"/>
      <c r="AD48" s="200"/>
      <c r="AE48" s="200"/>
      <c r="AF48" s="200"/>
      <c r="AG48" s="200"/>
      <c r="AH48" s="200"/>
      <c r="AI48" s="200"/>
      <c r="AJ48" s="200"/>
      <c r="AK48" s="200"/>
      <c r="AL48" s="200"/>
    </row>
    <row r="49" spans="1:38">
      <c r="A49" s="435">
        <f t="shared" si="1"/>
        <v>30</v>
      </c>
      <c r="B49" s="871" t="str">
        <f>CONCATENATE('3. Consumption by Rate Class'!B54,"-",'3. Consumption by Rate Class'!C54)</f>
        <v>2015-June</v>
      </c>
      <c r="C49" s="870">
        <v>6744783</v>
      </c>
      <c r="D49" s="934">
        <v>0</v>
      </c>
      <c r="E49" s="935">
        <v>-34207</v>
      </c>
      <c r="F49" s="935">
        <v>-42187.28</v>
      </c>
      <c r="G49" s="875"/>
      <c r="H49" s="875"/>
      <c r="I49" s="469">
        <f t="shared" si="2"/>
        <v>6668388.7199999997</v>
      </c>
      <c r="J49" s="599">
        <f>IF(J$18='5.Variables'!$B$16,+'5.Variables'!$H29,+IF(J$18='5.Variables'!$B$39,+'5.Variables'!$H52,+IF(J$18='5.Variables'!$B$62,+'5.Variables'!$H66,+IF(J$18='5.Variables'!$B$76,+'5.Variables'!$H80,+IF(J$18='5.Variables'!$B$90,+'5.Variables'!$H94,+IF(J$18='5.Variables'!$B$104,+'5.Variables'!$H108,0))))))</f>
        <v>45.2</v>
      </c>
      <c r="K49" s="599">
        <f>IF(K$18='5.Variables'!$B$16,+'5.Variables'!$H28,+IF(K$18='5.Variables'!$B$39,+'5.Variables'!$H52,+IF(K$18='5.Variables'!$B$62,+'5.Variables'!$H66,+IF(K$18='5.Variables'!$B$76,+'5.Variables'!$H80,+IF(K$18='5.Variables'!$B$90,+'5.Variables'!$H94,+IF(K$18='5.Variables'!$B$104,+'5.Variables'!$H108,0))))))</f>
        <v>20.3</v>
      </c>
      <c r="L49" s="599">
        <f>IF(L$18='5.Variables'!$B$16,+'5.Variables'!$H28,+IF(L$18='5.Variables'!$B$39,+'5.Variables'!$H52,+IF(L$18='5.Variables'!$B$62,+'5.Variables'!$H66,+IF(L$18='5.Variables'!$B$76,+'5.Variables'!$H80,+IF(L$18='5.Variables'!$B$90,+'5.Variables'!$H94,+IF(L$18='5.Variables'!$B$104,+'5.Variables'!$H108,0))))))</f>
        <v>30</v>
      </c>
      <c r="M49" s="599">
        <f>IF(M$18='5.Variables'!$B$16,+'5.Variables'!$H28,+IF(M$18='5.Variables'!$B$39,+'5.Variables'!$H52,+IF(M$18='5.Variables'!$B$62,+'5.Variables'!$H66,+IF(M$18='5.Variables'!$B$76,+'5.Variables'!$H80,+IF(M$18='5.Variables'!$B$90,+'5.Variables'!$H94,+IF(M$18='5.Variables'!$B$104,+'5.Variables'!$H108,0))))))</f>
        <v>15.35</v>
      </c>
      <c r="N49" s="599">
        <f>IF(N$18='5.Variables'!$B$16,+'5.Variables'!$H28,+IF(N$18='5.Variables'!$B$39,+'5.Variables'!$H52,+IF(N$18='5.Variables'!$B$62,+'5.Variables'!$H66,+IF(N$18='5.Variables'!$B$76,+'5.Variables'!$H80,+IF(N$18='5.Variables'!$B$90,+'5.Variables'!$H94,+IF(N$18='5.Variables'!$B$104,+'5.Variables'!$H108,0))))))</f>
        <v>0</v>
      </c>
      <c r="O49" s="928">
        <v>0</v>
      </c>
      <c r="P49" s="200"/>
      <c r="Q49" s="469">
        <f t="shared" si="0"/>
        <v>6389820.3983621877</v>
      </c>
      <c r="R49" s="216"/>
      <c r="S49" s="200"/>
      <c r="T49" s="919">
        <f>'4. Customer Growth'!B20</f>
        <v>2016</v>
      </c>
      <c r="U49" s="931">
        <f>SUM(I56:I67)</f>
        <v>89085775.25999999</v>
      </c>
      <c r="V49" s="921">
        <f t="shared" si="4"/>
        <v>-7.6029860750061332E-3</v>
      </c>
      <c r="W49" s="931">
        <f>R67</f>
        <v>89934682.74622038</v>
      </c>
      <c r="X49" s="921">
        <f t="shared" si="4"/>
        <v>1.0379701210882761E-2</v>
      </c>
      <c r="Y49" s="921">
        <f t="shared" si="3"/>
        <v>9.5291025277921531E-3</v>
      </c>
      <c r="Z49" s="200"/>
      <c r="AA49" s="200"/>
      <c r="AB49" s="200"/>
      <c r="AC49" s="200"/>
      <c r="AD49" s="200"/>
      <c r="AE49" s="200"/>
      <c r="AF49" s="200"/>
      <c r="AG49" s="200"/>
      <c r="AH49" s="200"/>
      <c r="AI49" s="200"/>
      <c r="AJ49" s="200"/>
      <c r="AK49" s="200"/>
      <c r="AL49" s="200"/>
    </row>
    <row r="50" spans="1:38">
      <c r="A50" s="435">
        <f t="shared" si="1"/>
        <v>31</v>
      </c>
      <c r="B50" s="871" t="str">
        <f>CONCATENATE('3. Consumption by Rate Class'!B55,"-",'3. Consumption by Rate Class'!C55)</f>
        <v>2015-July</v>
      </c>
      <c r="C50" s="870">
        <v>7818096</v>
      </c>
      <c r="D50" s="934">
        <v>0</v>
      </c>
      <c r="E50" s="935">
        <v>-34207</v>
      </c>
      <c r="F50" s="935">
        <v>-45847.020000000004</v>
      </c>
      <c r="G50" s="875"/>
      <c r="H50" s="875"/>
      <c r="I50" s="469">
        <f t="shared" si="2"/>
        <v>7738041.9800000004</v>
      </c>
      <c r="J50" s="599">
        <f>IF(J$18='5.Variables'!$B$16,+'5.Variables'!$I29,+IF(J$18='5.Variables'!$B$39,+'5.Variables'!$I52,+IF(J$18='5.Variables'!$B$62,+'5.Variables'!$I66,+IF(J$18='5.Variables'!$B$76,+'5.Variables'!$I80,+IF(J$18='5.Variables'!$B$90,+'5.Variables'!$I94,+IF(J$18='5.Variables'!$B$104,+'5.Variables'!$I108,0))))))</f>
        <v>9.3000000000000007</v>
      </c>
      <c r="K50" s="599">
        <f>IF(K$18='5.Variables'!$B$16,+'5.Variables'!$I28,+IF(K$18='5.Variables'!$B$39,+'5.Variables'!$I52,+IF(K$18='5.Variables'!$B$62,+'5.Variables'!$I66,+IF(K$18='5.Variables'!$B$76,+'5.Variables'!$I80,+IF(K$18='5.Variables'!$B$90,+'5.Variables'!$I94,+IF(K$18='5.Variables'!$B$104,+'5.Variables'!$I108,0))))))</f>
        <v>100</v>
      </c>
      <c r="L50" s="599">
        <f>IF(L$18='5.Variables'!$B$16,+'5.Variables'!$I28,+IF(L$18='5.Variables'!$B$39,+'5.Variables'!$I52,+IF(L$18='5.Variables'!$B$62,+'5.Variables'!$I66,+IF(L$18='5.Variables'!$B$76,+'5.Variables'!$I80,+IF(L$18='5.Variables'!$B$90,+'5.Variables'!$I94,+IF(L$18='5.Variables'!$B$104,+'5.Variables'!$I108,0))))))</f>
        <v>31</v>
      </c>
      <c r="M50" s="599">
        <f>IF(M$18='5.Variables'!$B$16,+'5.Variables'!$I28,+IF(M$18='5.Variables'!$B$39,+'5.Variables'!$I52,+IF(M$18='5.Variables'!$B$62,+'5.Variables'!$I66,+IF(M$18='5.Variables'!$B$76,+'5.Variables'!$I80,+IF(M$18='5.Variables'!$B$90,+'5.Variables'!$I94,+IF(M$18='5.Variables'!$B$104,+'5.Variables'!$I108,0))))))</f>
        <v>15.15</v>
      </c>
      <c r="N50" s="599">
        <f>IF(N$18='5.Variables'!$B$16,+'5.Variables'!$I28,+IF(N$18='5.Variables'!$B$39,+'5.Variables'!$I52,+IF(N$18='5.Variables'!$B$62,+'5.Variables'!$I66,+IF(N$18='5.Variables'!$B$76,+'5.Variables'!$I80,+IF(N$18='5.Variables'!$B$90,+'5.Variables'!$I94,+IF(N$18='5.Variables'!$B$104,+'5.Variables'!$I108,0))))))</f>
        <v>0</v>
      </c>
      <c r="O50" s="928">
        <v>0</v>
      </c>
      <c r="P50" s="200"/>
      <c r="Q50" s="469">
        <f t="shared" si="0"/>
        <v>7647012.3447867315</v>
      </c>
      <c r="R50" s="216"/>
      <c r="S50" s="200"/>
      <c r="T50" s="919">
        <f>'4. Customer Growth'!B21</f>
        <v>2017</v>
      </c>
      <c r="U50" s="931">
        <f>SUM(I68:I79)</f>
        <v>88171491.929999992</v>
      </c>
      <c r="V50" s="921">
        <f t="shared" si="4"/>
        <v>-1.0262955307192758E-2</v>
      </c>
      <c r="W50" s="931">
        <f>R79</f>
        <v>88121279.395198524</v>
      </c>
      <c r="X50" s="921">
        <f t="shared" si="4"/>
        <v>-2.0163559770805625E-2</v>
      </c>
      <c r="Y50" s="921">
        <f t="shared" si="3"/>
        <v>-5.694871857372263E-4</v>
      </c>
      <c r="Z50" s="200"/>
      <c r="AA50" s="200"/>
      <c r="AB50" s="200"/>
      <c r="AC50" s="200"/>
      <c r="AD50" s="200"/>
      <c r="AE50" s="200"/>
      <c r="AF50" s="200"/>
      <c r="AG50" s="200"/>
      <c r="AH50" s="200"/>
      <c r="AI50" s="200"/>
      <c r="AJ50" s="200"/>
      <c r="AK50" s="200"/>
      <c r="AL50" s="200"/>
    </row>
    <row r="51" spans="1:38">
      <c r="A51" s="435">
        <f t="shared" si="1"/>
        <v>32</v>
      </c>
      <c r="B51" s="871" t="str">
        <f>CONCATENATE('3. Consumption by Rate Class'!B56,"-",'3. Consumption by Rate Class'!C56)</f>
        <v>2015-August</v>
      </c>
      <c r="C51" s="870">
        <v>7422834</v>
      </c>
      <c r="D51" s="934">
        <v>0</v>
      </c>
      <c r="E51" s="935">
        <v>-34207</v>
      </c>
      <c r="F51" s="935">
        <v>-52436.47</v>
      </c>
      <c r="G51" s="875"/>
      <c r="H51" s="875"/>
      <c r="I51" s="469">
        <f t="shared" si="2"/>
        <v>7336190.5300000003</v>
      </c>
      <c r="J51" s="599">
        <f>IF(J$18='5.Variables'!$B$16,+'5.Variables'!$J29,+IF(J$18='5.Variables'!$B$39,+'5.Variables'!$J52,+IF(J$18='5.Variables'!$B$62,+'5.Variables'!$J66,+IF(J$18='5.Variables'!$B$76,+'5.Variables'!$J80,+IF(J$18='5.Variables'!$B$90,+'5.Variables'!$J94,+IF(J$18='5.Variables'!$B$104,+'5.Variables'!$J108,0))))))</f>
        <v>5.6</v>
      </c>
      <c r="K51" s="599">
        <f>IF(K$18='5.Variables'!$B$16,+'5.Variables'!$J28,+IF(K$18='5.Variables'!$B$39,+'5.Variables'!$J52,+IF(K$18='5.Variables'!$B$62,+'5.Variables'!$J66,+IF(K$18='5.Variables'!$B$76,+'5.Variables'!$J80,+IF(K$18='5.Variables'!$B$90,+'5.Variables'!$J94,+IF(K$18='5.Variables'!$B$104,+'5.Variables'!$J108,0))))))</f>
        <v>67.400000000000006</v>
      </c>
      <c r="L51" s="599">
        <f>IF(L$18='5.Variables'!$B$16,+'5.Variables'!$J28,+IF(L$18='5.Variables'!$B$39,+'5.Variables'!$J52,+IF(L$18='5.Variables'!$B$62,+'5.Variables'!$J66,+IF(L$18='5.Variables'!$B$76,+'5.Variables'!$J80,+IF(L$18='5.Variables'!$B$90,+'5.Variables'!$J94,+IF(L$18='5.Variables'!$B$104,+'5.Variables'!$J108,0))))))</f>
        <v>31</v>
      </c>
      <c r="M51" s="599">
        <f>IF(M$18='5.Variables'!$B$16,+'5.Variables'!$J28,+IF(M$18='5.Variables'!$B$39,+'5.Variables'!$J52,+IF(M$18='5.Variables'!$B$62,+'5.Variables'!$J66,+IF(M$18='5.Variables'!$B$76,+'5.Variables'!$J80,+IF(M$18='5.Variables'!$B$90,+'5.Variables'!$J94,+IF(M$18='5.Variables'!$B$104,+'5.Variables'!$J108,0))))))</f>
        <v>14.03</v>
      </c>
      <c r="N51" s="599">
        <f>IF(N$18='5.Variables'!$B$16,+'5.Variables'!$J28,+IF(N$18='5.Variables'!$B$39,+'5.Variables'!$J52,+IF(N$18='5.Variables'!$B$62,+'5.Variables'!$J66,+IF(N$18='5.Variables'!$B$76,+'5.Variables'!$J80,+IF(N$18='5.Variables'!$B$90,+'5.Variables'!$J94,+IF(N$18='5.Variables'!$B$104,+'5.Variables'!$J108,0))))))</f>
        <v>0</v>
      </c>
      <c r="O51" s="928">
        <v>0</v>
      </c>
      <c r="P51" s="200"/>
      <c r="Q51" s="469">
        <f t="shared" si="0"/>
        <v>7120879.3259454351</v>
      </c>
      <c r="R51" s="216"/>
      <c r="S51" s="200"/>
      <c r="T51" s="919">
        <f>'4. Customer Growth'!B22</f>
        <v>2018</v>
      </c>
      <c r="U51" s="931">
        <f>SUM(I80:I91)</f>
        <v>89884663.680000007</v>
      </c>
      <c r="V51" s="921">
        <f t="shared" si="4"/>
        <v>1.9429996164294406E-2</v>
      </c>
      <c r="W51" s="931">
        <f>R91</f>
        <v>90935675.292789266</v>
      </c>
      <c r="X51" s="921">
        <f t="shared" si="4"/>
        <v>3.1937755748744724E-2</v>
      </c>
      <c r="Y51" s="921">
        <f t="shared" si="3"/>
        <v>1.1692891420620802E-2</v>
      </c>
      <c r="Z51" s="200"/>
      <c r="AA51" s="200"/>
      <c r="AB51" s="200"/>
      <c r="AC51" s="200"/>
      <c r="AD51" s="200"/>
      <c r="AE51" s="200"/>
      <c r="AF51" s="200"/>
      <c r="AG51" s="200"/>
      <c r="AH51" s="200"/>
      <c r="AI51" s="200"/>
      <c r="AJ51" s="200"/>
      <c r="AK51" s="200"/>
      <c r="AL51" s="200"/>
    </row>
    <row r="52" spans="1:38">
      <c r="A52" s="435">
        <f t="shared" si="1"/>
        <v>33</v>
      </c>
      <c r="B52" s="871" t="str">
        <f>CONCATENATE('3. Consumption by Rate Class'!B57,"-",'3. Consumption by Rate Class'!C57)</f>
        <v>2015-September</v>
      </c>
      <c r="C52" s="870">
        <v>7183196</v>
      </c>
      <c r="D52" s="934">
        <v>0</v>
      </c>
      <c r="E52" s="935">
        <v>-34207</v>
      </c>
      <c r="F52" s="935">
        <v>-58560.43</v>
      </c>
      <c r="G52" s="875"/>
      <c r="H52" s="875"/>
      <c r="I52" s="469">
        <f t="shared" si="2"/>
        <v>7090428.5700000003</v>
      </c>
      <c r="J52" s="599">
        <f>IF(J$18='5.Variables'!$B$16,+'5.Variables'!$K29,+IF(J$18='5.Variables'!$B$39,+'5.Variables'!$K52,+IF(J$18='5.Variables'!$B$62,+'5.Variables'!$K66,+IF(J$18='5.Variables'!$B$76,+'5.Variables'!$K80,+IF(J$18='5.Variables'!$B$90,+'5.Variables'!$K94,+IF(J$18='5.Variables'!$B$104,+'5.Variables'!$K108,0))))))</f>
        <v>48.4</v>
      </c>
      <c r="K52" s="599">
        <f>IF(K$18='5.Variables'!$B$16,+'5.Variables'!$K28,+IF(K$18='5.Variables'!$B$39,+'5.Variables'!$K52,+IF(K$18='5.Variables'!$B$62,+'5.Variables'!$K66,+IF(K$18='5.Variables'!$B$76,+'5.Variables'!$K80,+IF(K$18='5.Variables'!$B$90,+'5.Variables'!$K94,+IF(K$18='5.Variables'!$B$104,+'5.Variables'!$K108,0))))))</f>
        <v>46.5</v>
      </c>
      <c r="L52" s="599">
        <f>IF(L$18='5.Variables'!$B$16,+'5.Variables'!$K28,+IF(L$18='5.Variables'!$B$39,+'5.Variables'!$K52,+IF(L$18='5.Variables'!$B$62,+'5.Variables'!$K66,+IF(L$18='5.Variables'!$B$76,+'5.Variables'!$K80,+IF(L$18='5.Variables'!$B$90,+'5.Variables'!$K94,+IF(L$18='5.Variables'!$B$104,+'5.Variables'!$K108,0))))))</f>
        <v>30</v>
      </c>
      <c r="M52" s="599">
        <f>IF(M$18='5.Variables'!$B$16,+'5.Variables'!$K28,+IF(M$18='5.Variables'!$B$39,+'5.Variables'!$K52,+IF(M$18='5.Variables'!$B$62,+'5.Variables'!$K66,+IF(M$18='5.Variables'!$B$76,+'5.Variables'!$K80,+IF(M$18='5.Variables'!$B$90,+'5.Variables'!$K94,+IF(M$18='5.Variables'!$B$104,+'5.Variables'!$K108,0))))))</f>
        <v>12.29</v>
      </c>
      <c r="N52" s="599">
        <f>IF(N$18='5.Variables'!$B$16,+'5.Variables'!$K28,+IF(N$18='5.Variables'!$B$39,+'5.Variables'!$K52,+IF(N$18='5.Variables'!$B$62,+'5.Variables'!$K66,+IF(N$18='5.Variables'!$B$76,+'5.Variables'!$K80,+IF(N$18='5.Variables'!$B$90,+'5.Variables'!$K94,+IF(N$18='5.Variables'!$B$104,+'5.Variables'!$K108,0))))))</f>
        <v>0</v>
      </c>
      <c r="O52" s="928">
        <v>0</v>
      </c>
      <c r="P52" s="200"/>
      <c r="Q52" s="469">
        <f t="shared" si="0"/>
        <v>6739098.2791991076</v>
      </c>
      <c r="R52" s="216"/>
      <c r="S52" s="200"/>
      <c r="T52" s="919">
        <f>'4. Customer Growth'!B23</f>
        <v>2019</v>
      </c>
      <c r="U52" s="931">
        <f>SUM(I92:I103)</f>
        <v>89565183.469999999</v>
      </c>
      <c r="V52" s="921">
        <f t="shared" si="4"/>
        <v>-3.5543350435998239E-3</v>
      </c>
      <c r="W52" s="931">
        <f>R103:R103</f>
        <v>89315411.477069527</v>
      </c>
      <c r="X52" s="921">
        <f t="shared" si="4"/>
        <v>-1.7817691577072581E-2</v>
      </c>
      <c r="Y52" s="921">
        <f t="shared" si="3"/>
        <v>-2.7887174821021096E-3</v>
      </c>
      <c r="Z52" s="200"/>
      <c r="AA52" s="200"/>
      <c r="AB52" s="200"/>
      <c r="AC52" s="200"/>
      <c r="AD52" s="200"/>
      <c r="AE52" s="200"/>
      <c r="AF52" s="200"/>
      <c r="AG52" s="200"/>
      <c r="AH52" s="200"/>
      <c r="AI52" s="200"/>
      <c r="AJ52" s="200"/>
      <c r="AK52" s="200"/>
      <c r="AL52" s="200"/>
    </row>
    <row r="53" spans="1:38">
      <c r="A53" s="435">
        <f t="shared" si="1"/>
        <v>34</v>
      </c>
      <c r="B53" s="871" t="str">
        <f>CONCATENATE('3. Consumption by Rate Class'!B58,"-",'3. Consumption by Rate Class'!C58)</f>
        <v>2015-October</v>
      </c>
      <c r="C53" s="870">
        <v>6840217</v>
      </c>
      <c r="D53" s="934">
        <v>0</v>
      </c>
      <c r="E53" s="935">
        <v>-34207</v>
      </c>
      <c r="F53" s="935">
        <v>-69149.34</v>
      </c>
      <c r="G53" s="875"/>
      <c r="H53" s="875"/>
      <c r="I53" s="469">
        <f t="shared" si="2"/>
        <v>6736860.6600000001</v>
      </c>
      <c r="J53" s="599">
        <f>IF(J$18='5.Variables'!$B$16,+'5.Variables'!$L29,+IF(J$18='5.Variables'!$B$39,+'5.Variables'!$L52,+IF(J$18='5.Variables'!$B$62,+'5.Variables'!$L66,+IF(J$18='5.Variables'!$B$76,+'5.Variables'!$L80,+IF(J$18='5.Variables'!$B$90,+'5.Variables'!$L94,+IF(J$18='5.Variables'!$B$104,+'5.Variables'!$L108,0))))))</f>
        <v>337.3</v>
      </c>
      <c r="K53" s="599">
        <f>IF(K$18='5.Variables'!$B$16,+'5.Variables'!$L28,+IF(K$18='5.Variables'!$B$39,+'5.Variables'!$L52,+IF(K$18='5.Variables'!$B$62,+'5.Variables'!$L66,+IF(K$18='5.Variables'!$B$76,+'5.Variables'!$L80,+IF(K$18='5.Variables'!$B$90,+'5.Variables'!$L94,+IF(K$18='5.Variables'!$B$104,+'5.Variables'!$L108,0))))))</f>
        <v>0</v>
      </c>
      <c r="L53" s="599">
        <f>IF(L$18='5.Variables'!$B$16,+'5.Variables'!$L28,+IF(L$18='5.Variables'!$B$39,+'5.Variables'!$L52,+IF(L$18='5.Variables'!$B$62,+'5.Variables'!$L66,+IF(L$18='5.Variables'!$B$76,+'5.Variables'!$L80,+IF(L$18='5.Variables'!$B$90,+'5.Variables'!$L94,+IF(L$18='5.Variables'!$B$104,+'5.Variables'!$L108,0))))))</f>
        <v>31</v>
      </c>
      <c r="M53" s="599">
        <f>IF(M$18='5.Variables'!$B$16,+'5.Variables'!$L28,+IF(M$18='5.Variables'!$B$39,+'5.Variables'!$L52,+IF(M$18='5.Variables'!$B$62,+'5.Variables'!$L66,+IF(M$18='5.Variables'!$B$76,+'5.Variables'!$L80,+IF(M$18='5.Variables'!$B$90,+'5.Variables'!$L94,+IF(M$18='5.Variables'!$B$104,+'5.Variables'!$L108,0))))))</f>
        <v>10.51</v>
      </c>
      <c r="N53" s="599">
        <f>IF(N$18='5.Variables'!$B$16,+'5.Variables'!$L28,+IF(N$18='5.Variables'!$B$39,+'5.Variables'!$L52,+IF(N$18='5.Variables'!$B$62,+'5.Variables'!$L66,+IF(N$18='5.Variables'!$B$76,+'5.Variables'!$L80,+IF(N$18='5.Variables'!$B$90,+'5.Variables'!$L94,+IF(N$18='5.Variables'!$B$104,+'5.Variables'!$L108,0))))))</f>
        <v>0</v>
      </c>
      <c r="O53" s="928">
        <v>0</v>
      </c>
      <c r="P53" s="200"/>
      <c r="Q53" s="469">
        <f t="shared" si="0"/>
        <v>7046217.8443914289</v>
      </c>
      <c r="R53" s="216"/>
      <c r="S53" s="200"/>
      <c r="T53" s="919">
        <f>'4. Customer Growth'!B24</f>
        <v>2020</v>
      </c>
      <c r="U53" s="931">
        <f>SUM(I104:I115)</f>
        <v>87584142.184</v>
      </c>
      <c r="V53" s="921">
        <f t="shared" si="4"/>
        <v>-2.2118430502222456E-2</v>
      </c>
      <c r="W53" s="931">
        <f>R115</f>
        <v>89937807.730157182</v>
      </c>
      <c r="X53" s="921">
        <f t="shared" si="4"/>
        <v>6.9685202452148603E-3</v>
      </c>
      <c r="Y53" s="921">
        <f t="shared" si="3"/>
        <v>2.6873192880196437E-2</v>
      </c>
      <c r="Z53" s="200"/>
      <c r="AA53" s="200"/>
      <c r="AB53" s="200"/>
      <c r="AC53" s="200"/>
      <c r="AD53" s="200"/>
      <c r="AE53" s="200"/>
      <c r="AF53" s="200"/>
      <c r="AG53" s="200"/>
      <c r="AH53" s="200"/>
      <c r="AI53" s="200"/>
      <c r="AJ53" s="200"/>
      <c r="AK53" s="200"/>
      <c r="AL53" s="200"/>
    </row>
    <row r="54" spans="1:38">
      <c r="A54" s="435">
        <f t="shared" si="1"/>
        <v>35</v>
      </c>
      <c r="B54" s="871" t="str">
        <f>CONCATENATE('3. Consumption by Rate Class'!B59,"-",'3. Consumption by Rate Class'!C59)</f>
        <v>2015-November</v>
      </c>
      <c r="C54" s="870">
        <v>7093015</v>
      </c>
      <c r="D54" s="934">
        <v>0</v>
      </c>
      <c r="E54" s="935">
        <v>-34207</v>
      </c>
      <c r="F54" s="935">
        <v>-74082.78</v>
      </c>
      <c r="G54" s="875"/>
      <c r="H54" s="875"/>
      <c r="I54" s="469">
        <f t="shared" si="2"/>
        <v>6984725.2199999997</v>
      </c>
      <c r="J54" s="599">
        <f>IF(J$18='5.Variables'!$B$16,+'5.Variables'!$M29,+IF(J$18='5.Variables'!$B$39,+'5.Variables'!$M52,+IF(J$18='5.Variables'!$B$62,+'5.Variables'!$M66,+IF(J$18='5.Variables'!$B$76,+'5.Variables'!$M80,+IF(J$18='5.Variables'!$B$90,+'5.Variables'!$M94,+IF(J$18='5.Variables'!$B$104,+'5.Variables'!$M108,0))))))</f>
        <v>429</v>
      </c>
      <c r="K54" s="599">
        <f>IF(K$18='5.Variables'!$B$16,+'5.Variables'!$M28,+IF(K$18='5.Variables'!$B$39,+'5.Variables'!$M52,+IF(K$18='5.Variables'!$B$62,+'5.Variables'!$M66,+IF(K$18='5.Variables'!$B$76,+'5.Variables'!$M80,+IF(K$18='5.Variables'!$B$90,+'5.Variables'!$M94,+IF(K$18='5.Variables'!$B$104,+'5.Variables'!$M108,0))))))</f>
        <v>0</v>
      </c>
      <c r="L54" s="599">
        <f>IF(L$18='5.Variables'!$B$16,+'5.Variables'!$M28,+IF(L$18='5.Variables'!$B$39,+'5.Variables'!$M52,+IF(L$18='5.Variables'!$B$62,+'5.Variables'!$M66,+IF(L$18='5.Variables'!$B$76,+'5.Variables'!$M80,+IF(L$18='5.Variables'!$B$90,+'5.Variables'!$M94,+IF(L$18='5.Variables'!$B$104,+'5.Variables'!$M108,0))))))</f>
        <v>30</v>
      </c>
      <c r="M54" s="599">
        <f>IF(M$18='5.Variables'!$B$16,+'5.Variables'!$M28,+IF(M$18='5.Variables'!$B$39,+'5.Variables'!$M52,+IF(M$18='5.Variables'!$B$62,+'5.Variables'!$M66,+IF(M$18='5.Variables'!$B$76,+'5.Variables'!$M80,+IF(M$18='5.Variables'!$B$90,+'5.Variables'!$M94,+IF(M$18='5.Variables'!$B$104,+'5.Variables'!$M108,0))))))</f>
        <v>9.2799999999999994</v>
      </c>
      <c r="N54" s="599">
        <f>IF(N$18='5.Variables'!$B$16,+'5.Variables'!$M28,+IF(N$18='5.Variables'!$B$39,+'5.Variables'!$M52,+IF(N$18='5.Variables'!$B$62,+'5.Variables'!$M66,+IF(N$18='5.Variables'!$B$76,+'5.Variables'!$M80,+IF(N$18='5.Variables'!$B$90,+'5.Variables'!$M94,+IF(N$18='5.Variables'!$B$104,+'5.Variables'!$M108,0))))))</f>
        <v>0</v>
      </c>
      <c r="O54" s="928">
        <v>0</v>
      </c>
      <c r="P54" s="200"/>
      <c r="Q54" s="469">
        <f t="shared" si="0"/>
        <v>7139845.1266862536</v>
      </c>
      <c r="R54" s="216"/>
      <c r="S54" s="200"/>
      <c r="T54" s="919">
        <f>'4. Customer Growth'!B25</f>
        <v>2021</v>
      </c>
      <c r="U54" s="931">
        <f>SUM(I116:I127)</f>
        <v>87828569.654158607</v>
      </c>
      <c r="V54" s="921">
        <f t="shared" si="4"/>
        <v>2.7907731247182226E-3</v>
      </c>
      <c r="W54" s="931">
        <f>R127</f>
        <v>88405826.871381938</v>
      </c>
      <c r="X54" s="921">
        <f t="shared" si="4"/>
        <v>-1.7033780313743987E-2</v>
      </c>
      <c r="Y54" s="921">
        <f t="shared" si="3"/>
        <v>6.5725448962266992E-3</v>
      </c>
      <c r="Z54" s="200"/>
      <c r="AA54" s="200"/>
      <c r="AB54" s="200"/>
      <c r="AC54" s="200"/>
      <c r="AD54" s="200"/>
      <c r="AE54" s="200"/>
      <c r="AF54" s="200"/>
      <c r="AG54" s="200"/>
      <c r="AH54" s="200"/>
      <c r="AI54" s="200"/>
      <c r="AJ54" s="200"/>
      <c r="AK54" s="200"/>
      <c r="AL54" s="200"/>
    </row>
    <row r="55" spans="1:38">
      <c r="A55" s="435">
        <f t="shared" si="1"/>
        <v>36</v>
      </c>
      <c r="B55" s="451" t="str">
        <f>CONCATENATE('3. Consumption by Rate Class'!B60,"-",'3. Consumption by Rate Class'!C60)</f>
        <v>2015-December</v>
      </c>
      <c r="C55" s="584">
        <v>7532024</v>
      </c>
      <c r="D55" s="940">
        <v>0</v>
      </c>
      <c r="E55" s="939">
        <v>-34207</v>
      </c>
      <c r="F55" s="939">
        <v>-80079.97</v>
      </c>
      <c r="G55" s="880"/>
      <c r="H55" s="880"/>
      <c r="I55" s="881">
        <f t="shared" si="2"/>
        <v>7417737.0300000003</v>
      </c>
      <c r="J55" s="599">
        <f>IF(J$18='5.Variables'!$B$16,+'5.Variables'!$N29,+IF(J$18='5.Variables'!$B$39,+'5.Variables'!$N52,+IF(J$18='5.Variables'!$B$62,+'5.Variables'!$N66,+IF(J$18='5.Variables'!$B$76,+'5.Variables'!$N80,+IF(J$18='5.Variables'!$B$90,+'5.Variables'!$N94,+IF(J$18='5.Variables'!$B$104,+'5.Variables'!$N108,0))))))</f>
        <v>519.9</v>
      </c>
      <c r="K55" s="599">
        <f>IF(K$18='5.Variables'!$B$16,+'5.Variables'!$N28,+IF(K$18='5.Variables'!$B$39,+'5.Variables'!$N52,+IF(K$18='5.Variables'!$B$62,+'5.Variables'!$N66,+IF(K$18='5.Variables'!$B$76,+'5.Variables'!$N80,+IF(K$18='5.Variables'!$B$90,+'5.Variables'!$N94,+IF(K$18='5.Variables'!$B$104,+'5.Variables'!$N108,0))))))</f>
        <v>0</v>
      </c>
      <c r="L55" s="599">
        <f>IF(L$18='5.Variables'!$B$16,+'5.Variables'!$N28,+IF(L$18='5.Variables'!$B$39,+'5.Variables'!$N52,+IF(L$18='5.Variables'!$B$62,+'5.Variables'!$N66,+IF(L$18='5.Variables'!$B$76,+'5.Variables'!$N80,+IF(L$18='5.Variables'!$B$90,+'5.Variables'!$N94,+IF(L$18='5.Variables'!$B$104,+'5.Variables'!$N108,0))))))</f>
        <v>31</v>
      </c>
      <c r="M55" s="599">
        <f>IF(M$18='5.Variables'!$B$16,+'5.Variables'!$N28,+IF(M$18='5.Variables'!$B$39,+'5.Variables'!$N52,+IF(M$18='5.Variables'!$B$62,+'5.Variables'!$N66,+IF(M$18='5.Variables'!$B$76,+'5.Variables'!$N80,+IF(M$18='5.Variables'!$B$90,+'5.Variables'!$N94,+IF(M$18='5.Variables'!$B$104,+'5.Variables'!$N108,0))))))</f>
        <v>8.4700000000000006</v>
      </c>
      <c r="N55" s="599">
        <f>IF(N$18='5.Variables'!$B$16,+'5.Variables'!$N28,+IF(N$18='5.Variables'!$B$39,+'5.Variables'!$N52,+IF(N$18='5.Variables'!$B$62,+'5.Variables'!$N66,+IF(N$18='5.Variables'!$B$76,+'5.Variables'!$N80,+IF(N$18='5.Variables'!$B$90,+'5.Variables'!$N94,+IF(N$18='5.Variables'!$B$104,+'5.Variables'!$N108,0))))))</f>
        <v>0</v>
      </c>
      <c r="O55" s="928">
        <v>0</v>
      </c>
      <c r="P55" s="200"/>
      <c r="Q55" s="469">
        <f t="shared" si="0"/>
        <v>7565260.6340875207</v>
      </c>
      <c r="R55" s="216">
        <f>SUM(Q44:Q55)</f>
        <v>89010777.471517652</v>
      </c>
      <c r="S55" s="200"/>
      <c r="T55" s="919">
        <f>'4. Customer Growth'!B26</f>
        <v>2022</v>
      </c>
      <c r="U55" s="931">
        <f>SUM(I128:I139)</f>
        <v>90017844.810154736</v>
      </c>
      <c r="V55" s="921">
        <f t="shared" si="4"/>
        <v>2.4926685754041181E-2</v>
      </c>
      <c r="W55" s="931">
        <f>R139</f>
        <v>88301617.957659543</v>
      </c>
      <c r="X55" s="921">
        <f t="shared" si="4"/>
        <v>-1.1787561681200632E-3</v>
      </c>
      <c r="Y55" s="921">
        <f t="shared" si="3"/>
        <v>-1.906540704362197E-2</v>
      </c>
      <c r="Z55" s="200"/>
      <c r="AA55" s="200"/>
      <c r="AB55" s="200"/>
      <c r="AC55" s="200"/>
      <c r="AD55" s="200"/>
      <c r="AE55" s="200"/>
      <c r="AF55" s="200"/>
      <c r="AG55" s="200"/>
      <c r="AH55" s="200"/>
      <c r="AI55" s="200"/>
      <c r="AJ55" s="200"/>
      <c r="AK55" s="200"/>
      <c r="AL55" s="200"/>
    </row>
    <row r="56" spans="1:38">
      <c r="A56" s="435">
        <f t="shared" si="1"/>
        <v>37</v>
      </c>
      <c r="B56" s="871" t="str">
        <f>CONCATENATE('3. Consumption by Rate Class'!B61,"-",'3. Consumption by Rate Class'!C61)</f>
        <v>2016-January</v>
      </c>
      <c r="C56" s="870">
        <v>8537882.3000000007</v>
      </c>
      <c r="D56" s="934">
        <v>0</v>
      </c>
      <c r="E56" s="935">
        <v>0</v>
      </c>
      <c r="F56" s="935">
        <v>-78165.42</v>
      </c>
      <c r="G56" s="875"/>
      <c r="H56" s="875"/>
      <c r="I56" s="469">
        <f t="shared" si="2"/>
        <v>8459716.8800000008</v>
      </c>
      <c r="J56" s="599">
        <f>IF(J$18='5.Variables'!$B$16,+'5.Variables'!$C30,+IF(J$18='5.Variables'!$B$39,+'5.Variables'!$C53,+IF(J$18='5.Variables'!$B$62,+'5.Variables'!$C67,+IF(J$18='5.Variables'!$B$76,+'5.Variables'!$C81,+IF(J$18='5.Variables'!$B$90,+'5.Variables'!$C95,+IF(J$18='5.Variables'!$B$104,+'5.Variables'!$C109,0))))))</f>
        <v>804.8</v>
      </c>
      <c r="K56" s="599">
        <f>IF(K$18='5.Variables'!$B$16,+'5.Variables'!$C29,+IF(K$18='5.Variables'!$B$39,+'5.Variables'!$C53,+IF(K$18='5.Variables'!$B$62,+'5.Variables'!$C67,+IF(K$18='5.Variables'!$B$76,+'5.Variables'!$C81,+IF(K$18='5.Variables'!$B$90,+'5.Variables'!$C95,+IF(K$18='5.Variables'!$B$104,+'5.Variables'!$C109,0))))))</f>
        <v>0</v>
      </c>
      <c r="L56" s="599">
        <f>IF(L$18='5.Variables'!$B$16,+'5.Variables'!$C29,+IF(L$18='5.Variables'!$B$39,+'5.Variables'!$C53,+IF(L$18='5.Variables'!$B$62,+'5.Variables'!$C67,+IF(L$18='5.Variables'!$B$76,+'5.Variables'!$C81,+IF(L$18='5.Variables'!$B$90,+'5.Variables'!$C95,+IF(L$18='5.Variables'!$B$104,+'5.Variables'!$C109,0))))))</f>
        <v>31</v>
      </c>
      <c r="M56" s="599">
        <f>IF(M$18='5.Variables'!$B$16,+'5.Variables'!$C29,+IF(M$18='5.Variables'!$B$39,+'5.Variables'!$C53,+IF(M$18='5.Variables'!$B$62,+'5.Variables'!$C67,+IF(M$18='5.Variables'!$B$76,+'5.Variables'!$C81,+IF(M$18='5.Variables'!$B$90,+'5.Variables'!$C95,+IF(M$18='5.Variables'!$B$104,+'5.Variables'!$C109,0))))))</f>
        <v>9.09</v>
      </c>
      <c r="N56" s="599">
        <f>IF(N$18='5.Variables'!$B$16,+'5.Variables'!$C29,+IF(N$18='5.Variables'!$B$39,+'5.Variables'!$C53,+IF(N$18='5.Variables'!$B$62,+'5.Variables'!$C67,+IF(N$18='5.Variables'!$B$76,+'5.Variables'!$C81,+IF(N$18='5.Variables'!$B$90,+'5.Variables'!$C95,+IF(N$18='5.Variables'!$B$104,+'5.Variables'!$C109,0))))))</f>
        <v>0</v>
      </c>
      <c r="O56" s="928">
        <v>0</v>
      </c>
      <c r="P56" s="200"/>
      <c r="Q56" s="469">
        <f t="shared" si="0"/>
        <v>8446400.3532154635</v>
      </c>
      <c r="R56" s="216"/>
      <c r="S56" s="200"/>
      <c r="T56" s="603"/>
      <c r="U56" s="604"/>
      <c r="V56" s="605"/>
      <c r="W56" s="604"/>
      <c r="X56" s="605"/>
      <c r="Y56" s="605"/>
      <c r="Z56" s="200"/>
      <c r="AA56" s="200"/>
      <c r="AB56" s="200"/>
      <c r="AC56" s="200"/>
      <c r="AD56" s="200"/>
      <c r="AE56" s="200"/>
      <c r="AF56" s="200"/>
      <c r="AG56" s="200"/>
      <c r="AH56" s="200"/>
      <c r="AI56" s="200"/>
      <c r="AJ56" s="200"/>
      <c r="AK56" s="200"/>
      <c r="AL56" s="200"/>
    </row>
    <row r="57" spans="1:38">
      <c r="A57" s="435">
        <f t="shared" si="1"/>
        <v>38</v>
      </c>
      <c r="B57" s="871" t="str">
        <f>CONCATENATE('3. Consumption by Rate Class'!B62,"-",'3. Consumption by Rate Class'!C62)</f>
        <v>2016-February</v>
      </c>
      <c r="C57" s="870">
        <v>8138281</v>
      </c>
      <c r="D57" s="934">
        <v>0</v>
      </c>
      <c r="E57" s="935">
        <v>0</v>
      </c>
      <c r="F57" s="935">
        <v>-73452.110000000015</v>
      </c>
      <c r="G57" s="875"/>
      <c r="H57" s="875"/>
      <c r="I57" s="469">
        <f t="shared" si="2"/>
        <v>8064828.8899999997</v>
      </c>
      <c r="J57" s="599">
        <f>IF(J$18='5.Variables'!$B$16,+'5.Variables'!$D30,+IF(J$18='5.Variables'!$B$39,+'5.Variables'!$D53,+IF(J$18='5.Variables'!$B$62,+'5.Variables'!$D67,+IF(J$18='5.Variables'!$B$76,+'5.Variables'!$D81,+IF(J$18='5.Variables'!$B$90,+'5.Variables'!$D95,+IF(J$18='5.Variables'!$B$104,+'5.Variables'!$D109,0))))))</f>
        <v>756.3</v>
      </c>
      <c r="K57" s="599">
        <f>IF(K$18='5.Variables'!$B$16,+'5.Variables'!$D29,+IF(K$18='5.Variables'!$B$39,+'5.Variables'!$D53,+IF(K$18='5.Variables'!$B$62,+'5.Variables'!$D67,+IF(K$18='5.Variables'!$B$76,+'5.Variables'!$D81,+IF(K$18='5.Variables'!$B$90,+'5.Variables'!$D95,+IF(K$18='5.Variables'!$B$104,+'5.Variables'!$D109,0))))))</f>
        <v>0</v>
      </c>
      <c r="L57" s="599">
        <f>IF(L$18='5.Variables'!$B$16,+'5.Variables'!$D29,+IF(L$18='5.Variables'!$B$39,+'5.Variables'!$D53,+IF(L$18='5.Variables'!$B$62,+'5.Variables'!$D67,+IF(L$18='5.Variables'!$B$76,+'5.Variables'!$D81,+IF(L$18='5.Variables'!$B$90,+'5.Variables'!$D95,+IF(L$18='5.Variables'!$B$104,+'5.Variables'!$D109,0))))))</f>
        <v>29</v>
      </c>
      <c r="M57" s="599">
        <f>IF(M$18='5.Variables'!$B$16,+'5.Variables'!$D29,+IF(M$18='5.Variables'!$B$39,+'5.Variables'!$D53,+IF(M$18='5.Variables'!$B$62,+'5.Variables'!$D67,+IF(M$18='5.Variables'!$B$76,+'5.Variables'!$D81,+IF(M$18='5.Variables'!$B$90,+'5.Variables'!$D95,+IF(M$18='5.Variables'!$B$104,+'5.Variables'!$D109,0))))))</f>
        <v>10.19</v>
      </c>
      <c r="N57" s="599">
        <f>IF(N$18='5.Variables'!$B$16,+'5.Variables'!$D29,+IF(N$18='5.Variables'!$B$39,+'5.Variables'!$D53,+IF(N$18='5.Variables'!$B$62,+'5.Variables'!$D67,+IF(N$18='5.Variables'!$B$76,+'5.Variables'!$D81,+IF(N$18='5.Variables'!$B$90,+'5.Variables'!$D95,+IF(N$18='5.Variables'!$B$104,+'5.Variables'!$D109,0))))))</f>
        <v>0</v>
      </c>
      <c r="O57" s="928">
        <v>0</v>
      </c>
      <c r="P57" s="200"/>
      <c r="Q57" s="469">
        <f t="shared" si="0"/>
        <v>7992650.1167109665</v>
      </c>
      <c r="R57" s="216"/>
      <c r="S57" s="200"/>
      <c r="T57" s="200"/>
      <c r="U57" s="220"/>
      <c r="V57" s="220"/>
      <c r="W57" s="221"/>
      <c r="X57" s="200"/>
      <c r="Y57" s="200"/>
      <c r="Z57" s="200"/>
      <c r="AA57" s="200"/>
      <c r="AB57" s="200"/>
      <c r="AC57" s="200"/>
      <c r="AD57" s="200"/>
      <c r="AE57" s="200"/>
      <c r="AF57" s="200"/>
      <c r="AG57" s="200"/>
      <c r="AH57" s="200"/>
      <c r="AI57" s="200"/>
      <c r="AJ57" s="200"/>
      <c r="AK57" s="200"/>
      <c r="AL57" s="200"/>
    </row>
    <row r="58" spans="1:38">
      <c r="A58" s="435">
        <f t="shared" si="1"/>
        <v>39</v>
      </c>
      <c r="B58" s="871" t="str">
        <f>CONCATENATE('3. Consumption by Rate Class'!B63,"-",'3. Consumption by Rate Class'!C63)</f>
        <v>2016-March</v>
      </c>
      <c r="C58" s="870">
        <v>7812372.5999999996</v>
      </c>
      <c r="D58" s="934">
        <v>0</v>
      </c>
      <c r="E58" s="935">
        <v>0</v>
      </c>
      <c r="F58" s="935">
        <v>-63508.26</v>
      </c>
      <c r="G58" s="875"/>
      <c r="H58" s="875"/>
      <c r="I58" s="469">
        <f t="shared" si="2"/>
        <v>7748864.3399999999</v>
      </c>
      <c r="J58" s="599">
        <f>IF(J$18='5.Variables'!$B$16,+'5.Variables'!$E30,+IF(J$18='5.Variables'!$B$39,+'5.Variables'!$E53,+IF(J$18='5.Variables'!$B$62,+'5.Variables'!$E67,+IF(J$18='5.Variables'!$B$76,+'5.Variables'!$E81,+IF(J$18='5.Variables'!$B$90,+'5.Variables'!$E95,+IF(J$18='5.Variables'!$B$104,+'5.Variables'!$E109,0))))))</f>
        <v>591.4</v>
      </c>
      <c r="K58" s="599">
        <f>IF(K$18='5.Variables'!$B$16,+'5.Variables'!$E29,+IF(K$18='5.Variables'!$B$39,+'5.Variables'!$E53,+IF(K$18='5.Variables'!$B$62,+'5.Variables'!$E67,+IF(K$18='5.Variables'!$B$76,+'5.Variables'!$E81,+IF(K$18='5.Variables'!$B$90,+'5.Variables'!$E95,+IF(K$18='5.Variables'!$B$104,+'5.Variables'!$E109,0))))))</f>
        <v>0</v>
      </c>
      <c r="L58" s="599">
        <f>IF(L$18='5.Variables'!$B$16,+'5.Variables'!$E29,+IF(L$18='5.Variables'!$B$39,+'5.Variables'!$E53,+IF(L$18='5.Variables'!$B$62,+'5.Variables'!$E67,+IF(L$18='5.Variables'!$B$76,+'5.Variables'!$E81,+IF(L$18='5.Variables'!$B$90,+'5.Variables'!$E95,+IF(L$18='5.Variables'!$B$104,+'5.Variables'!$E109,0))))))</f>
        <v>31</v>
      </c>
      <c r="M58" s="599">
        <f>IF(M$18='5.Variables'!$B$16,+'5.Variables'!$E29,+IF(M$18='5.Variables'!$B$39,+'5.Variables'!$E53,+IF(M$18='5.Variables'!$B$62,+'5.Variables'!$E67,+IF(M$18='5.Variables'!$B$76,+'5.Variables'!$E81,+IF(M$18='5.Variables'!$B$90,+'5.Variables'!$E95,+IF(M$18='5.Variables'!$B$104,+'5.Variables'!$E109,0))))))</f>
        <v>11.51</v>
      </c>
      <c r="N58" s="599">
        <f>IF(N$18='5.Variables'!$B$16,+'5.Variables'!$E29,+IF(N$18='5.Variables'!$B$39,+'5.Variables'!$E53,+IF(N$18='5.Variables'!$B$62,+'5.Variables'!$E67,+IF(N$18='5.Variables'!$B$76,+'5.Variables'!$E81,+IF(N$18='5.Variables'!$B$90,+'5.Variables'!$E95,+IF(N$18='5.Variables'!$B$104,+'5.Variables'!$E109,0))))))</f>
        <v>0</v>
      </c>
      <c r="O58" s="928">
        <v>0</v>
      </c>
      <c r="P58" s="200"/>
      <c r="Q58" s="469">
        <f t="shared" si="0"/>
        <v>7840481.4048179854</v>
      </c>
      <c r="R58" s="216"/>
      <c r="S58" s="200"/>
      <c r="T58" s="203" t="s">
        <v>33</v>
      </c>
      <c r="U58" s="203" t="s">
        <v>43</v>
      </c>
      <c r="V58" s="203" t="s">
        <v>31</v>
      </c>
      <c r="W58" s="203" t="s">
        <v>30</v>
      </c>
      <c r="X58" s="200"/>
      <c r="Y58" s="200"/>
      <c r="Z58" s="200"/>
      <c r="AA58" s="200"/>
      <c r="AB58" s="200"/>
      <c r="AC58" s="200"/>
      <c r="AD58" s="200"/>
      <c r="AE58" s="200"/>
      <c r="AF58" s="200"/>
      <c r="AG58" s="200"/>
      <c r="AH58" s="200"/>
      <c r="AI58" s="200"/>
      <c r="AJ58" s="200"/>
      <c r="AK58" s="200"/>
      <c r="AL58" s="200"/>
    </row>
    <row r="59" spans="1:38">
      <c r="A59" s="435">
        <f t="shared" si="1"/>
        <v>40</v>
      </c>
      <c r="B59" s="871" t="str">
        <f>CONCATENATE('3. Consumption by Rate Class'!B64,"-",'3. Consumption by Rate Class'!C64)</f>
        <v>2016-April</v>
      </c>
      <c r="C59" s="870">
        <v>6841396.5</v>
      </c>
      <c r="D59" s="934">
        <v>0</v>
      </c>
      <c r="E59" s="935">
        <v>0</v>
      </c>
      <c r="F59" s="935">
        <v>-53159.5</v>
      </c>
      <c r="G59" s="875"/>
      <c r="H59" s="875"/>
      <c r="I59" s="469">
        <f t="shared" si="2"/>
        <v>6788237</v>
      </c>
      <c r="J59" s="599">
        <f>IF(J$18='5.Variables'!$B$16,+'5.Variables'!$F30,+IF(J$18='5.Variables'!$B$39,+'5.Variables'!$F53,+IF(J$18='5.Variables'!$B$62,+'5.Variables'!$F67,+IF(J$18='5.Variables'!$B$76,+'5.Variables'!$F81,+IF(J$18='5.Variables'!$B$90,+'5.Variables'!$F95,+IF(J$18='5.Variables'!$B$104,+'5.Variables'!$F109,0))))))</f>
        <v>433.8</v>
      </c>
      <c r="K59" s="599">
        <f>IF(K$18='5.Variables'!$B$16,+'5.Variables'!$F29,+IF(K$18='5.Variables'!$B$39,+'5.Variables'!$F53,+IF(K$18='5.Variables'!$B$62,+'5.Variables'!$F67,+IF(K$18='5.Variables'!$B$76,+'5.Variables'!$F81,+IF(K$18='5.Variables'!$B$90,+'5.Variables'!$F95,+IF(K$18='5.Variables'!$B$104,+'5.Variables'!$F109,0))))))</f>
        <v>0</v>
      </c>
      <c r="L59" s="599">
        <f>IF(L$18='5.Variables'!$B$16,+'5.Variables'!$F29,+IF(L$18='5.Variables'!$B$39,+'5.Variables'!$F53,+IF(L$18='5.Variables'!$B$62,+'5.Variables'!$F67,+IF(L$18='5.Variables'!$B$76,+'5.Variables'!$F81,+IF(L$18='5.Variables'!$B$90,+'5.Variables'!$F95,+IF(L$18='5.Variables'!$B$104,+'5.Variables'!$F109,0))))))</f>
        <v>30</v>
      </c>
      <c r="M59" s="599">
        <f>IF(M$18='5.Variables'!$B$16,+'5.Variables'!$F29,+IF(M$18='5.Variables'!$B$39,+'5.Variables'!$F53,+IF(M$18='5.Variables'!$B$62,+'5.Variables'!$F67,+IF(M$18='5.Variables'!$B$76,+'5.Variables'!$F81,+IF(M$18='5.Variables'!$B$90,+'5.Variables'!$F95,+IF(M$18='5.Variables'!$B$104,+'5.Variables'!$F109,0))))))</f>
        <v>13.28</v>
      </c>
      <c r="N59" s="599">
        <f>IF(N$18='5.Variables'!$B$16,+'5.Variables'!$F29,+IF(N$18='5.Variables'!$B$39,+'5.Variables'!$F53,+IF(N$18='5.Variables'!$B$62,+'5.Variables'!$F67,+IF(N$18='5.Variables'!$B$76,+'5.Variables'!$F81,+IF(N$18='5.Variables'!$B$90,+'5.Variables'!$F95,+IF(N$18='5.Variables'!$B$104,+'5.Variables'!$F109,0))))))</f>
        <v>0</v>
      </c>
      <c r="O59" s="928">
        <v>0</v>
      </c>
      <c r="P59" s="200"/>
      <c r="Q59" s="469">
        <f t="shared" si="0"/>
        <v>7229498.5857264996</v>
      </c>
      <c r="R59" s="216"/>
      <c r="S59" s="200"/>
      <c r="T59" s="204">
        <f>'4. Customer Growth'!B17</f>
        <v>2013</v>
      </c>
      <c r="U59" s="218">
        <f>U46</f>
        <v>90874156.25999999</v>
      </c>
      <c r="V59" s="218">
        <f t="shared" ref="V59:V68" si="5">W46</f>
        <v>88366010.048238277</v>
      </c>
      <c r="W59" s="219">
        <f>IF(ABS(U59-V59)=0,0,ABS(U59-V59)/U59)</f>
        <v>2.7600214571298548E-2</v>
      </c>
      <c r="X59" s="200"/>
      <c r="Y59" s="200"/>
      <c r="Z59" s="200"/>
      <c r="AA59" s="200"/>
      <c r="AB59" s="200"/>
      <c r="AC59" s="200"/>
      <c r="AD59" s="200"/>
      <c r="AE59" s="200"/>
      <c r="AF59" s="200"/>
      <c r="AG59" s="200"/>
      <c r="AH59" s="200"/>
      <c r="AI59" s="200"/>
      <c r="AJ59" s="200"/>
      <c r="AK59" s="200"/>
      <c r="AL59" s="200"/>
    </row>
    <row r="60" spans="1:38">
      <c r="A60" s="435">
        <f t="shared" si="1"/>
        <v>41</v>
      </c>
      <c r="B60" s="871" t="str">
        <f>CONCATENATE('3. Consumption by Rate Class'!B65,"-",'3. Consumption by Rate Class'!C65)</f>
        <v>2016-May</v>
      </c>
      <c r="C60" s="870">
        <v>6762966.2999999998</v>
      </c>
      <c r="D60" s="934">
        <v>0</v>
      </c>
      <c r="E60" s="935">
        <v>0</v>
      </c>
      <c r="F60" s="935">
        <v>-47801.16</v>
      </c>
      <c r="G60" s="875"/>
      <c r="H60" s="875"/>
      <c r="I60" s="469">
        <f t="shared" si="2"/>
        <v>6715165.1399999997</v>
      </c>
      <c r="J60" s="599">
        <f>IF(J$18='5.Variables'!$B$16,+'5.Variables'!$G30,+IF(J$18='5.Variables'!$B$39,+'5.Variables'!$G53,+IF(J$18='5.Variables'!$B$62,+'5.Variables'!$G67,+IF(J$18='5.Variables'!$B$76,+'5.Variables'!$G81,+IF(J$18='5.Variables'!$B$90,+'5.Variables'!$G95,+IF(J$18='5.Variables'!$B$104,+'5.Variables'!$G109,0))))))</f>
        <v>145.4</v>
      </c>
      <c r="K60" s="599">
        <f>IF(K$18='5.Variables'!$B$16,+'5.Variables'!$G29,+IF(K$18='5.Variables'!$B$39,+'5.Variables'!$G53,+IF(K$18='5.Variables'!$B$62,+'5.Variables'!$G67,+IF(K$18='5.Variables'!$B$76,+'5.Variables'!$G81,+IF(K$18='5.Variables'!$B$90,+'5.Variables'!$G95,+IF(K$18='5.Variables'!$B$104,+'5.Variables'!$G109,0))))))</f>
        <v>28.7</v>
      </c>
      <c r="L60" s="599">
        <f>IF(L$18='5.Variables'!$B$16,+'5.Variables'!$G29,+IF(L$18='5.Variables'!$B$39,+'5.Variables'!$G53,+IF(L$18='5.Variables'!$B$62,+'5.Variables'!$G67,+IF(L$18='5.Variables'!$B$76,+'5.Variables'!$G81,+IF(L$18='5.Variables'!$B$90,+'5.Variables'!$G95,+IF(L$18='5.Variables'!$B$104,+'5.Variables'!$G109,0))))))</f>
        <v>31</v>
      </c>
      <c r="M60" s="599">
        <f>IF(M$18='5.Variables'!$B$16,+'5.Variables'!$G29,+IF(M$18='5.Variables'!$B$39,+'5.Variables'!$G53,+IF(M$18='5.Variables'!$B$62,+'5.Variables'!$G67,+IF(M$18='5.Variables'!$B$76,+'5.Variables'!$G81,+IF(M$18='5.Variables'!$B$90,+'5.Variables'!$G95,+IF(M$18='5.Variables'!$B$104,+'5.Variables'!$G109,0))))))</f>
        <v>14.52</v>
      </c>
      <c r="N60" s="599">
        <f>IF(N$18='5.Variables'!$B$16,+'5.Variables'!$G29,+IF(N$18='5.Variables'!$B$39,+'5.Variables'!$G53,+IF(N$18='5.Variables'!$B$62,+'5.Variables'!$G67,+IF(N$18='5.Variables'!$B$76,+'5.Variables'!$G81,+IF(N$18='5.Variables'!$B$90,+'5.Variables'!$G95,+IF(N$18='5.Variables'!$B$104,+'5.Variables'!$G109,0))))))</f>
        <v>0</v>
      </c>
      <c r="O60" s="928">
        <v>0</v>
      </c>
      <c r="P60" s="200"/>
      <c r="Q60" s="469">
        <f t="shared" si="0"/>
        <v>6970491.4632395012</v>
      </c>
      <c r="R60" s="216"/>
      <c r="S60" s="200"/>
      <c r="T60" s="204">
        <f>'4. Customer Growth'!B18</f>
        <v>2014</v>
      </c>
      <c r="U60" s="218">
        <f>U47</f>
        <v>89376615.260000005</v>
      </c>
      <c r="V60" s="218">
        <f t="shared" si="5"/>
        <v>88661685.778080925</v>
      </c>
      <c r="W60" s="219">
        <f t="shared" ref="W60:W68" si="6">IF(ABS(U60-V60)=0,0,ABS(U60-V60)/U60)</f>
        <v>7.9990664206663308E-3</v>
      </c>
      <c r="X60" s="222"/>
      <c r="Y60" s="200"/>
      <c r="Z60" s="200"/>
      <c r="AA60" s="200"/>
      <c r="AB60" s="200"/>
      <c r="AC60" s="200"/>
      <c r="AD60" s="200"/>
      <c r="AE60" s="200"/>
      <c r="AF60" s="200"/>
      <c r="AG60" s="200"/>
      <c r="AH60" s="200"/>
      <c r="AI60" s="200"/>
      <c r="AJ60" s="200"/>
      <c r="AK60" s="200"/>
      <c r="AL60" s="200"/>
    </row>
    <row r="61" spans="1:38">
      <c r="A61" s="435">
        <f t="shared" si="1"/>
        <v>42</v>
      </c>
      <c r="B61" s="871" t="str">
        <f>CONCATENATE('3. Consumption by Rate Class'!B66,"-",'3. Consumption by Rate Class'!C66)</f>
        <v>2016-June</v>
      </c>
      <c r="C61" s="870">
        <v>7313366.9000000004</v>
      </c>
      <c r="D61" s="934">
        <v>0</v>
      </c>
      <c r="E61" s="935">
        <v>0</v>
      </c>
      <c r="F61" s="935">
        <v>-42187.28</v>
      </c>
      <c r="G61" s="875"/>
      <c r="H61" s="875"/>
      <c r="I61" s="469">
        <f t="shared" si="2"/>
        <v>7271179.6200000001</v>
      </c>
      <c r="J61" s="599">
        <f>IF(J$18='5.Variables'!$B$16,+'5.Variables'!$H30,+IF(J$18='5.Variables'!$B$39,+'5.Variables'!$H53,+IF(J$18='5.Variables'!$B$62,+'5.Variables'!$H67,+IF(J$18='5.Variables'!$B$76,+'5.Variables'!$H81,+IF(J$18='5.Variables'!$B$90,+'5.Variables'!$H95,+IF(J$18='5.Variables'!$B$104,+'5.Variables'!$H109,0))))))</f>
        <v>36.299999999999997</v>
      </c>
      <c r="K61" s="599">
        <f>IF(K$18='5.Variables'!$B$16,+'5.Variables'!$H29,+IF(K$18='5.Variables'!$B$39,+'5.Variables'!$H53,+IF(K$18='5.Variables'!$B$62,+'5.Variables'!$H67,+IF(K$18='5.Variables'!$B$76,+'5.Variables'!$H81,+IF(K$18='5.Variables'!$B$90,+'5.Variables'!$H95,+IF(K$18='5.Variables'!$B$104,+'5.Variables'!$H109,0))))))</f>
        <v>52</v>
      </c>
      <c r="L61" s="599">
        <f>IF(L$18='5.Variables'!$B$16,+'5.Variables'!$H29,+IF(L$18='5.Variables'!$B$39,+'5.Variables'!$H53,+IF(L$18='5.Variables'!$B$62,+'5.Variables'!$H67,+IF(L$18='5.Variables'!$B$76,+'5.Variables'!$H81,+IF(L$18='5.Variables'!$B$90,+'5.Variables'!$H95,+IF(L$18='5.Variables'!$B$104,+'5.Variables'!$H109,0))))))</f>
        <v>30</v>
      </c>
      <c r="M61" s="599">
        <f>IF(M$18='5.Variables'!$B$16,+'5.Variables'!$H29,+IF(M$18='5.Variables'!$B$39,+'5.Variables'!$H53,+IF(M$18='5.Variables'!$B$62,+'5.Variables'!$H67,+IF(M$18='5.Variables'!$B$76,+'5.Variables'!$H81,+IF(M$18='5.Variables'!$B$90,+'5.Variables'!$H95,+IF(M$18='5.Variables'!$B$104,+'5.Variables'!$H109,0))))))</f>
        <v>15.35</v>
      </c>
      <c r="N61" s="599">
        <f>IF(N$18='5.Variables'!$B$16,+'5.Variables'!$H29,+IF(N$18='5.Variables'!$B$39,+'5.Variables'!$H53,+IF(N$18='5.Variables'!$B$62,+'5.Variables'!$H67,+IF(N$18='5.Variables'!$B$76,+'5.Variables'!$H81,+IF(N$18='5.Variables'!$B$90,+'5.Variables'!$H95,+IF(N$18='5.Variables'!$B$104,+'5.Variables'!$H109,0))))))</f>
        <v>0</v>
      </c>
      <c r="O61" s="928">
        <v>0</v>
      </c>
      <c r="P61" s="200"/>
      <c r="Q61" s="469">
        <f t="shared" si="0"/>
        <v>6842863.5565284286</v>
      </c>
      <c r="R61" s="216"/>
      <c r="S61" s="200"/>
      <c r="T61" s="204">
        <f>'4. Customer Growth'!B19</f>
        <v>2015</v>
      </c>
      <c r="U61" s="218">
        <f t="shared" ref="U61:U68" si="7">U48</f>
        <v>89768282.25999999</v>
      </c>
      <c r="V61" s="218">
        <f t="shared" si="5"/>
        <v>89010777.471517652</v>
      </c>
      <c r="W61" s="219">
        <f t="shared" si="6"/>
        <v>8.4384458453637592E-3</v>
      </c>
      <c r="X61" s="222"/>
      <c r="Y61" s="200"/>
      <c r="Z61" s="200"/>
      <c r="AA61" s="200"/>
      <c r="AB61" s="200"/>
      <c r="AC61" s="200"/>
      <c r="AD61" s="200"/>
      <c r="AE61" s="200"/>
      <c r="AF61" s="200"/>
      <c r="AG61" s="200"/>
      <c r="AH61" s="200"/>
      <c r="AI61" s="200"/>
      <c r="AJ61" s="200"/>
      <c r="AK61" s="200"/>
      <c r="AL61" s="200"/>
    </row>
    <row r="62" spans="1:38">
      <c r="A62" s="435">
        <f t="shared" si="1"/>
        <v>43</v>
      </c>
      <c r="B62" s="871" t="str">
        <f>CONCATENATE('3. Consumption by Rate Class'!B67,"-",'3. Consumption by Rate Class'!C67)</f>
        <v>2016-July</v>
      </c>
      <c r="C62" s="870">
        <v>7890808.2999999998</v>
      </c>
      <c r="D62" s="934">
        <v>0</v>
      </c>
      <c r="E62" s="935">
        <v>0</v>
      </c>
      <c r="F62" s="935">
        <v>-45845.020000000004</v>
      </c>
      <c r="G62" s="875"/>
      <c r="H62" s="875"/>
      <c r="I62" s="469">
        <f t="shared" si="2"/>
        <v>7844963.2800000003</v>
      </c>
      <c r="J62" s="599">
        <f>IF(J$18='5.Variables'!$B$16,+'5.Variables'!$I30,+IF(J$18='5.Variables'!$B$39,+'5.Variables'!$I53,+IF(J$18='5.Variables'!$B$62,+'5.Variables'!$I67,+IF(J$18='5.Variables'!$B$76,+'5.Variables'!$I81,+IF(J$18='5.Variables'!$B$90,+'5.Variables'!$I95,+IF(J$18='5.Variables'!$B$104,+'5.Variables'!$I109,0))))))</f>
        <v>3.4</v>
      </c>
      <c r="K62" s="599">
        <f>IF(K$18='5.Variables'!$B$16,+'5.Variables'!$I29,+IF(K$18='5.Variables'!$B$39,+'5.Variables'!$I53,+IF(K$18='5.Variables'!$B$62,+'5.Variables'!$I67,+IF(K$18='5.Variables'!$B$76,+'5.Variables'!$I81,+IF(K$18='5.Variables'!$B$90,+'5.Variables'!$I95,+IF(K$18='5.Variables'!$B$104,+'5.Variables'!$I109,0))))))</f>
        <v>112.6</v>
      </c>
      <c r="L62" s="599">
        <f>IF(L$18='5.Variables'!$B$16,+'5.Variables'!$I29,+IF(L$18='5.Variables'!$B$39,+'5.Variables'!$I53,+IF(L$18='5.Variables'!$B$62,+'5.Variables'!$I67,+IF(L$18='5.Variables'!$B$76,+'5.Variables'!$I81,+IF(L$18='5.Variables'!$B$90,+'5.Variables'!$I95,+IF(L$18='5.Variables'!$B$104,+'5.Variables'!$I109,0))))))</f>
        <v>31</v>
      </c>
      <c r="M62" s="599">
        <f>IF(M$18='5.Variables'!$B$16,+'5.Variables'!$I29,+IF(M$18='5.Variables'!$B$39,+'5.Variables'!$I53,+IF(M$18='5.Variables'!$B$62,+'5.Variables'!$I67,+IF(M$18='5.Variables'!$B$76,+'5.Variables'!$I81,+IF(M$18='5.Variables'!$B$90,+'5.Variables'!$I95,+IF(M$18='5.Variables'!$B$104,+'5.Variables'!$I109,0))))))</f>
        <v>15.15</v>
      </c>
      <c r="N62" s="599">
        <f>IF(N$18='5.Variables'!$B$16,+'5.Variables'!$I29,+IF(N$18='5.Variables'!$B$39,+'5.Variables'!$I53,+IF(N$18='5.Variables'!$B$62,+'5.Variables'!$I67,+IF(N$18='5.Variables'!$B$76,+'5.Variables'!$I81,+IF(N$18='5.Variables'!$B$90,+'5.Variables'!$I95,+IF(N$18='5.Variables'!$B$104,+'5.Variables'!$I109,0))))))</f>
        <v>0</v>
      </c>
      <c r="O62" s="928">
        <v>0</v>
      </c>
      <c r="P62" s="200"/>
      <c r="Q62" s="469">
        <f t="shared" si="0"/>
        <v>7819876.0574634783</v>
      </c>
      <c r="R62" s="216"/>
      <c r="S62" s="200"/>
      <c r="T62" s="204">
        <f>'4. Customer Growth'!B20</f>
        <v>2016</v>
      </c>
      <c r="U62" s="218">
        <f t="shared" si="7"/>
        <v>89085775.25999999</v>
      </c>
      <c r="V62" s="218">
        <f t="shared" si="5"/>
        <v>89934682.74622038</v>
      </c>
      <c r="W62" s="219">
        <f t="shared" si="6"/>
        <v>9.5291025277921531E-3</v>
      </c>
      <c r="X62" s="222"/>
      <c r="Y62" s="200"/>
      <c r="Z62" s="200"/>
      <c r="AA62" s="200"/>
      <c r="AB62" s="200"/>
      <c r="AC62" s="200"/>
      <c r="AD62" s="200"/>
      <c r="AE62" s="200"/>
      <c r="AF62" s="200"/>
      <c r="AG62" s="200"/>
      <c r="AH62" s="200"/>
      <c r="AI62" s="200"/>
      <c r="AJ62" s="200"/>
      <c r="AK62" s="200"/>
      <c r="AL62" s="200"/>
    </row>
    <row r="63" spans="1:38">
      <c r="A63" s="435">
        <f t="shared" si="1"/>
        <v>44</v>
      </c>
      <c r="B63" s="871" t="str">
        <f>CONCATENATE('3. Consumption by Rate Class'!B68,"-",'3. Consumption by Rate Class'!C68)</f>
        <v>2016-August</v>
      </c>
      <c r="C63" s="870">
        <v>7863376.7000000002</v>
      </c>
      <c r="D63" s="934">
        <v>0</v>
      </c>
      <c r="E63" s="935">
        <v>0</v>
      </c>
      <c r="F63" s="935">
        <v>-52436.47</v>
      </c>
      <c r="G63" s="875"/>
      <c r="H63" s="875"/>
      <c r="I63" s="469">
        <f t="shared" si="2"/>
        <v>7810940.2300000004</v>
      </c>
      <c r="J63" s="599">
        <f>IF(J$18='5.Variables'!$B$16,+'5.Variables'!$J30,+IF(J$18='5.Variables'!$B$39,+'5.Variables'!$J53,+IF(J$18='5.Variables'!$B$62,+'5.Variables'!$J67,+IF(J$18='5.Variables'!$B$76,+'5.Variables'!$J81,+IF(J$18='5.Variables'!$B$90,+'5.Variables'!$J95,+IF(J$18='5.Variables'!$B$104,+'5.Variables'!$J109,0))))))</f>
        <v>1.4</v>
      </c>
      <c r="K63" s="599">
        <f>IF(K$18='5.Variables'!$B$16,+'5.Variables'!$J29,+IF(K$18='5.Variables'!$B$39,+'5.Variables'!$J53,+IF(K$18='5.Variables'!$B$62,+'5.Variables'!$J67,+IF(K$18='5.Variables'!$B$76,+'5.Variables'!$J81,+IF(K$18='5.Variables'!$B$90,+'5.Variables'!$J95,+IF(K$18='5.Variables'!$B$104,+'5.Variables'!$J109,0))))))</f>
        <v>124.6</v>
      </c>
      <c r="L63" s="599">
        <f>IF(L$18='5.Variables'!$B$16,+'5.Variables'!$J29,+IF(L$18='5.Variables'!$B$39,+'5.Variables'!$J53,+IF(L$18='5.Variables'!$B$62,+'5.Variables'!$J67,+IF(L$18='5.Variables'!$B$76,+'5.Variables'!$J81,+IF(L$18='5.Variables'!$B$90,+'5.Variables'!$J95,+IF(L$18='5.Variables'!$B$104,+'5.Variables'!$J109,0))))))</f>
        <v>31</v>
      </c>
      <c r="M63" s="599">
        <f>IF(M$18='5.Variables'!$B$16,+'5.Variables'!$J29,+IF(M$18='5.Variables'!$B$39,+'5.Variables'!$J53,+IF(M$18='5.Variables'!$B$62,+'5.Variables'!$J67,+IF(M$18='5.Variables'!$B$76,+'5.Variables'!$J81,+IF(M$18='5.Variables'!$B$90,+'5.Variables'!$J95,+IF(M$18='5.Variables'!$B$104,+'5.Variables'!$J109,0))))))</f>
        <v>14.03</v>
      </c>
      <c r="N63" s="599">
        <f>IF(N$18='5.Variables'!$B$16,+'5.Variables'!$J29,+IF(N$18='5.Variables'!$B$39,+'5.Variables'!$J53,+IF(N$18='5.Variables'!$B$62,+'5.Variables'!$J67,+IF(N$18='5.Variables'!$B$76,+'5.Variables'!$J81,+IF(N$18='5.Variables'!$B$90,+'5.Variables'!$J95,+IF(N$18='5.Variables'!$B$104,+'5.Variables'!$J109,0))))))</f>
        <v>0</v>
      </c>
      <c r="O63" s="928">
        <v>0</v>
      </c>
      <c r="P63" s="200"/>
      <c r="Q63" s="469">
        <f t="shared" si="0"/>
        <v>7974552.4057169594</v>
      </c>
      <c r="R63" s="216"/>
      <c r="S63" s="200"/>
      <c r="T63" s="204">
        <f>'4. Customer Growth'!B21</f>
        <v>2017</v>
      </c>
      <c r="U63" s="218">
        <f t="shared" si="7"/>
        <v>88171491.929999992</v>
      </c>
      <c r="V63" s="218">
        <f t="shared" si="5"/>
        <v>88121279.395198524</v>
      </c>
      <c r="W63" s="219">
        <f t="shared" si="6"/>
        <v>5.694871857372263E-4</v>
      </c>
      <c r="X63" s="222"/>
      <c r="Y63" s="200"/>
      <c r="Z63" s="200"/>
      <c r="AA63" s="200"/>
      <c r="AB63" s="200"/>
      <c r="AC63" s="200"/>
      <c r="AD63" s="200"/>
      <c r="AE63" s="200"/>
      <c r="AF63" s="200"/>
      <c r="AG63" s="200"/>
      <c r="AH63" s="200"/>
      <c r="AI63" s="200"/>
      <c r="AJ63" s="200"/>
      <c r="AK63" s="200"/>
      <c r="AL63" s="200"/>
    </row>
    <row r="64" spans="1:38">
      <c r="A64" s="435">
        <f t="shared" si="1"/>
        <v>45</v>
      </c>
      <c r="B64" s="871" t="str">
        <f>CONCATENATE('3. Consumption by Rate Class'!B69,"-",'3. Consumption by Rate Class'!C69)</f>
        <v>2016-September</v>
      </c>
      <c r="C64" s="870">
        <v>6765932.9000000004</v>
      </c>
      <c r="D64" s="934">
        <v>0</v>
      </c>
      <c r="E64" s="935">
        <v>0</v>
      </c>
      <c r="F64" s="935">
        <v>-58560.43</v>
      </c>
      <c r="G64" s="875"/>
      <c r="H64" s="875"/>
      <c r="I64" s="469">
        <f>C64-D64+E64+F64</f>
        <v>6707372.4700000007</v>
      </c>
      <c r="J64" s="599">
        <f>IF(J$18='5.Variables'!$B$16,+'5.Variables'!$K30,+IF(J$18='5.Variables'!$B$39,+'5.Variables'!$K53,+IF(J$18='5.Variables'!$B$62,+'5.Variables'!$K67,+IF(J$18='5.Variables'!$B$76,+'5.Variables'!$K81,+IF(J$18='5.Variables'!$B$90,+'5.Variables'!$K95,+IF(J$18='5.Variables'!$B$104,+'5.Variables'!$K109,0))))))</f>
        <v>75.099999999999994</v>
      </c>
      <c r="K64" s="599">
        <f>IF(K$18='5.Variables'!$B$16,+'5.Variables'!$K29,+IF(K$18='5.Variables'!$B$39,+'5.Variables'!$K53,+IF(K$18='5.Variables'!$B$62,+'5.Variables'!$K67,+IF(K$18='5.Variables'!$B$76,+'5.Variables'!$K81,+IF(K$18='5.Variables'!$B$90,+'5.Variables'!$K95,+IF(K$18='5.Variables'!$B$104,+'5.Variables'!$K109,0))))))</f>
        <v>24.9</v>
      </c>
      <c r="L64" s="599">
        <f>IF(L$18='5.Variables'!$B$16,+'5.Variables'!$K29,+IF(L$18='5.Variables'!$B$39,+'5.Variables'!$K53,+IF(L$18='5.Variables'!$B$62,+'5.Variables'!$K67,+IF(L$18='5.Variables'!$B$76,+'5.Variables'!$K81,+IF(L$18='5.Variables'!$B$90,+'5.Variables'!$K95,+IF(L$18='5.Variables'!$B$104,+'5.Variables'!$K109,0))))))</f>
        <v>30</v>
      </c>
      <c r="M64" s="599">
        <f>IF(M$18='5.Variables'!$B$16,+'5.Variables'!$K29,+IF(M$18='5.Variables'!$B$39,+'5.Variables'!$K53,+IF(M$18='5.Variables'!$B$62,+'5.Variables'!$K67,+IF(M$18='5.Variables'!$B$76,+'5.Variables'!$K81,+IF(M$18='5.Variables'!$B$90,+'5.Variables'!$K95,+IF(M$18='5.Variables'!$B$104,+'5.Variables'!$K109,0))))))</f>
        <v>12.29</v>
      </c>
      <c r="N64" s="599">
        <f>IF(N$18='5.Variables'!$B$16,+'5.Variables'!$K29,+IF(N$18='5.Variables'!$B$39,+'5.Variables'!$K53,+IF(N$18='5.Variables'!$B$62,+'5.Variables'!$K67,+IF(N$18='5.Variables'!$B$76,+'5.Variables'!$K81,+IF(N$18='5.Variables'!$B$90,+'5.Variables'!$K95,+IF(N$18='5.Variables'!$B$104,+'5.Variables'!$K109,0))))))</f>
        <v>0</v>
      </c>
      <c r="O64" s="928">
        <v>0</v>
      </c>
      <c r="P64" s="200"/>
      <c r="Q64" s="469">
        <f t="shared" si="0"/>
        <v>6493380.0464055082</v>
      </c>
      <c r="R64" s="216"/>
      <c r="S64" s="200"/>
      <c r="T64" s="204">
        <f>'4. Customer Growth'!B22</f>
        <v>2018</v>
      </c>
      <c r="U64" s="218">
        <f t="shared" si="7"/>
        <v>89884663.680000007</v>
      </c>
      <c r="V64" s="218">
        <f t="shared" si="5"/>
        <v>90935675.292789266</v>
      </c>
      <c r="W64" s="219">
        <f t="shared" si="6"/>
        <v>1.1692891420620802E-2</v>
      </c>
      <c r="X64" s="222"/>
      <c r="Y64" s="200"/>
      <c r="Z64" s="200"/>
      <c r="AA64" s="200"/>
      <c r="AB64" s="200"/>
      <c r="AC64" s="200"/>
      <c r="AD64" s="200"/>
      <c r="AE64" s="200"/>
      <c r="AF64" s="200"/>
      <c r="AG64" s="200"/>
      <c r="AH64" s="200"/>
      <c r="AI64" s="200"/>
      <c r="AJ64" s="200"/>
      <c r="AK64" s="200"/>
      <c r="AL64" s="200"/>
    </row>
    <row r="65" spans="1:38">
      <c r="A65" s="435">
        <f t="shared" si="1"/>
        <v>46</v>
      </c>
      <c r="B65" s="871" t="str">
        <f>CONCATENATE('3. Consumption by Rate Class'!B70,"-",'3. Consumption by Rate Class'!C70)</f>
        <v>2016-October</v>
      </c>
      <c r="C65" s="870">
        <v>6759649.2999999998</v>
      </c>
      <c r="D65" s="934">
        <v>0</v>
      </c>
      <c r="E65" s="935">
        <v>0</v>
      </c>
      <c r="F65" s="935">
        <v>-69149.34</v>
      </c>
      <c r="G65" s="876"/>
      <c r="H65" s="875"/>
      <c r="I65" s="469">
        <f t="shared" si="2"/>
        <v>6690499.96</v>
      </c>
      <c r="J65" s="599">
        <f>IF(J$18='5.Variables'!$B$16,+'5.Variables'!$L30,+IF(J$18='5.Variables'!$B$39,+'5.Variables'!$L53,+IF(J$18='5.Variables'!$B$62,+'5.Variables'!$L67,+IF(J$18='5.Variables'!$B$76,+'5.Variables'!$L81,+IF(J$18='5.Variables'!$B$90,+'5.Variables'!$L95,+IF(J$18='5.Variables'!$B$104,+'5.Variables'!$L109,0))))))</f>
        <v>291.10000000000002</v>
      </c>
      <c r="K65" s="599">
        <f>IF(K$18='5.Variables'!$B$16,+'5.Variables'!$L29,+IF(K$18='5.Variables'!$B$39,+'5.Variables'!$L53,+IF(K$18='5.Variables'!$B$62,+'5.Variables'!$L67,+IF(K$18='5.Variables'!$B$76,+'5.Variables'!$L81,+IF(K$18='5.Variables'!$B$90,+'5.Variables'!$L95,+IF(K$18='5.Variables'!$B$104,+'5.Variables'!$L109,0))))))</f>
        <v>0</v>
      </c>
      <c r="L65" s="599">
        <f>IF(L$18='5.Variables'!$B$16,+'5.Variables'!$L29,+IF(L$18='5.Variables'!$B$39,+'5.Variables'!$L53,+IF(L$18='5.Variables'!$B$62,+'5.Variables'!$L67,+IF(L$18='5.Variables'!$B$76,+'5.Variables'!$L81,+IF(L$18='5.Variables'!$B$90,+'5.Variables'!$L95,+IF(L$18='5.Variables'!$B$104,+'5.Variables'!$L109,0))))))</f>
        <v>31</v>
      </c>
      <c r="M65" s="599">
        <f>IF(M$18='5.Variables'!$B$16,+'5.Variables'!$L29,+IF(M$18='5.Variables'!$B$39,+'5.Variables'!$L53,+IF(M$18='5.Variables'!$B$62,+'5.Variables'!$L67,+IF(M$18='5.Variables'!$B$76,+'5.Variables'!$L81,+IF(M$18='5.Variables'!$B$90,+'5.Variables'!$L95,+IF(M$18='5.Variables'!$B$104,+'5.Variables'!$L109,0))))))</f>
        <v>10.51</v>
      </c>
      <c r="N65" s="599">
        <f>IF(N$18='5.Variables'!$B$16,+'5.Variables'!$L29,+IF(N$18='5.Variables'!$B$39,+'5.Variables'!$L53,+IF(N$18='5.Variables'!$B$62,+'5.Variables'!$L67,+IF(N$18='5.Variables'!$B$76,+'5.Variables'!$L81,+IF(N$18='5.Variables'!$B$90,+'5.Variables'!$L95,+IF(N$18='5.Variables'!$B$104,+'5.Variables'!$L109,0))))))</f>
        <v>0</v>
      </c>
      <c r="O65" s="928">
        <v>0</v>
      </c>
      <c r="P65" s="200"/>
      <c r="Q65" s="469">
        <f t="shared" si="0"/>
        <v>6905215.5547916181</v>
      </c>
      <c r="R65" s="216"/>
      <c r="S65" s="200"/>
      <c r="T65" s="204">
        <f>'4. Customer Growth'!B23</f>
        <v>2019</v>
      </c>
      <c r="U65" s="218">
        <f t="shared" si="7"/>
        <v>89565183.469999999</v>
      </c>
      <c r="V65" s="218">
        <f t="shared" si="5"/>
        <v>89315411.477069527</v>
      </c>
      <c r="W65" s="219">
        <f t="shared" si="6"/>
        <v>2.7887174821021096E-3</v>
      </c>
      <c r="X65" s="222"/>
      <c r="Y65" s="200"/>
      <c r="Z65" s="200"/>
      <c r="AA65" s="200"/>
      <c r="AB65" s="200"/>
      <c r="AC65" s="200"/>
      <c r="AD65" s="200"/>
      <c r="AE65" s="200"/>
      <c r="AF65" s="200"/>
      <c r="AG65" s="200"/>
      <c r="AH65" s="200"/>
      <c r="AI65" s="200"/>
      <c r="AJ65" s="200"/>
      <c r="AK65" s="200"/>
      <c r="AL65" s="200"/>
    </row>
    <row r="66" spans="1:38">
      <c r="A66" s="435">
        <f t="shared" si="1"/>
        <v>47</v>
      </c>
      <c r="B66" s="871" t="str">
        <f>CONCATENATE('3. Consumption by Rate Class'!B71,"-",'3. Consumption by Rate Class'!C71)</f>
        <v>2016-November</v>
      </c>
      <c r="C66" s="870">
        <v>7073734.7000000002</v>
      </c>
      <c r="D66" s="934">
        <v>0</v>
      </c>
      <c r="E66" s="935">
        <v>0</v>
      </c>
      <c r="F66" s="935">
        <v>-74082.78</v>
      </c>
      <c r="G66" s="876"/>
      <c r="H66" s="875"/>
      <c r="I66" s="469">
        <f t="shared" si="2"/>
        <v>6999651.9199999999</v>
      </c>
      <c r="J66" s="599">
        <f>IF(J$18='5.Variables'!$B$16,+'5.Variables'!$M30,+IF(J$18='5.Variables'!$B$39,+'5.Variables'!$M53,+IF(J$18='5.Variables'!$B$62,+'5.Variables'!$M67,+IF(J$18='5.Variables'!$B$76,+'5.Variables'!$M81,+IF(J$18='5.Variables'!$B$90,+'5.Variables'!$M95,+IF(J$18='5.Variables'!$B$104,+'5.Variables'!$M109,0))))))</f>
        <v>449.5</v>
      </c>
      <c r="K66" s="599">
        <f>IF(K$18='5.Variables'!$B$16,+'5.Variables'!$M29,+IF(K$18='5.Variables'!$B$39,+'5.Variables'!$M53,+IF(K$18='5.Variables'!$B$62,+'5.Variables'!$M67,+IF(K$18='5.Variables'!$B$76,+'5.Variables'!$M81,+IF(K$18='5.Variables'!$B$90,+'5.Variables'!$M95,+IF(K$18='5.Variables'!$B$104,+'5.Variables'!$M109,0))))))</f>
        <v>0</v>
      </c>
      <c r="L66" s="599">
        <f>IF(L$18='5.Variables'!$B$16,+'5.Variables'!$M29,+IF(L$18='5.Variables'!$B$39,+'5.Variables'!$M53,+IF(L$18='5.Variables'!$B$62,+'5.Variables'!$M67,+IF(L$18='5.Variables'!$B$76,+'5.Variables'!$M81,+IF(L$18='5.Variables'!$B$90,+'5.Variables'!$M95,+IF(L$18='5.Variables'!$B$104,+'5.Variables'!$M109,0))))))</f>
        <v>30</v>
      </c>
      <c r="M66" s="599">
        <f>IF(M$18='5.Variables'!$B$16,+'5.Variables'!$M29,+IF(M$18='5.Variables'!$B$39,+'5.Variables'!$M53,+IF(M$18='5.Variables'!$B$62,+'5.Variables'!$M67,+IF(M$18='5.Variables'!$B$76,+'5.Variables'!$M81,+IF(M$18='5.Variables'!$B$90,+'5.Variables'!$M95,+IF(M$18='5.Variables'!$B$104,+'5.Variables'!$M109,0))))))</f>
        <v>9.2799999999999994</v>
      </c>
      <c r="N66" s="599">
        <f>IF(N$18='5.Variables'!$B$16,+'5.Variables'!$M29,+IF(N$18='5.Variables'!$B$39,+'5.Variables'!$M53,+IF(N$18='5.Variables'!$B$62,+'5.Variables'!$M67,+IF(N$18='5.Variables'!$B$76,+'5.Variables'!$M81,+IF(N$18='5.Variables'!$B$90,+'5.Variables'!$M95,+IF(N$18='5.Variables'!$B$104,+'5.Variables'!$M109,0))))))</f>
        <v>0</v>
      </c>
      <c r="O66" s="928">
        <v>0</v>
      </c>
      <c r="P66" s="200"/>
      <c r="Q66" s="469">
        <f t="shared" si="0"/>
        <v>7202411.0776991565</v>
      </c>
      <c r="R66" s="216"/>
      <c r="S66" s="200"/>
      <c r="T66" s="204">
        <f>'4. Customer Growth'!B24</f>
        <v>2020</v>
      </c>
      <c r="U66" s="218">
        <f t="shared" si="7"/>
        <v>87584142.184</v>
      </c>
      <c r="V66" s="218">
        <f t="shared" si="5"/>
        <v>89937807.730157182</v>
      </c>
      <c r="W66" s="219">
        <f t="shared" si="6"/>
        <v>2.6873192880196437E-2</v>
      </c>
      <c r="X66" s="222"/>
      <c r="Y66" s="200"/>
      <c r="Z66" s="200"/>
      <c r="AA66" s="200"/>
      <c r="AB66" s="200"/>
      <c r="AC66" s="200"/>
      <c r="AD66" s="200"/>
      <c r="AE66" s="200"/>
      <c r="AF66" s="200"/>
      <c r="AG66" s="200"/>
      <c r="AH66" s="200"/>
      <c r="AI66" s="200"/>
      <c r="AJ66" s="200"/>
      <c r="AK66" s="200"/>
      <c r="AL66" s="200"/>
    </row>
    <row r="67" spans="1:38">
      <c r="A67" s="435">
        <f t="shared" si="1"/>
        <v>48</v>
      </c>
      <c r="B67" s="451" t="str">
        <f>CONCATENATE('3. Consumption by Rate Class'!B72,"-",'3. Consumption by Rate Class'!C72)</f>
        <v>2016-December</v>
      </c>
      <c r="C67" s="584">
        <v>8064436.5</v>
      </c>
      <c r="D67" s="940">
        <v>0</v>
      </c>
      <c r="E67" s="939">
        <v>0</v>
      </c>
      <c r="F67" s="939">
        <v>-80080.97</v>
      </c>
      <c r="G67" s="884"/>
      <c r="H67" s="880"/>
      <c r="I67" s="881">
        <f t="shared" si="2"/>
        <v>7984355.5300000003</v>
      </c>
      <c r="J67" s="599">
        <f>IF(J$18='5.Variables'!$B$16,+'5.Variables'!$N30,+IF(J$18='5.Variables'!$B$39,+'5.Variables'!$N53,+IF(J$18='5.Variables'!$B$62,+'5.Variables'!$N67,+IF(J$18='5.Variables'!$B$76,+'5.Variables'!$N81,+IF(J$18='5.Variables'!$B$90,+'5.Variables'!$N95,+IF(J$18='5.Variables'!$B$104,+'5.Variables'!$N109,0))))))</f>
        <v>733.4</v>
      </c>
      <c r="K67" s="599">
        <f>IF(K$18='5.Variables'!$B$16,+'5.Variables'!$N29,+IF(K$18='5.Variables'!$B$39,+'5.Variables'!$N53,+IF(K$18='5.Variables'!$B$62,+'5.Variables'!$N67,+IF(K$18='5.Variables'!$B$76,+'5.Variables'!$N81,+IF(K$18='5.Variables'!$B$90,+'5.Variables'!$N95,+IF(K$18='5.Variables'!$B$104,+'5.Variables'!$N109,0))))))</f>
        <v>0</v>
      </c>
      <c r="L67" s="599">
        <f>IF(L$18='5.Variables'!$B$16,+'5.Variables'!$N29,+IF(L$18='5.Variables'!$B$39,+'5.Variables'!$N53,+IF(L$18='5.Variables'!$B$62,+'5.Variables'!$N67,+IF(L$18='5.Variables'!$B$76,+'5.Variables'!$N81,+IF(L$18='5.Variables'!$B$90,+'5.Variables'!$N95,+IF(L$18='5.Variables'!$B$104,+'5.Variables'!$N109,0))))))</f>
        <v>31</v>
      </c>
      <c r="M67" s="599">
        <f>IF(M$18='5.Variables'!$B$16,+'5.Variables'!$N29,+IF(M$18='5.Variables'!$B$39,+'5.Variables'!$N53,+IF(M$18='5.Variables'!$B$62,+'5.Variables'!$N67,+IF(M$18='5.Variables'!$B$76,+'5.Variables'!$N81,+IF(M$18='5.Variables'!$B$90,+'5.Variables'!$N95,+IF(M$18='5.Variables'!$B$104,+'5.Variables'!$N109,0))))))</f>
        <v>8.4700000000000006</v>
      </c>
      <c r="N67" s="599">
        <f>IF(N$18='5.Variables'!$B$16,+'5.Variables'!$N29,+IF(N$18='5.Variables'!$B$39,+'5.Variables'!$N53,+IF(N$18='5.Variables'!$B$62,+'5.Variables'!$N67,+IF(N$18='5.Variables'!$B$76,+'5.Variables'!$N81,+IF(N$18='5.Variables'!$B$90,+'5.Variables'!$N95,+IF(N$18='5.Variables'!$B$104,+'5.Variables'!$N109,0))))))</f>
        <v>0</v>
      </c>
      <c r="O67" s="928">
        <v>0</v>
      </c>
      <c r="P67" s="200"/>
      <c r="Q67" s="469">
        <f t="shared" si="0"/>
        <v>8216862.123904828</v>
      </c>
      <c r="R67" s="216">
        <f>SUM(Q56:Q67)</f>
        <v>89934682.74622038</v>
      </c>
      <c r="S67" s="200"/>
      <c r="T67" s="204">
        <f>'4. Customer Growth'!B25</f>
        <v>2021</v>
      </c>
      <c r="U67" s="218">
        <f t="shared" si="7"/>
        <v>87828569.654158607</v>
      </c>
      <c r="V67" s="218">
        <f t="shared" si="5"/>
        <v>88405826.871381938</v>
      </c>
      <c r="W67" s="219">
        <f t="shared" si="6"/>
        <v>6.5725448962266992E-3</v>
      </c>
      <c r="X67" s="222"/>
      <c r="Y67" s="200"/>
      <c r="Z67" s="200"/>
      <c r="AA67" s="200"/>
      <c r="AB67" s="200"/>
      <c r="AC67" s="200"/>
      <c r="AD67" s="200"/>
      <c r="AE67" s="200"/>
      <c r="AF67" s="200"/>
      <c r="AG67" s="200"/>
      <c r="AH67" s="200"/>
      <c r="AI67" s="200"/>
      <c r="AJ67" s="200"/>
      <c r="AK67" s="200"/>
      <c r="AL67" s="200"/>
    </row>
    <row r="68" spans="1:38">
      <c r="A68" s="435">
        <f t="shared" si="1"/>
        <v>49</v>
      </c>
      <c r="B68" s="871" t="str">
        <f>CONCATENATE('3. Consumption by Rate Class'!B73,"-",'3. Consumption by Rate Class'!C73)</f>
        <v>2017-January</v>
      </c>
      <c r="C68" s="870">
        <v>8319431.8399999999</v>
      </c>
      <c r="D68" s="934">
        <v>0</v>
      </c>
      <c r="E68" s="935">
        <v>0</v>
      </c>
      <c r="F68" s="935">
        <v>-78166.42</v>
      </c>
      <c r="G68" s="876"/>
      <c r="H68" s="875"/>
      <c r="I68" s="469">
        <f t="shared" si="2"/>
        <v>8241265.4199999999</v>
      </c>
      <c r="J68" s="599">
        <f>IF(J$18='5.Variables'!$B$16,+'5.Variables'!$C31,+IF(J$18='5.Variables'!$B$39,+'5.Variables'!$C54,+IF(J$18='5.Variables'!$B$62,+'5.Variables'!$C68,+IF(J$18='5.Variables'!$B$76,+'5.Variables'!$C82,+IF(J$18='5.Variables'!$B$90,+'5.Variables'!$C96,+IF(J$18='5.Variables'!$B$104,+'5.Variables'!$C110,0))))))</f>
        <v>732.5</v>
      </c>
      <c r="K68" s="599">
        <f>IF(K$18='5.Variables'!$B$16,+'5.Variables'!$C30,+IF(K$18='5.Variables'!$B$39,+'5.Variables'!$C54,+IF(K$18='5.Variables'!$B$62,+'5.Variables'!$C68,+IF(K$18='5.Variables'!$B$76,+'5.Variables'!$C82,+IF(K$18='5.Variables'!$B$90,+'5.Variables'!$C96,+IF(K$18='5.Variables'!$B$104,+'5.Variables'!$C110,0))))))</f>
        <v>0</v>
      </c>
      <c r="L68" s="599">
        <f>IF(L$18='5.Variables'!$B$16,+'5.Variables'!$C30,+IF(L$18='5.Variables'!$B$39,+'5.Variables'!$C54,+IF(L$18='5.Variables'!$B$62,+'5.Variables'!$C68,+IF(L$18='5.Variables'!$B$76,+'5.Variables'!$C82,+IF(L$18='5.Variables'!$B$90,+'5.Variables'!$C96,+IF(L$18='5.Variables'!$B$104,+'5.Variables'!$C110,0))))))</f>
        <v>31</v>
      </c>
      <c r="M68" s="599">
        <f>IF(M$18='5.Variables'!$B$16,+'5.Variables'!$C30,+IF(M$18='5.Variables'!$B$39,+'5.Variables'!$C54,+IF(M$18='5.Variables'!$B$62,+'5.Variables'!$C68,+IF(M$18='5.Variables'!$B$76,+'5.Variables'!$C82,+IF(M$18='5.Variables'!$B$90,+'5.Variables'!$C96,+IF(M$18='5.Variables'!$B$104,+'5.Variables'!$C110,0))))))</f>
        <v>9.09</v>
      </c>
      <c r="N68" s="599">
        <f>IF(N$18='5.Variables'!$B$16,+'5.Variables'!$C30,+IF(N$18='5.Variables'!$B$39,+'5.Variables'!$C54,+IF(N$18='5.Variables'!$B$62,+'5.Variables'!$C68,+IF(N$18='5.Variables'!$B$76,+'5.Variables'!$C82,+IF(N$18='5.Variables'!$B$90,+'5.Variables'!$C96,+IF(N$18='5.Variables'!$B$104,+'5.Variables'!$C110,0))))))</f>
        <v>0</v>
      </c>
      <c r="O68" s="928">
        <v>0</v>
      </c>
      <c r="P68" s="200"/>
      <c r="Q68" s="469">
        <f t="shared" si="0"/>
        <v>8225740.9259845912</v>
      </c>
      <c r="R68" s="216"/>
      <c r="S68" s="200"/>
      <c r="T68" s="204">
        <f>'4. Customer Growth'!B26</f>
        <v>2022</v>
      </c>
      <c r="U68" s="218">
        <f t="shared" si="7"/>
        <v>90017844.810154736</v>
      </c>
      <c r="V68" s="218">
        <f t="shared" si="5"/>
        <v>88301617.957659543</v>
      </c>
      <c r="W68" s="219">
        <f t="shared" si="6"/>
        <v>1.906540704362197E-2</v>
      </c>
      <c r="X68" s="222"/>
      <c r="Y68" s="200"/>
      <c r="Z68" s="200"/>
      <c r="AA68" s="200"/>
      <c r="AB68" s="200"/>
      <c r="AC68" s="200"/>
      <c r="AD68" s="200"/>
      <c r="AE68" s="200"/>
      <c r="AF68" s="200"/>
      <c r="AG68" s="200"/>
      <c r="AH68" s="200"/>
      <c r="AI68" s="200"/>
      <c r="AJ68" s="200"/>
      <c r="AK68" s="200"/>
      <c r="AL68" s="200"/>
    </row>
    <row r="69" spans="1:38">
      <c r="A69" s="435">
        <f t="shared" si="1"/>
        <v>50</v>
      </c>
      <c r="B69" s="871" t="str">
        <f>CONCATENATE('3. Consumption by Rate Class'!B74,"-",'3. Consumption by Rate Class'!C74)</f>
        <v>2017-February</v>
      </c>
      <c r="C69" s="870">
        <v>7373671.3899999997</v>
      </c>
      <c r="D69" s="934">
        <v>0</v>
      </c>
      <c r="E69" s="935">
        <v>0</v>
      </c>
      <c r="F69" s="935">
        <v>-69750.110000000015</v>
      </c>
      <c r="G69" s="876"/>
      <c r="H69" s="875"/>
      <c r="I69" s="469">
        <f t="shared" si="2"/>
        <v>7303921.2799999993</v>
      </c>
      <c r="J69" s="599">
        <f>IF(J$18='5.Variables'!$B$16,+'5.Variables'!$D31,+IF(J$18='5.Variables'!$B$39,+'5.Variables'!$D54,+IF(J$18='5.Variables'!$B$62,+'5.Variables'!$D68,+IF(J$18='5.Variables'!$B$76,+'5.Variables'!$D82,+IF(J$18='5.Variables'!$B$90,+'5.Variables'!$D96,+IF(J$18='5.Variables'!$B$104,+'5.Variables'!$D110,0))))))</f>
        <v>662.1</v>
      </c>
      <c r="K69" s="599">
        <f>IF(K$18='5.Variables'!$B$16,+'5.Variables'!$D30,+IF(K$18='5.Variables'!$B$39,+'5.Variables'!$D54,+IF(K$18='5.Variables'!$B$62,+'5.Variables'!$D68,+IF(K$18='5.Variables'!$B$76,+'5.Variables'!$D82,+IF(K$18='5.Variables'!$B$90,+'5.Variables'!$D96,+IF(K$18='5.Variables'!$B$104,+'5.Variables'!$D110,0))))))</f>
        <v>0</v>
      </c>
      <c r="L69" s="599">
        <f>IF(L$18='5.Variables'!$B$16,+'5.Variables'!$D30,+IF(L$18='5.Variables'!$B$39,+'5.Variables'!$D54,+IF(L$18='5.Variables'!$B$62,+'5.Variables'!$D68,+IF(L$18='5.Variables'!$B$76,+'5.Variables'!$D82,+IF(L$18='5.Variables'!$B$90,+'5.Variables'!$D96,+IF(L$18='5.Variables'!$B$104,+'5.Variables'!$D110,0))))))</f>
        <v>28</v>
      </c>
      <c r="M69" s="599">
        <f>IF(M$18='5.Variables'!$B$16,+'5.Variables'!$D30,+IF(M$18='5.Variables'!$B$39,+'5.Variables'!$D54,+IF(M$18='5.Variables'!$B$62,+'5.Variables'!$D68,+IF(M$18='5.Variables'!$B$76,+'5.Variables'!$D82,+IF(M$18='5.Variables'!$B$90,+'5.Variables'!$D96,+IF(M$18='5.Variables'!$B$104,+'5.Variables'!$D110,0))))))</f>
        <v>10.19</v>
      </c>
      <c r="N69" s="599">
        <f>IF(N$18='5.Variables'!$B$16,+'5.Variables'!$D30,+IF(N$18='5.Variables'!$B$39,+'5.Variables'!$D54,+IF(N$18='5.Variables'!$B$62,+'5.Variables'!$D68,+IF(N$18='5.Variables'!$B$76,+'5.Variables'!$D82,+IF(N$18='5.Variables'!$B$90,+'5.Variables'!$D96,+IF(N$18='5.Variables'!$B$104,+'5.Variables'!$D110,0))))))</f>
        <v>0</v>
      </c>
      <c r="O69" s="928">
        <v>0</v>
      </c>
      <c r="P69" s="200"/>
      <c r="Q69" s="469">
        <f t="shared" si="0"/>
        <v>7541974.7334170723</v>
      </c>
      <c r="R69" s="216"/>
      <c r="S69" s="200"/>
      <c r="T69" s="223" t="s">
        <v>46</v>
      </c>
      <c r="U69" s="223"/>
      <c r="V69" s="223"/>
      <c r="W69" s="224">
        <f>AVERAGE(W59:W68)</f>
        <v>1.2112907027362604E-2</v>
      </c>
      <c r="X69" s="200"/>
      <c r="Y69" s="200"/>
      <c r="Z69" s="200"/>
      <c r="AA69" s="200"/>
      <c r="AB69" s="200"/>
      <c r="AC69" s="200"/>
      <c r="AD69" s="200"/>
      <c r="AE69" s="200"/>
      <c r="AF69" s="200"/>
      <c r="AG69" s="200"/>
      <c r="AH69" s="200"/>
      <c r="AI69" s="200"/>
      <c r="AJ69" s="200"/>
      <c r="AK69" s="200"/>
      <c r="AL69" s="200"/>
    </row>
    <row r="70" spans="1:38">
      <c r="A70" s="435">
        <f t="shared" si="1"/>
        <v>51</v>
      </c>
      <c r="B70" s="871" t="str">
        <f>CONCATENATE('3. Consumption by Rate Class'!B75,"-",'3. Consumption by Rate Class'!C75)</f>
        <v>2017-March</v>
      </c>
      <c r="C70" s="870">
        <v>8319192</v>
      </c>
      <c r="D70" s="934">
        <v>0</v>
      </c>
      <c r="E70" s="935">
        <v>0</v>
      </c>
      <c r="F70" s="935">
        <v>-63508.26</v>
      </c>
      <c r="G70" s="876"/>
      <c r="H70" s="875"/>
      <c r="I70" s="469">
        <f t="shared" si="2"/>
        <v>8255683.7400000002</v>
      </c>
      <c r="J70" s="599">
        <f>IF(J$18='5.Variables'!$B$16,+'5.Variables'!$E31,+IF(J$18='5.Variables'!$B$39,+'5.Variables'!$E54,+IF(J$18='5.Variables'!$B$62,+'5.Variables'!$E68,+IF(J$18='5.Variables'!$B$76,+'5.Variables'!$E82,+IF(J$18='5.Variables'!$B$90,+'5.Variables'!$E96,+IF(J$18='5.Variables'!$B$104,+'5.Variables'!$E110,0))))))</f>
        <v>731.7</v>
      </c>
      <c r="K70" s="599">
        <f>IF(K$18='5.Variables'!$B$16,+'5.Variables'!$E30,+IF(K$18='5.Variables'!$B$39,+'5.Variables'!$E54,+IF(K$18='5.Variables'!$B$62,+'5.Variables'!$E68,+IF(K$18='5.Variables'!$B$76,+'5.Variables'!$E82,+IF(K$18='5.Variables'!$B$90,+'5.Variables'!$E96,+IF(K$18='5.Variables'!$B$104,+'5.Variables'!$E110,0))))))</f>
        <v>0</v>
      </c>
      <c r="L70" s="599">
        <f>IF(L$18='5.Variables'!$B$16,+'5.Variables'!$E30,+IF(L$18='5.Variables'!$B$39,+'5.Variables'!$E54,+IF(L$18='5.Variables'!$B$62,+'5.Variables'!$E68,+IF(L$18='5.Variables'!$B$76,+'5.Variables'!$E82,+IF(L$18='5.Variables'!$B$90,+'5.Variables'!$E96,+IF(L$18='5.Variables'!$B$104,+'5.Variables'!$E110,0))))))</f>
        <v>31</v>
      </c>
      <c r="M70" s="599">
        <f>IF(M$18='5.Variables'!$B$16,+'5.Variables'!$E30,+IF(M$18='5.Variables'!$B$39,+'5.Variables'!$E54,+IF(M$18='5.Variables'!$B$62,+'5.Variables'!$E68,+IF(M$18='5.Variables'!$B$76,+'5.Variables'!$E82,+IF(M$18='5.Variables'!$B$90,+'5.Variables'!$E96,+IF(M$18='5.Variables'!$B$104,+'5.Variables'!$E110,0))))))</f>
        <v>11.51</v>
      </c>
      <c r="N70" s="599">
        <f>IF(N$18='5.Variables'!$B$16,+'5.Variables'!$E30,+IF(N$18='5.Variables'!$B$39,+'5.Variables'!$E54,+IF(N$18='5.Variables'!$B$62,+'5.Variables'!$E68,+IF(N$18='5.Variables'!$B$76,+'5.Variables'!$E82,+IF(N$18='5.Variables'!$B$90,+'5.Variables'!$E96,+IF(N$18='5.Variables'!$B$104,+'5.Variables'!$E110,0))))))</f>
        <v>0</v>
      </c>
      <c r="O70" s="928">
        <v>0</v>
      </c>
      <c r="P70" s="200"/>
      <c r="Q70" s="469">
        <f t="shared" si="0"/>
        <v>8268676.6695550717</v>
      </c>
      <c r="R70" s="216"/>
      <c r="S70" s="200"/>
      <c r="T70" s="223" t="s">
        <v>62</v>
      </c>
      <c r="U70" s="200"/>
      <c r="V70" s="200"/>
      <c r="W70" s="224">
        <f>MEDIAN(W59:W68)</f>
        <v>8.9837741865779561E-3</v>
      </c>
      <c r="X70" s="200"/>
      <c r="Y70" s="200"/>
      <c r="Z70" s="200"/>
      <c r="AA70" s="200"/>
      <c r="AB70" s="200"/>
      <c r="AC70" s="200"/>
      <c r="AD70" s="200"/>
      <c r="AE70" s="200"/>
      <c r="AF70" s="200"/>
      <c r="AG70" s="200"/>
      <c r="AH70" s="200"/>
      <c r="AI70" s="200"/>
      <c r="AJ70" s="200"/>
      <c r="AK70" s="200"/>
      <c r="AL70" s="200"/>
    </row>
    <row r="71" spans="1:38">
      <c r="A71" s="435">
        <f t="shared" si="1"/>
        <v>52</v>
      </c>
      <c r="B71" s="871" t="str">
        <f>CONCATENATE('3. Consumption by Rate Class'!B76,"-",'3. Consumption by Rate Class'!C76)</f>
        <v>2017-April</v>
      </c>
      <c r="C71" s="870">
        <v>6663155.4800000004</v>
      </c>
      <c r="D71" s="934">
        <v>0</v>
      </c>
      <c r="E71" s="935">
        <v>0</v>
      </c>
      <c r="F71" s="935">
        <v>-53159.5</v>
      </c>
      <c r="G71" s="876"/>
      <c r="H71" s="875"/>
      <c r="I71" s="469">
        <f t="shared" si="2"/>
        <v>6609995.9800000004</v>
      </c>
      <c r="J71" s="599">
        <f>IF(J$18='5.Variables'!$B$16,+'5.Variables'!$F31,+IF(J$18='5.Variables'!$B$39,+'5.Variables'!$F54,+IF(J$18='5.Variables'!$B$62,+'5.Variables'!$F68,+IF(J$18='5.Variables'!$B$76,+'5.Variables'!$F82,+IF(J$18='5.Variables'!$B$90,+'5.Variables'!$F96,+IF(J$18='5.Variables'!$B$104,+'5.Variables'!$F110,0))))))</f>
        <v>319.39999999999998</v>
      </c>
      <c r="K71" s="599">
        <f>IF(K$18='5.Variables'!$B$16,+'5.Variables'!$F30,+IF(K$18='5.Variables'!$B$39,+'5.Variables'!$F54,+IF(K$18='5.Variables'!$B$62,+'5.Variables'!$F68,+IF(K$18='5.Variables'!$B$76,+'5.Variables'!$F82,+IF(K$18='5.Variables'!$B$90,+'5.Variables'!$F96,+IF(K$18='5.Variables'!$B$104,+'5.Variables'!$F110,0))))))</f>
        <v>1.2</v>
      </c>
      <c r="L71" s="599">
        <f>IF(L$18='5.Variables'!$B$16,+'5.Variables'!$F30,+IF(L$18='5.Variables'!$B$39,+'5.Variables'!$F54,+IF(L$18='5.Variables'!$B$62,+'5.Variables'!$F68,+IF(L$18='5.Variables'!$B$76,+'5.Variables'!$F82,+IF(L$18='5.Variables'!$B$90,+'5.Variables'!$F96,+IF(L$18='5.Variables'!$B$104,+'5.Variables'!$F110,0))))))</f>
        <v>30</v>
      </c>
      <c r="M71" s="599">
        <f>IF(M$18='5.Variables'!$B$16,+'5.Variables'!$F30,+IF(M$18='5.Variables'!$B$39,+'5.Variables'!$F54,+IF(M$18='5.Variables'!$B$62,+'5.Variables'!$F68,+IF(M$18='5.Variables'!$B$76,+'5.Variables'!$F82,+IF(M$18='5.Variables'!$B$90,+'5.Variables'!$F96,+IF(M$18='5.Variables'!$B$104,+'5.Variables'!$F110,0))))))</f>
        <v>13.28</v>
      </c>
      <c r="N71" s="599">
        <f>IF(N$18='5.Variables'!$B$16,+'5.Variables'!$F30,+IF(N$18='5.Variables'!$B$39,+'5.Variables'!$F54,+IF(N$18='5.Variables'!$B$62,+'5.Variables'!$F68,+IF(N$18='5.Variables'!$B$76,+'5.Variables'!$F82,+IF(N$18='5.Variables'!$B$90,+'5.Variables'!$F96,+IF(N$18='5.Variables'!$B$104,+'5.Variables'!$F110,0))))))</f>
        <v>0</v>
      </c>
      <c r="O71" s="928">
        <v>0</v>
      </c>
      <c r="P71" s="200"/>
      <c r="Q71" s="469">
        <f t="shared" si="0"/>
        <v>6898528.2018201137</v>
      </c>
      <c r="R71" s="216"/>
      <c r="S71" s="200"/>
      <c r="T71" s="200"/>
      <c r="U71" s="200"/>
      <c r="V71" s="200"/>
      <c r="W71" s="200"/>
      <c r="X71" s="200"/>
      <c r="Y71" s="200"/>
      <c r="Z71" s="200"/>
      <c r="AA71" s="200"/>
      <c r="AB71" s="200"/>
      <c r="AC71" s="200"/>
      <c r="AD71" s="200"/>
      <c r="AE71" s="200"/>
      <c r="AF71" s="200"/>
      <c r="AG71" s="200"/>
      <c r="AH71" s="200"/>
      <c r="AI71" s="200"/>
      <c r="AJ71" s="200"/>
      <c r="AK71" s="200"/>
      <c r="AL71" s="200"/>
    </row>
    <row r="72" spans="1:38">
      <c r="A72" s="435">
        <f t="shared" si="1"/>
        <v>53</v>
      </c>
      <c r="B72" s="871" t="str">
        <f>CONCATENATE('3. Consumption by Rate Class'!B77,"-",'3. Consumption by Rate Class'!C77)</f>
        <v>2017-May</v>
      </c>
      <c r="C72" s="870">
        <v>6791118.1100000003</v>
      </c>
      <c r="D72" s="934">
        <v>0</v>
      </c>
      <c r="E72" s="935">
        <v>0</v>
      </c>
      <c r="F72" s="935">
        <v>-47801.16</v>
      </c>
      <c r="G72" s="876"/>
      <c r="H72" s="875"/>
      <c r="I72" s="469">
        <f t="shared" si="2"/>
        <v>6743316.9500000002</v>
      </c>
      <c r="J72" s="599">
        <f>IF(J$18='5.Variables'!$B$16,+'5.Variables'!$G31,+IF(J$18='5.Variables'!$B$39,+'5.Variables'!$G54,+IF(J$18='5.Variables'!$B$62,+'5.Variables'!$G68,+IF(J$18='5.Variables'!$B$76,+'5.Variables'!$G82,+IF(J$18='5.Variables'!$B$90,+'5.Variables'!$G96,+IF(J$18='5.Variables'!$B$104,+'5.Variables'!$G110,0))))))</f>
        <v>190.4</v>
      </c>
      <c r="K72" s="599">
        <f>IF(K$18='5.Variables'!$B$16,+'5.Variables'!$G30,+IF(K$18='5.Variables'!$B$39,+'5.Variables'!$G54,+IF(K$18='5.Variables'!$B$62,+'5.Variables'!$G68,+IF(K$18='5.Variables'!$B$76,+'5.Variables'!$G82,+IF(K$18='5.Variables'!$B$90,+'5.Variables'!$G96,+IF(K$18='5.Variables'!$B$104,+'5.Variables'!$G110,0))))))</f>
        <v>9.1</v>
      </c>
      <c r="L72" s="599">
        <f>IF(L$18='5.Variables'!$B$16,+'5.Variables'!$G30,+IF(L$18='5.Variables'!$B$39,+'5.Variables'!$G54,+IF(L$18='5.Variables'!$B$62,+'5.Variables'!$G68,+IF(L$18='5.Variables'!$B$76,+'5.Variables'!$G82,+IF(L$18='5.Variables'!$B$90,+'5.Variables'!$G96,+IF(L$18='5.Variables'!$B$104,+'5.Variables'!$G110,0))))))</f>
        <v>31</v>
      </c>
      <c r="M72" s="599">
        <f>IF(M$18='5.Variables'!$B$16,+'5.Variables'!$G30,+IF(M$18='5.Variables'!$B$39,+'5.Variables'!$G54,+IF(M$18='5.Variables'!$B$62,+'5.Variables'!$G68,+IF(M$18='5.Variables'!$B$76,+'5.Variables'!$G82,+IF(M$18='5.Variables'!$B$90,+'5.Variables'!$G96,+IF(M$18='5.Variables'!$B$104,+'5.Variables'!$G110,0))))))</f>
        <v>14.52</v>
      </c>
      <c r="N72" s="599">
        <f>IF(N$18='5.Variables'!$B$16,+'5.Variables'!$G30,+IF(N$18='5.Variables'!$B$39,+'5.Variables'!$G54,+IF(N$18='5.Variables'!$B$62,+'5.Variables'!$G68,+IF(N$18='5.Variables'!$B$76,+'5.Variables'!$G82,+IF(N$18='5.Variables'!$B$90,+'5.Variables'!$G96,+IF(N$18='5.Variables'!$B$104,+'5.Variables'!$G110,0))))))</f>
        <v>0</v>
      </c>
      <c r="O72" s="928">
        <v>0</v>
      </c>
      <c r="P72" s="200"/>
      <c r="Q72" s="469">
        <f t="shared" si="0"/>
        <v>6810921.6912521496</v>
      </c>
      <c r="R72" s="216"/>
      <c r="S72" s="200"/>
      <c r="T72" s="200" t="s">
        <v>122</v>
      </c>
      <c r="U72" s="200"/>
      <c r="V72" s="200"/>
      <c r="W72" s="200"/>
      <c r="X72" s="200"/>
      <c r="Y72" s="200"/>
      <c r="Z72" s="200"/>
      <c r="AA72" s="200"/>
      <c r="AB72" s="200"/>
      <c r="AC72" s="200"/>
      <c r="AD72" s="200"/>
      <c r="AE72" s="200"/>
      <c r="AF72" s="200"/>
      <c r="AG72" s="200"/>
      <c r="AH72" s="200"/>
      <c r="AI72" s="200"/>
      <c r="AJ72" s="200"/>
      <c r="AK72" s="200"/>
      <c r="AL72" s="200"/>
    </row>
    <row r="73" spans="1:38">
      <c r="A73" s="435">
        <f t="shared" si="1"/>
        <v>54</v>
      </c>
      <c r="B73" s="871" t="str">
        <f>CONCATENATE('3. Consumption by Rate Class'!B78,"-",'3. Consumption by Rate Class'!C78)</f>
        <v>2017-June</v>
      </c>
      <c r="C73" s="870">
        <v>6994241.5</v>
      </c>
      <c r="D73" s="934">
        <v>0</v>
      </c>
      <c r="E73" s="935">
        <v>0</v>
      </c>
      <c r="F73" s="935">
        <v>-42187.28</v>
      </c>
      <c r="G73" s="876"/>
      <c r="H73" s="875"/>
      <c r="I73" s="469">
        <f t="shared" si="2"/>
        <v>6952054.2199999997</v>
      </c>
      <c r="J73" s="599">
        <f>IF(J$18='5.Variables'!$B$16,+'5.Variables'!$H31,+IF(J$18='5.Variables'!$B$39,+'5.Variables'!$H54,+IF(J$18='5.Variables'!$B$62,+'5.Variables'!$H68,+IF(J$18='5.Variables'!$B$76,+'5.Variables'!$H82,+IF(J$18='5.Variables'!$B$90,+'5.Variables'!$H96,+IF(J$18='5.Variables'!$B$104,+'5.Variables'!$H110,0))))))</f>
        <v>52.1</v>
      </c>
      <c r="K73" s="599">
        <f>IF(K$18='5.Variables'!$B$16,+'5.Variables'!$H30,+IF(K$18='5.Variables'!$B$39,+'5.Variables'!$H54,+IF(K$18='5.Variables'!$B$62,+'5.Variables'!$H68,+IF(K$18='5.Variables'!$B$76,+'5.Variables'!$H82,+IF(K$18='5.Variables'!$B$90,+'5.Variables'!$H96,+IF(K$18='5.Variables'!$B$104,+'5.Variables'!$H110,0))))))</f>
        <v>45</v>
      </c>
      <c r="L73" s="599">
        <f>IF(L$18='5.Variables'!$B$16,+'5.Variables'!$H30,+IF(L$18='5.Variables'!$B$39,+'5.Variables'!$H54,+IF(L$18='5.Variables'!$B$62,+'5.Variables'!$H68,+IF(L$18='5.Variables'!$B$76,+'5.Variables'!$H82,+IF(L$18='5.Variables'!$B$90,+'5.Variables'!$H96,+IF(L$18='5.Variables'!$B$104,+'5.Variables'!$H110,0))))))</f>
        <v>30</v>
      </c>
      <c r="M73" s="599">
        <f>IF(M$18='5.Variables'!$B$16,+'5.Variables'!$H30,+IF(M$18='5.Variables'!$B$39,+'5.Variables'!$H54,+IF(M$18='5.Variables'!$B$62,+'5.Variables'!$H68,+IF(M$18='5.Variables'!$B$76,+'5.Variables'!$H82,+IF(M$18='5.Variables'!$B$90,+'5.Variables'!$H96,+IF(M$18='5.Variables'!$B$104,+'5.Variables'!$H110,0))))))</f>
        <v>15.35</v>
      </c>
      <c r="N73" s="599">
        <f>IF(N$18='5.Variables'!$B$16,+'5.Variables'!$H30,+IF(N$18='5.Variables'!$B$39,+'5.Variables'!$H54,+IF(N$18='5.Variables'!$B$62,+'5.Variables'!$H68,+IF(N$18='5.Variables'!$B$76,+'5.Variables'!$H82,+IF(N$18='5.Variables'!$B$90,+'5.Variables'!$H96,+IF(N$18='5.Variables'!$B$104,+'5.Variables'!$H110,0))))))</f>
        <v>0</v>
      </c>
      <c r="O73" s="928">
        <v>0</v>
      </c>
      <c r="P73" s="200"/>
      <c r="Q73" s="469">
        <f t="shared" si="0"/>
        <v>6785045.9528958416</v>
      </c>
      <c r="R73" s="216"/>
      <c r="S73" s="200"/>
      <c r="T73" s="200" t="s">
        <v>164</v>
      </c>
      <c r="U73" s="200"/>
      <c r="V73" s="200"/>
      <c r="W73" s="200"/>
      <c r="X73" s="200"/>
      <c r="Y73" s="200"/>
      <c r="Z73" s="200"/>
      <c r="AA73" s="200"/>
      <c r="AB73" s="200"/>
      <c r="AC73" s="200"/>
      <c r="AD73" s="200"/>
      <c r="AE73" s="200"/>
      <c r="AF73" s="200"/>
      <c r="AG73" s="200"/>
      <c r="AH73" s="200"/>
      <c r="AI73" s="200"/>
      <c r="AJ73" s="200"/>
      <c r="AK73" s="200"/>
      <c r="AL73" s="200"/>
    </row>
    <row r="74" spans="1:38">
      <c r="A74" s="435">
        <f t="shared" si="1"/>
        <v>55</v>
      </c>
      <c r="B74" s="871" t="str">
        <f>CONCATENATE('3. Consumption by Rate Class'!B79,"-",'3. Consumption by Rate Class'!C79)</f>
        <v>2017-July</v>
      </c>
      <c r="C74" s="870">
        <v>7297404.46</v>
      </c>
      <c r="D74" s="934">
        <v>0</v>
      </c>
      <c r="E74" s="935">
        <v>0</v>
      </c>
      <c r="F74" s="935">
        <v>-45845.020000000004</v>
      </c>
      <c r="G74" s="876"/>
      <c r="H74" s="875"/>
      <c r="I74" s="469">
        <f t="shared" si="2"/>
        <v>7251559.4400000004</v>
      </c>
      <c r="J74" s="599">
        <f>IF(J$18='5.Variables'!$B$16,+'5.Variables'!$I31,+IF(J$18='5.Variables'!$B$39,+'5.Variables'!$I54,+IF(J$18='5.Variables'!$B$62,+'5.Variables'!$I68,+IF(J$18='5.Variables'!$B$76,+'5.Variables'!$I82,+IF(J$18='5.Variables'!$B$90,+'5.Variables'!$I96,+IF(J$18='5.Variables'!$B$104,+'5.Variables'!$I110,0))))))</f>
        <v>4.8</v>
      </c>
      <c r="K74" s="599">
        <f>IF(K$18='5.Variables'!$B$16,+'5.Variables'!$I30,+IF(K$18='5.Variables'!$B$39,+'5.Variables'!$I54,+IF(K$18='5.Variables'!$B$62,+'5.Variables'!$I68,+IF(K$18='5.Variables'!$B$76,+'5.Variables'!$I82,+IF(K$18='5.Variables'!$B$90,+'5.Variables'!$I96,+IF(K$18='5.Variables'!$B$104,+'5.Variables'!$I110,0))))))</f>
        <v>63.8</v>
      </c>
      <c r="L74" s="599">
        <f>IF(L$18='5.Variables'!$B$16,+'5.Variables'!$I30,+IF(L$18='5.Variables'!$B$39,+'5.Variables'!$I54,+IF(L$18='5.Variables'!$B$62,+'5.Variables'!$I68,+IF(L$18='5.Variables'!$B$76,+'5.Variables'!$I82,+IF(L$18='5.Variables'!$B$90,+'5.Variables'!$I96,+IF(L$18='5.Variables'!$B$104,+'5.Variables'!$I110,0))))))</f>
        <v>31</v>
      </c>
      <c r="M74" s="599">
        <f>IF(M$18='5.Variables'!$B$16,+'5.Variables'!$I30,+IF(M$18='5.Variables'!$B$39,+'5.Variables'!$I54,+IF(M$18='5.Variables'!$B$62,+'5.Variables'!$I68,+IF(M$18='5.Variables'!$B$76,+'5.Variables'!$I82,+IF(M$18='5.Variables'!$B$90,+'5.Variables'!$I96,+IF(M$18='5.Variables'!$B$104,+'5.Variables'!$I110,0))))))</f>
        <v>15.15</v>
      </c>
      <c r="N74" s="599">
        <f>IF(N$18='5.Variables'!$B$16,+'5.Variables'!$I30,+IF(N$18='5.Variables'!$B$39,+'5.Variables'!$I54,+IF(N$18='5.Variables'!$B$62,+'5.Variables'!$I68,+IF(N$18='5.Variables'!$B$76,+'5.Variables'!$I82,+IF(N$18='5.Variables'!$B$90,+'5.Variables'!$I96,+IF(N$18='5.Variables'!$B$104,+'5.Variables'!$I110,0))))))</f>
        <v>0</v>
      </c>
      <c r="O74" s="928">
        <v>0</v>
      </c>
      <c r="P74" s="200"/>
      <c r="Q74" s="469">
        <f t="shared" si="0"/>
        <v>7084904.3834348889</v>
      </c>
      <c r="R74" s="216"/>
      <c r="S74" s="200"/>
      <c r="T74" s="200"/>
      <c r="U74" s="200"/>
      <c r="V74" s="200"/>
      <c r="W74" s="200"/>
      <c r="X74" s="200"/>
      <c r="Y74" s="200"/>
      <c r="Z74" s="200"/>
      <c r="AA74" s="200"/>
      <c r="AB74" s="200"/>
      <c r="AC74" s="200"/>
      <c r="AD74" s="200"/>
      <c r="AE74" s="200"/>
      <c r="AF74" s="200"/>
      <c r="AG74" s="200"/>
      <c r="AH74" s="200"/>
      <c r="AI74" s="200"/>
      <c r="AJ74" s="200"/>
      <c r="AK74" s="200"/>
      <c r="AL74" s="200"/>
    </row>
    <row r="75" spans="1:38">
      <c r="A75" s="435">
        <f t="shared" si="1"/>
        <v>56</v>
      </c>
      <c r="B75" s="871" t="str">
        <f>CONCATENATE('3. Consumption by Rate Class'!B80,"-",'3. Consumption by Rate Class'!C80)</f>
        <v>2017-August</v>
      </c>
      <c r="C75" s="870">
        <v>7278648.3700000001</v>
      </c>
      <c r="D75" s="934">
        <v>0</v>
      </c>
      <c r="E75" s="935">
        <v>0</v>
      </c>
      <c r="F75" s="935">
        <v>-52436.47</v>
      </c>
      <c r="G75" s="876"/>
      <c r="H75" s="875"/>
      <c r="I75" s="469">
        <f t="shared" si="2"/>
        <v>7226211.9000000004</v>
      </c>
      <c r="J75" s="599">
        <f>IF(J$18='5.Variables'!$B$16,+'5.Variables'!$J31,+IF(J$18='5.Variables'!$B$39,+'5.Variables'!$J54,+IF(J$18='5.Variables'!$B$62,+'5.Variables'!$J68,+IF(J$18='5.Variables'!$B$76,+'5.Variables'!$J82,+IF(J$18='5.Variables'!$B$90,+'5.Variables'!$J96,+IF(J$18='5.Variables'!$B$104,+'5.Variables'!$J110,0))))))</f>
        <v>26.9</v>
      </c>
      <c r="K75" s="599">
        <f>IF(K$18='5.Variables'!$B$16,+'5.Variables'!$J30,+IF(K$18='5.Variables'!$B$39,+'5.Variables'!$J54,+IF(K$18='5.Variables'!$B$62,+'5.Variables'!$J68,+IF(K$18='5.Variables'!$B$76,+'5.Variables'!$J82,+IF(K$18='5.Variables'!$B$90,+'5.Variables'!$J96,+IF(K$18='5.Variables'!$B$104,+'5.Variables'!$J110,0))))))</f>
        <v>51</v>
      </c>
      <c r="L75" s="599">
        <f>IF(L$18='5.Variables'!$B$16,+'5.Variables'!$J30,+IF(L$18='5.Variables'!$B$39,+'5.Variables'!$J54,+IF(L$18='5.Variables'!$B$62,+'5.Variables'!$J68,+IF(L$18='5.Variables'!$B$76,+'5.Variables'!$J82,+IF(L$18='5.Variables'!$B$90,+'5.Variables'!$J96,+IF(L$18='5.Variables'!$B$104,+'5.Variables'!$J110,0))))))</f>
        <v>31</v>
      </c>
      <c r="M75" s="599">
        <f>IF(M$18='5.Variables'!$B$16,+'5.Variables'!$J30,+IF(M$18='5.Variables'!$B$39,+'5.Variables'!$J54,+IF(M$18='5.Variables'!$B$62,+'5.Variables'!$J68,+IF(M$18='5.Variables'!$B$76,+'5.Variables'!$J82,+IF(M$18='5.Variables'!$B$90,+'5.Variables'!$J96,+IF(M$18='5.Variables'!$B$104,+'5.Variables'!$J110,0))))))</f>
        <v>14.03</v>
      </c>
      <c r="N75" s="599">
        <f>IF(N$18='5.Variables'!$B$16,+'5.Variables'!$J30,+IF(N$18='5.Variables'!$B$39,+'5.Variables'!$J54,+IF(N$18='5.Variables'!$B$62,+'5.Variables'!$J68,+IF(N$18='5.Variables'!$B$76,+'5.Variables'!$J82,+IF(N$18='5.Variables'!$B$90,+'5.Variables'!$J96,+IF(N$18='5.Variables'!$B$104,+'5.Variables'!$J110,0))))))</f>
        <v>0</v>
      </c>
      <c r="O75" s="928">
        <v>0</v>
      </c>
      <c r="P75" s="200"/>
      <c r="Q75" s="469">
        <f t="shared" si="0"/>
        <v>6937452.2578498563</v>
      </c>
      <c r="R75" s="216"/>
      <c r="S75" s="200"/>
      <c r="T75" s="460" t="s">
        <v>33</v>
      </c>
      <c r="U75" s="460" t="s">
        <v>237</v>
      </c>
      <c r="V75" s="461" t="s">
        <v>45</v>
      </c>
      <c r="W75" s="200"/>
      <c r="X75" s="200"/>
      <c r="Y75" s="200"/>
      <c r="Z75" s="200"/>
      <c r="AA75" s="200"/>
      <c r="AB75" s="200"/>
      <c r="AC75" s="200"/>
      <c r="AD75" s="200"/>
      <c r="AE75" s="200"/>
      <c r="AF75" s="200"/>
      <c r="AG75" s="200"/>
      <c r="AH75" s="200"/>
      <c r="AI75" s="200"/>
      <c r="AJ75" s="200"/>
      <c r="AK75" s="200"/>
      <c r="AL75" s="200"/>
    </row>
    <row r="76" spans="1:38">
      <c r="A76" s="435">
        <f t="shared" si="1"/>
        <v>57</v>
      </c>
      <c r="B76" s="871" t="str">
        <f>CONCATENATE('3. Consumption by Rate Class'!B81,"-",'3. Consumption by Rate Class'!C81)</f>
        <v>2017-September</v>
      </c>
      <c r="C76" s="870">
        <v>7089565.9100000001</v>
      </c>
      <c r="D76" s="934">
        <v>0</v>
      </c>
      <c r="E76" s="935">
        <v>0</v>
      </c>
      <c r="F76" s="935">
        <v>-58560.43</v>
      </c>
      <c r="G76" s="875"/>
      <c r="H76" s="875"/>
      <c r="I76" s="469">
        <f t="shared" si="2"/>
        <v>7031005.4800000004</v>
      </c>
      <c r="J76" s="599">
        <f>IF(J$18='5.Variables'!$B$16,+'5.Variables'!$K31,+IF(J$18='5.Variables'!$B$39,+'5.Variables'!$K54,+IF(J$18='5.Variables'!$B$62,+'5.Variables'!$K68,+IF(J$18='5.Variables'!$B$76,+'5.Variables'!$K82,+IF(J$18='5.Variables'!$B$90,+'5.Variables'!$K96,+IF(J$18='5.Variables'!$B$104,+'5.Variables'!$K110,0))))))</f>
        <v>69.8</v>
      </c>
      <c r="K76" s="599">
        <f>IF(K$18='5.Variables'!$B$16,+'5.Variables'!$K30,+IF(K$18='5.Variables'!$B$39,+'5.Variables'!$K54,+IF(K$18='5.Variables'!$B$62,+'5.Variables'!$K68,+IF(K$18='5.Variables'!$B$76,+'5.Variables'!$K82,+IF(K$18='5.Variables'!$B$90,+'5.Variables'!$K96,+IF(K$18='5.Variables'!$B$104,+'5.Variables'!$K110,0))))))</f>
        <v>52</v>
      </c>
      <c r="L76" s="599">
        <f>IF(L$18='5.Variables'!$B$16,+'5.Variables'!$K30,+IF(L$18='5.Variables'!$B$39,+'5.Variables'!$K54,+IF(L$18='5.Variables'!$B$62,+'5.Variables'!$K68,+IF(L$18='5.Variables'!$B$76,+'5.Variables'!$K82,+IF(L$18='5.Variables'!$B$90,+'5.Variables'!$K96,+IF(L$18='5.Variables'!$B$104,+'5.Variables'!$K110,0))))))</f>
        <v>30</v>
      </c>
      <c r="M76" s="599">
        <f>IF(M$18='5.Variables'!$B$16,+'5.Variables'!$K30,+IF(M$18='5.Variables'!$B$39,+'5.Variables'!$K54,+IF(M$18='5.Variables'!$B$62,+'5.Variables'!$K68,+IF(M$18='5.Variables'!$B$76,+'5.Variables'!$K82,+IF(M$18='5.Variables'!$B$90,+'5.Variables'!$K96,+IF(M$18='5.Variables'!$B$104,+'5.Variables'!$K110,0))))))</f>
        <v>12.29</v>
      </c>
      <c r="N76" s="599">
        <f>IF(N$18='5.Variables'!$B$16,+'5.Variables'!$K30,+IF(N$18='5.Variables'!$B$39,+'5.Variables'!$K54,+IF(N$18='5.Variables'!$B$62,+'5.Variables'!$K68,+IF(N$18='5.Variables'!$B$76,+'5.Variables'!$K82,+IF(N$18='5.Variables'!$B$90,+'5.Variables'!$K96,+IF(N$18='5.Variables'!$B$104,+'5.Variables'!$K110,0))))))</f>
        <v>0</v>
      </c>
      <c r="O76" s="928">
        <v>0</v>
      </c>
      <c r="P76" s="200"/>
      <c r="Q76" s="469">
        <f t="shared" si="0"/>
        <v>6887727.5155358911</v>
      </c>
      <c r="R76" s="216"/>
      <c r="S76" s="200"/>
      <c r="T76" s="459">
        <v>2015</v>
      </c>
      <c r="U76" s="457">
        <f>R151</f>
        <v>89099077.476831332</v>
      </c>
      <c r="V76" s="458">
        <f>(U76-U68)/U68</f>
        <v>-1.0206502224765103E-2</v>
      </c>
      <c r="W76" s="200"/>
      <c r="X76" s="200"/>
      <c r="Y76" s="200"/>
      <c r="Z76" s="200"/>
      <c r="AA76" s="200"/>
      <c r="AB76" s="200"/>
      <c r="AC76" s="200"/>
      <c r="AD76" s="200"/>
      <c r="AE76" s="200"/>
      <c r="AF76" s="200"/>
      <c r="AG76" s="200"/>
      <c r="AH76" s="200"/>
      <c r="AI76" s="200"/>
      <c r="AJ76" s="200"/>
      <c r="AK76" s="200"/>
      <c r="AL76" s="200"/>
    </row>
    <row r="77" spans="1:38">
      <c r="A77" s="435">
        <f t="shared" si="1"/>
        <v>58</v>
      </c>
      <c r="B77" s="871" t="str">
        <f>CONCATENATE('3. Consumption by Rate Class'!B82,"-",'3. Consumption by Rate Class'!C82)</f>
        <v>2017-October</v>
      </c>
      <c r="C77" s="870">
        <v>6787158.5899999999</v>
      </c>
      <c r="D77" s="934">
        <v>0</v>
      </c>
      <c r="E77" s="935">
        <v>0</v>
      </c>
      <c r="F77" s="935">
        <v>-69149.34</v>
      </c>
      <c r="G77" s="875"/>
      <c r="H77" s="875"/>
      <c r="I77" s="469">
        <f t="shared" si="2"/>
        <v>6718009.25</v>
      </c>
      <c r="J77" s="599">
        <f>IF(J$18='5.Variables'!$B$16,+'5.Variables'!$L31,+IF(J$18='5.Variables'!$B$39,+'5.Variables'!$L54,+IF(J$18='5.Variables'!$B$62,+'5.Variables'!$L68,+IF(J$18='5.Variables'!$B$76,+'5.Variables'!$L82,+IF(J$18='5.Variables'!$B$90,+'5.Variables'!$L96,+IF(J$18='5.Variables'!$B$104,+'5.Variables'!$L110,0))))))</f>
        <v>192.8</v>
      </c>
      <c r="K77" s="599">
        <f>IF(K$18='5.Variables'!$B$16,+'5.Variables'!$L30,+IF(K$18='5.Variables'!$B$39,+'5.Variables'!$L54,+IF(K$18='5.Variables'!$B$62,+'5.Variables'!$L68,+IF(K$18='5.Variables'!$B$76,+'5.Variables'!$L82,+IF(K$18='5.Variables'!$B$90,+'5.Variables'!$L96,+IF(K$18='5.Variables'!$B$104,+'5.Variables'!$L110,0))))))</f>
        <v>0.4</v>
      </c>
      <c r="L77" s="599">
        <f>IF(L$18='5.Variables'!$B$16,+'5.Variables'!$L30,+IF(L$18='5.Variables'!$B$39,+'5.Variables'!$L54,+IF(L$18='5.Variables'!$B$62,+'5.Variables'!$L68,+IF(L$18='5.Variables'!$B$76,+'5.Variables'!$L82,+IF(L$18='5.Variables'!$B$90,+'5.Variables'!$L96,+IF(L$18='5.Variables'!$B$104,+'5.Variables'!$L110,0))))))</f>
        <v>31</v>
      </c>
      <c r="M77" s="599">
        <f>IF(M$18='5.Variables'!$B$16,+'5.Variables'!$L30,+IF(M$18='5.Variables'!$B$39,+'5.Variables'!$L54,+IF(M$18='5.Variables'!$B$62,+'5.Variables'!$L68,+IF(M$18='5.Variables'!$B$76,+'5.Variables'!$L82,+IF(M$18='5.Variables'!$B$90,+'5.Variables'!$L96,+IF(M$18='5.Variables'!$B$104,+'5.Variables'!$L110,0))))))</f>
        <v>10.51</v>
      </c>
      <c r="N77" s="599">
        <f>IF(N$18='5.Variables'!$B$16,+'5.Variables'!$L30,+IF(N$18='5.Variables'!$B$39,+'5.Variables'!$L54,+IF(N$18='5.Variables'!$B$62,+'5.Variables'!$L68,+IF(N$18='5.Variables'!$B$76,+'5.Variables'!$L82,+IF(N$18='5.Variables'!$B$90,+'5.Variables'!$L96,+IF(N$18='5.Variables'!$B$104,+'5.Variables'!$L110,0))))))</f>
        <v>0</v>
      </c>
      <c r="O77" s="928">
        <v>0</v>
      </c>
      <c r="P77" s="200"/>
      <c r="Q77" s="469">
        <f t="shared" si="0"/>
        <v>6611263.5705979615</v>
      </c>
      <c r="R77" s="216"/>
      <c r="S77" s="200"/>
      <c r="T77" s="459">
        <v>2016</v>
      </c>
      <c r="U77" s="457">
        <f>R163</f>
        <v>89172384.219690636</v>
      </c>
      <c r="V77" s="458">
        <f>(U77-U76)/U76</f>
        <v>8.2275535207832092E-4</v>
      </c>
      <c r="W77" s="200"/>
      <c r="X77" s="200"/>
      <c r="Y77" s="200"/>
      <c r="Z77" s="200"/>
      <c r="AA77" s="200"/>
      <c r="AB77" s="200"/>
      <c r="AC77" s="200"/>
      <c r="AD77" s="200"/>
      <c r="AE77" s="200"/>
      <c r="AF77" s="200"/>
      <c r="AG77" s="200"/>
      <c r="AH77" s="200"/>
      <c r="AI77" s="200"/>
      <c r="AJ77" s="200"/>
      <c r="AK77" s="200"/>
      <c r="AL77" s="200"/>
    </row>
    <row r="78" spans="1:38">
      <c r="A78" s="435">
        <f t="shared" si="1"/>
        <v>59</v>
      </c>
      <c r="B78" s="871" t="str">
        <f>CONCATENATE('3. Consumption by Rate Class'!B83,"-",'3. Consumption by Rate Class'!C83)</f>
        <v>2017-November</v>
      </c>
      <c r="C78" s="870">
        <v>7469757.5300000003</v>
      </c>
      <c r="D78" s="934">
        <v>0</v>
      </c>
      <c r="E78" s="935">
        <v>0</v>
      </c>
      <c r="F78" s="935">
        <v>-74082.78</v>
      </c>
      <c r="G78" s="875"/>
      <c r="H78" s="875"/>
      <c r="I78" s="469">
        <f t="shared" si="2"/>
        <v>7395674.75</v>
      </c>
      <c r="J78" s="599">
        <f>IF(J$18='5.Variables'!$B$16,+'5.Variables'!$M31,+IF(J$18='5.Variables'!$B$39,+'5.Variables'!$M54,+IF(J$18='5.Variables'!$B$62,+'5.Variables'!$M68,+IF(J$18='5.Variables'!$B$76,+'5.Variables'!$M82,+IF(J$18='5.Variables'!$B$90,+'5.Variables'!$M96,+IF(J$18='5.Variables'!$B$104,+'5.Variables'!$M110,0))))))</f>
        <v>524.5</v>
      </c>
      <c r="K78" s="599">
        <f>IF(K$18='5.Variables'!$B$16,+'5.Variables'!$M30,+IF(K$18='5.Variables'!$B$39,+'5.Variables'!$M54,+IF(K$18='5.Variables'!$B$62,+'5.Variables'!$M68,+IF(K$18='5.Variables'!$B$76,+'5.Variables'!$M82,+IF(K$18='5.Variables'!$B$90,+'5.Variables'!$M96,+IF(K$18='5.Variables'!$B$104,+'5.Variables'!$M110,0))))))</f>
        <v>0</v>
      </c>
      <c r="L78" s="599">
        <f>IF(L$18='5.Variables'!$B$16,+'5.Variables'!$M30,+IF(L$18='5.Variables'!$B$39,+'5.Variables'!$M54,+IF(L$18='5.Variables'!$B$62,+'5.Variables'!$M68,+IF(L$18='5.Variables'!$B$76,+'5.Variables'!$M82,+IF(L$18='5.Variables'!$B$90,+'5.Variables'!$M96,+IF(L$18='5.Variables'!$B$104,+'5.Variables'!$M110,0))))))</f>
        <v>30</v>
      </c>
      <c r="M78" s="599">
        <f>IF(M$18='5.Variables'!$B$16,+'5.Variables'!$M30,+IF(M$18='5.Variables'!$B$39,+'5.Variables'!$M54,+IF(M$18='5.Variables'!$B$62,+'5.Variables'!$M68,+IF(M$18='5.Variables'!$B$76,+'5.Variables'!$M82,+IF(M$18='5.Variables'!$B$90,+'5.Variables'!$M96,+IF(M$18='5.Variables'!$B$104,+'5.Variables'!$M110,0))))))</f>
        <v>9.2799999999999994</v>
      </c>
      <c r="N78" s="599">
        <f>IF(N$18='5.Variables'!$B$16,+'5.Variables'!$M30,+IF(N$18='5.Variables'!$B$39,+'5.Variables'!$M54,+IF(N$18='5.Variables'!$B$62,+'5.Variables'!$M68,+IF(N$18='5.Variables'!$B$76,+'5.Variables'!$M82,+IF(N$18='5.Variables'!$B$90,+'5.Variables'!$M96,+IF(N$18='5.Variables'!$B$104,+'5.Variables'!$M110,0))))))</f>
        <v>0</v>
      </c>
      <c r="O78" s="928">
        <v>0</v>
      </c>
      <c r="P78" s="200"/>
      <c r="Q78" s="469">
        <f t="shared" si="0"/>
        <v>7431310.8984780703</v>
      </c>
      <c r="R78" s="216"/>
      <c r="S78" s="200"/>
      <c r="T78" s="200"/>
      <c r="U78" s="200"/>
      <c r="V78" s="200"/>
      <c r="W78" s="200"/>
      <c r="X78" s="200"/>
      <c r="Y78" s="200"/>
      <c r="Z78" s="200"/>
      <c r="AA78" s="200"/>
      <c r="AB78" s="200"/>
      <c r="AC78" s="200"/>
      <c r="AD78" s="200"/>
      <c r="AE78" s="200"/>
      <c r="AF78" s="200"/>
      <c r="AG78" s="200"/>
      <c r="AH78" s="200"/>
      <c r="AI78" s="200"/>
      <c r="AJ78" s="200"/>
      <c r="AK78" s="200"/>
      <c r="AL78" s="200"/>
    </row>
    <row r="79" spans="1:38">
      <c r="A79" s="435">
        <f t="shared" si="1"/>
        <v>60</v>
      </c>
      <c r="B79" s="451" t="str">
        <f>CONCATENATE('3. Consumption by Rate Class'!B84,"-",'3. Consumption by Rate Class'!C84)</f>
        <v>2017-December</v>
      </c>
      <c r="C79" s="584">
        <v>8522873.4900000002</v>
      </c>
      <c r="D79" s="940">
        <v>0</v>
      </c>
      <c r="E79" s="939">
        <v>0</v>
      </c>
      <c r="F79" s="939">
        <v>-80079.97</v>
      </c>
      <c r="G79" s="880"/>
      <c r="H79" s="880"/>
      <c r="I79" s="881">
        <f t="shared" si="2"/>
        <v>8442793.5199999996</v>
      </c>
      <c r="J79" s="599">
        <f>IF(J$18='5.Variables'!$B$16,+'5.Variables'!$N31,+IF(J$18='5.Variables'!$B$39,+'5.Variables'!$N54,+IF(J$18='5.Variables'!$B$62,+'5.Variables'!$N68,+IF(J$18='5.Variables'!$B$76,+'5.Variables'!$N82,+IF(J$18='5.Variables'!$B$90,+'5.Variables'!$N96,+IF(J$18='5.Variables'!$B$104,+'5.Variables'!$N110,0))))))</f>
        <v>871.3</v>
      </c>
      <c r="K79" s="599">
        <f>IF(K$18='5.Variables'!$B$16,+'5.Variables'!$N30,+IF(K$18='5.Variables'!$B$39,+'5.Variables'!$N54,+IF(K$18='5.Variables'!$B$62,+'5.Variables'!$N68,+IF(K$18='5.Variables'!$B$76,+'5.Variables'!$N82,+IF(K$18='5.Variables'!$B$90,+'5.Variables'!$N96,+IF(K$18='5.Variables'!$B$104,+'5.Variables'!$N110,0))))))</f>
        <v>0</v>
      </c>
      <c r="L79" s="599">
        <f>IF(L$18='5.Variables'!$B$16,+'5.Variables'!$N30,+IF(L$18='5.Variables'!$B$39,+'5.Variables'!$N54,+IF(L$18='5.Variables'!$B$62,+'5.Variables'!$N68,+IF(L$18='5.Variables'!$B$76,+'5.Variables'!$N82,+IF(L$18='5.Variables'!$B$90,+'5.Variables'!$N96,+IF(L$18='5.Variables'!$B$104,+'5.Variables'!$N110,0))))))</f>
        <v>31</v>
      </c>
      <c r="M79" s="599">
        <f>IF(M$18='5.Variables'!$B$16,+'5.Variables'!$N30,+IF(M$18='5.Variables'!$B$39,+'5.Variables'!$N54,+IF(M$18='5.Variables'!$B$62,+'5.Variables'!$N68,+IF(M$18='5.Variables'!$B$76,+'5.Variables'!$N82,+IF(M$18='5.Variables'!$B$90,+'5.Variables'!$N96,+IF(M$18='5.Variables'!$B$104,+'5.Variables'!$N110,0))))))</f>
        <v>8.4700000000000006</v>
      </c>
      <c r="N79" s="599">
        <f>IF(N$18='5.Variables'!$B$16,+'5.Variables'!$N30,+IF(N$18='5.Variables'!$B$39,+'5.Variables'!$N54,+IF(N$18='5.Variables'!$B$62,+'5.Variables'!$N68,+IF(N$18='5.Variables'!$B$76,+'5.Variables'!$N82,+IF(N$18='5.Variables'!$B$90,+'5.Variables'!$N96,+IF(N$18='5.Variables'!$B$104,+'5.Variables'!$N110,0))))))</f>
        <v>0</v>
      </c>
      <c r="O79" s="928">
        <v>0</v>
      </c>
      <c r="P79" s="200"/>
      <c r="Q79" s="469">
        <f t="shared" si="0"/>
        <v>8637732.5943769887</v>
      </c>
      <c r="R79" s="216">
        <f>SUM(Q68:Q79)</f>
        <v>88121279.395198524</v>
      </c>
      <c r="S79" s="200"/>
      <c r="T79" s="225"/>
      <c r="U79" s="200"/>
      <c r="V79" s="200"/>
      <c r="W79" s="200"/>
      <c r="X79" s="200"/>
      <c r="Y79" s="200"/>
      <c r="Z79" s="200"/>
      <c r="AA79" s="200"/>
      <c r="AB79" s="200"/>
      <c r="AC79" s="200"/>
      <c r="AD79" s="200"/>
      <c r="AE79" s="200"/>
      <c r="AF79" s="200"/>
      <c r="AG79" s="200"/>
      <c r="AH79" s="200"/>
      <c r="AI79" s="200"/>
      <c r="AJ79" s="200"/>
      <c r="AK79" s="200"/>
      <c r="AL79" s="200"/>
    </row>
    <row r="80" spans="1:38">
      <c r="A80" s="435">
        <f t="shared" si="1"/>
        <v>61</v>
      </c>
      <c r="B80" s="871" t="str">
        <f>CONCATENATE('3. Consumption by Rate Class'!B85,"-",'3. Consumption by Rate Class'!C85)</f>
        <v>2018-January</v>
      </c>
      <c r="C80" s="870">
        <v>8983839.4100000001</v>
      </c>
      <c r="D80" s="934">
        <v>0</v>
      </c>
      <c r="E80" s="935">
        <v>0</v>
      </c>
      <c r="F80" s="941">
        <v>-75169.42</v>
      </c>
      <c r="G80" s="875"/>
      <c r="H80" s="875"/>
      <c r="I80" s="469">
        <f t="shared" si="2"/>
        <v>8908669.9900000002</v>
      </c>
      <c r="J80" s="599">
        <f>IF(J$18='5.Variables'!$B$16,+'5.Variables'!$C32,+IF(J$18='5.Variables'!$B$39,+'5.Variables'!$C55,+IF(J$18='5.Variables'!$B$62,+'5.Variables'!$C69,+IF(J$18='5.Variables'!$B$76,+'5.Variables'!$C83,+IF(J$18='5.Variables'!$B$90,+'5.Variables'!$C97,+IF(J$18='5.Variables'!$B$104,+'5.Variables'!$C111,0))))))</f>
        <v>881.5</v>
      </c>
      <c r="K80" s="599">
        <f>IF(K$18='5.Variables'!$B$16,+'5.Variables'!$C31,+IF(K$18='5.Variables'!$B$39,+'5.Variables'!$C55,+IF(K$18='5.Variables'!$B$62,+'5.Variables'!$C69,+IF(K$18='5.Variables'!$B$76,+'5.Variables'!$C83,+IF(K$18='5.Variables'!$B$90,+'5.Variables'!$C97,+IF(K$18='5.Variables'!$B$104,+'5.Variables'!$C111,0))))))</f>
        <v>0</v>
      </c>
      <c r="L80" s="599">
        <f>IF(L$18='5.Variables'!$B$16,+'5.Variables'!$C31,+IF(L$18='5.Variables'!$B$39,+'5.Variables'!$C55,+IF(L$18='5.Variables'!$B$62,+'5.Variables'!$C69,+IF(L$18='5.Variables'!$B$76,+'5.Variables'!$C83,+IF(L$18='5.Variables'!$B$90,+'5.Variables'!$C97,+IF(L$18='5.Variables'!$B$104,+'5.Variables'!$C111,0))))))</f>
        <v>31</v>
      </c>
      <c r="M80" s="599">
        <f>IF(M$18='5.Variables'!$B$16,+'5.Variables'!$C31,+IF(M$18='5.Variables'!$B$39,+'5.Variables'!$C55,+IF(M$18='5.Variables'!$B$62,+'5.Variables'!$C69,+IF(M$18='5.Variables'!$B$76,+'5.Variables'!$C83,+IF(M$18='5.Variables'!$B$90,+'5.Variables'!$C97,+IF(M$18='5.Variables'!$B$104,+'5.Variables'!$C111,0))))))</f>
        <v>9.09</v>
      </c>
      <c r="N80" s="599">
        <f>IF(N$18='5.Variables'!$B$16,+'5.Variables'!$C31,+IF(N$18='5.Variables'!$B$39,+'5.Variables'!$C55,+IF(N$18='5.Variables'!$B$62,+'5.Variables'!$C69,+IF(N$18='5.Variables'!$B$76,+'5.Variables'!$C83,+IF(N$18='5.Variables'!$B$90,+'5.Variables'!$C97,+IF(N$18='5.Variables'!$B$104,+'5.Variables'!$C111,0))))))</f>
        <v>0</v>
      </c>
      <c r="O80" s="928">
        <v>0</v>
      </c>
      <c r="P80" s="200"/>
      <c r="Q80" s="469">
        <f t="shared" si="0"/>
        <v>8680488.5699320324</v>
      </c>
      <c r="R80" s="216"/>
      <c r="S80" s="200"/>
      <c r="T80" s="225"/>
      <c r="U80" s="200"/>
      <c r="V80" s="200"/>
      <c r="W80" s="200"/>
      <c r="X80" s="200"/>
      <c r="Y80" s="200"/>
      <c r="Z80" s="200"/>
      <c r="AA80" s="200"/>
      <c r="AB80" s="200"/>
      <c r="AC80" s="200"/>
      <c r="AD80" s="200"/>
      <c r="AE80" s="200"/>
      <c r="AF80" s="200"/>
      <c r="AG80" s="200"/>
      <c r="AH80" s="200"/>
      <c r="AI80" s="200"/>
      <c r="AJ80" s="200"/>
      <c r="AK80" s="200"/>
      <c r="AL80" s="200"/>
    </row>
    <row r="81" spans="1:38">
      <c r="A81" s="435">
        <f t="shared" si="1"/>
        <v>62</v>
      </c>
      <c r="B81" s="871" t="str">
        <f>CONCATENATE('3. Consumption by Rate Class'!B86,"-",'3. Consumption by Rate Class'!C86)</f>
        <v>2018-February</v>
      </c>
      <c r="C81" s="870">
        <v>7450746.9299999997</v>
      </c>
      <c r="D81" s="934">
        <v>0</v>
      </c>
      <c r="E81" s="935">
        <v>0</v>
      </c>
      <c r="F81" s="941">
        <v>-67033.110000000015</v>
      </c>
      <c r="G81" s="875"/>
      <c r="H81" s="875"/>
      <c r="I81" s="469">
        <f t="shared" si="2"/>
        <v>7383713.8199999994</v>
      </c>
      <c r="J81" s="599">
        <f>IF(J$18='5.Variables'!$B$16,+'5.Variables'!$D32,+IF(J$18='5.Variables'!$B$39,+'5.Variables'!$D55,+IF(J$18='5.Variables'!$B$62,+'5.Variables'!$D69,+IF(J$18='5.Variables'!$B$76,+'5.Variables'!$D83,+IF(J$18='5.Variables'!$B$90,+'5.Variables'!$D97,+IF(J$18='5.Variables'!$B$104,+'5.Variables'!$D111,0))))))</f>
        <v>644.6</v>
      </c>
      <c r="K81" s="599">
        <f>IF(K$18='5.Variables'!$B$16,+'5.Variables'!$D31,+IF(K$18='5.Variables'!$B$39,+'5.Variables'!$D55,+IF(K$18='5.Variables'!$B$62,+'5.Variables'!$D69,+IF(K$18='5.Variables'!$B$76,+'5.Variables'!$D83,+IF(K$18='5.Variables'!$B$90,+'5.Variables'!$D97,+IF(K$18='5.Variables'!$B$104,+'5.Variables'!$D111,0))))))</f>
        <v>0</v>
      </c>
      <c r="L81" s="599">
        <f>IF(L$18='5.Variables'!$B$16,+'5.Variables'!$D31,+IF(L$18='5.Variables'!$B$39,+'5.Variables'!$D55,+IF(L$18='5.Variables'!$B$62,+'5.Variables'!$D69,+IF(L$18='5.Variables'!$B$76,+'5.Variables'!$D83,+IF(L$18='5.Variables'!$B$90,+'5.Variables'!$D97,+IF(L$18='5.Variables'!$B$104,+'5.Variables'!$D111,0))))))</f>
        <v>28</v>
      </c>
      <c r="M81" s="599">
        <f>IF(M$18='5.Variables'!$B$16,+'5.Variables'!$D31,+IF(M$18='5.Variables'!$B$39,+'5.Variables'!$D55,+IF(M$18='5.Variables'!$B$62,+'5.Variables'!$D69,+IF(M$18='5.Variables'!$B$76,+'5.Variables'!$D83,+IF(M$18='5.Variables'!$B$90,+'5.Variables'!$D97,+IF(M$18='5.Variables'!$B$104,+'5.Variables'!$D111,0))))))</f>
        <v>10.19</v>
      </c>
      <c r="N81" s="599">
        <f>IF(N$18='5.Variables'!$B$16,+'5.Variables'!$D31,+IF(N$18='5.Variables'!$B$39,+'5.Variables'!$D55,+IF(N$18='5.Variables'!$B$62,+'5.Variables'!$D69,+IF(N$18='5.Variables'!$B$76,+'5.Variables'!$D83,+IF(N$18='5.Variables'!$B$90,+'5.Variables'!$D97,+IF(N$18='5.Variables'!$B$104,+'5.Variables'!$D111,0))))))</f>
        <v>0</v>
      </c>
      <c r="O81" s="928">
        <v>0</v>
      </c>
      <c r="P81" s="200"/>
      <c r="Q81" s="469">
        <f t="shared" si="0"/>
        <v>7488564.775235326</v>
      </c>
      <c r="R81" s="216"/>
      <c r="S81" s="200"/>
      <c r="T81" s="225"/>
      <c r="U81" s="200"/>
      <c r="V81" s="200"/>
      <c r="W81" s="200"/>
      <c r="X81" s="200"/>
      <c r="Y81" s="200"/>
      <c r="Z81" s="200"/>
      <c r="AA81" s="200"/>
      <c r="AB81" s="200"/>
      <c r="AC81" s="200"/>
      <c r="AD81" s="200"/>
      <c r="AE81" s="200"/>
      <c r="AF81" s="200"/>
      <c r="AG81" s="200"/>
      <c r="AH81" s="200"/>
      <c r="AI81" s="200"/>
      <c r="AJ81" s="200"/>
      <c r="AK81" s="200"/>
      <c r="AL81" s="200"/>
    </row>
    <row r="82" spans="1:38">
      <c r="A82" s="435">
        <f t="shared" si="1"/>
        <v>63</v>
      </c>
      <c r="B82" s="871" t="str">
        <f>CONCATENATE('3. Consumption by Rate Class'!B87,"-",'3. Consumption by Rate Class'!C87)</f>
        <v>2018-March</v>
      </c>
      <c r="C82" s="870">
        <v>7802521.4100000001</v>
      </c>
      <c r="D82" s="934">
        <v>0</v>
      </c>
      <c r="E82" s="935">
        <v>0</v>
      </c>
      <c r="F82" s="941">
        <v>-61073.26</v>
      </c>
      <c r="G82" s="875"/>
      <c r="H82" s="875"/>
      <c r="I82" s="469">
        <f t="shared" si="2"/>
        <v>7741448.1500000004</v>
      </c>
      <c r="J82" s="599">
        <f>IF(J$18='5.Variables'!$B$16,+'5.Variables'!$E32,+IF(J$18='5.Variables'!$B$39,+'5.Variables'!$E55,+IF(J$18='5.Variables'!$B$62,+'5.Variables'!$E69,+IF(J$18='5.Variables'!$B$76,+'5.Variables'!$E83,+IF(J$18='5.Variables'!$B$90,+'5.Variables'!$E97,+IF(J$18='5.Variables'!$B$104,+'5.Variables'!$E111,0))))))</f>
        <v>591</v>
      </c>
      <c r="K82" s="599">
        <f>IF(K$18='5.Variables'!$B$16,+'5.Variables'!$E31,+IF(K$18='5.Variables'!$B$39,+'5.Variables'!$E55,+IF(K$18='5.Variables'!$B$62,+'5.Variables'!$E69,+IF(K$18='5.Variables'!$B$76,+'5.Variables'!$E83,+IF(K$18='5.Variables'!$B$90,+'5.Variables'!$E97,+IF(K$18='5.Variables'!$B$104,+'5.Variables'!$E111,0))))))</f>
        <v>0</v>
      </c>
      <c r="L82" s="599">
        <f>IF(L$18='5.Variables'!$B$16,+'5.Variables'!$E31,+IF(L$18='5.Variables'!$B$39,+'5.Variables'!$E55,+IF(L$18='5.Variables'!$B$62,+'5.Variables'!$E69,+IF(L$18='5.Variables'!$B$76,+'5.Variables'!$E83,+IF(L$18='5.Variables'!$B$90,+'5.Variables'!$E97,+IF(L$18='5.Variables'!$B$104,+'5.Variables'!$E111,0))))))</f>
        <v>31</v>
      </c>
      <c r="M82" s="599">
        <f>IF(M$18='5.Variables'!$B$16,+'5.Variables'!$E31,+IF(M$18='5.Variables'!$B$39,+'5.Variables'!$E55,+IF(M$18='5.Variables'!$B$62,+'5.Variables'!$E69,+IF(M$18='5.Variables'!$B$76,+'5.Variables'!$E83,+IF(M$18='5.Variables'!$B$90,+'5.Variables'!$E97,+IF(M$18='5.Variables'!$B$104,+'5.Variables'!$E111,0))))))</f>
        <v>11.51</v>
      </c>
      <c r="N82" s="599">
        <f>IF(N$18='5.Variables'!$B$16,+'5.Variables'!$E31,+IF(N$18='5.Variables'!$B$39,+'5.Variables'!$E55,+IF(N$18='5.Variables'!$B$62,+'5.Variables'!$E69,+IF(N$18='5.Variables'!$B$76,+'5.Variables'!$E83,+IF(N$18='5.Variables'!$B$90,+'5.Variables'!$E97,+IF(N$18='5.Variables'!$B$104,+'5.Variables'!$E111,0))))))</f>
        <v>0</v>
      </c>
      <c r="O82" s="928">
        <v>0</v>
      </c>
      <c r="P82" s="200"/>
      <c r="Q82" s="469">
        <f t="shared" si="0"/>
        <v>7839260.6057738308</v>
      </c>
      <c r="R82" s="216"/>
      <c r="S82" s="200"/>
      <c r="T82" s="225"/>
      <c r="U82" s="200"/>
      <c r="V82" s="200"/>
      <c r="W82" s="200"/>
      <c r="X82" s="200"/>
      <c r="Y82" s="200"/>
      <c r="Z82" s="200"/>
      <c r="AA82" s="200"/>
      <c r="AB82" s="200"/>
      <c r="AC82" s="200"/>
      <c r="AD82" s="200"/>
      <c r="AE82" s="200"/>
      <c r="AF82" s="200"/>
      <c r="AG82" s="200"/>
      <c r="AH82" s="200"/>
      <c r="AI82" s="200"/>
      <c r="AJ82" s="200"/>
      <c r="AK82" s="200"/>
      <c r="AL82" s="200"/>
    </row>
    <row r="83" spans="1:38">
      <c r="A83" s="435">
        <f t="shared" si="1"/>
        <v>64</v>
      </c>
      <c r="B83" s="871" t="str">
        <f>CONCATENATE('3. Consumption by Rate Class'!B88,"-",'3. Consumption by Rate Class'!C88)</f>
        <v>2018-April</v>
      </c>
      <c r="C83" s="870">
        <v>7066438.4100000001</v>
      </c>
      <c r="D83" s="934">
        <v>0</v>
      </c>
      <c r="E83" s="935">
        <v>0</v>
      </c>
      <c r="F83" s="941">
        <v>-51121.5</v>
      </c>
      <c r="G83" s="875"/>
      <c r="H83" s="875"/>
      <c r="I83" s="469">
        <f t="shared" si="2"/>
        <v>7015316.9100000001</v>
      </c>
      <c r="J83" s="599">
        <f>IF(J$18='5.Variables'!$B$16,+'5.Variables'!$F32,+IF(J$18='5.Variables'!$B$39,+'5.Variables'!$F55,+IF(J$18='5.Variables'!$B$62,+'5.Variables'!$F69,+IF(J$18='5.Variables'!$B$76,+'5.Variables'!$F83,+IF(J$18='5.Variables'!$B$90,+'5.Variables'!$F97,+IF(J$18='5.Variables'!$B$104,+'5.Variables'!$F111,0))))))</f>
        <v>454.4</v>
      </c>
      <c r="K83" s="599">
        <f>IF(K$18='5.Variables'!$B$16,+'5.Variables'!$F31,+IF(K$18='5.Variables'!$B$39,+'5.Variables'!$F55,+IF(K$18='5.Variables'!$B$62,+'5.Variables'!$F69,+IF(K$18='5.Variables'!$B$76,+'5.Variables'!$F83,+IF(K$18='5.Variables'!$B$90,+'5.Variables'!$F97,+IF(K$18='5.Variables'!$B$104,+'5.Variables'!$F111,0))))))</f>
        <v>0</v>
      </c>
      <c r="L83" s="599">
        <f>IF(L$18='5.Variables'!$B$16,+'5.Variables'!$F31,+IF(L$18='5.Variables'!$B$39,+'5.Variables'!$F55,+IF(L$18='5.Variables'!$B$62,+'5.Variables'!$F69,+IF(L$18='5.Variables'!$B$76,+'5.Variables'!$F83,+IF(L$18='5.Variables'!$B$90,+'5.Variables'!$F97,+IF(L$18='5.Variables'!$B$104,+'5.Variables'!$F111,0))))))</f>
        <v>30</v>
      </c>
      <c r="M83" s="599">
        <f>IF(M$18='5.Variables'!$B$16,+'5.Variables'!$F31,+IF(M$18='5.Variables'!$B$39,+'5.Variables'!$F55,+IF(M$18='5.Variables'!$B$62,+'5.Variables'!$F69,+IF(M$18='5.Variables'!$B$76,+'5.Variables'!$F83,+IF(M$18='5.Variables'!$B$90,+'5.Variables'!$F97,+IF(M$18='5.Variables'!$B$104,+'5.Variables'!$F111,0))))))</f>
        <v>13.28</v>
      </c>
      <c r="N83" s="599">
        <f>IF(N$18='5.Variables'!$B$16,+'5.Variables'!$F31,+IF(N$18='5.Variables'!$B$39,+'5.Variables'!$F55,+IF(N$18='5.Variables'!$B$62,+'5.Variables'!$F69,+IF(N$18='5.Variables'!$B$76,+'5.Variables'!$F83,+IF(N$18='5.Variables'!$B$90,+'5.Variables'!$F97,+IF(N$18='5.Variables'!$B$104,+'5.Variables'!$F111,0))))))</f>
        <v>0</v>
      </c>
      <c r="O83" s="928">
        <v>0</v>
      </c>
      <c r="P83" s="200"/>
      <c r="Q83" s="469">
        <f t="shared" si="0"/>
        <v>7292369.7365004411</v>
      </c>
      <c r="R83" s="216"/>
      <c r="S83" s="200"/>
      <c r="T83" s="200"/>
      <c r="U83" s="200"/>
      <c r="V83" s="200"/>
      <c r="W83" s="200"/>
      <c r="X83" s="200"/>
      <c r="Y83" s="200"/>
      <c r="Z83" s="200"/>
      <c r="AA83" s="200"/>
      <c r="AB83" s="200"/>
      <c r="AC83" s="200"/>
      <c r="AD83" s="200"/>
      <c r="AE83" s="200"/>
      <c r="AF83" s="200"/>
      <c r="AG83" s="200"/>
      <c r="AH83" s="200"/>
      <c r="AI83" s="200"/>
      <c r="AJ83" s="200"/>
      <c r="AK83" s="200"/>
      <c r="AL83" s="200"/>
    </row>
    <row r="84" spans="1:38">
      <c r="A84" s="435">
        <f t="shared" si="1"/>
        <v>65</v>
      </c>
      <c r="B84" s="871" t="str">
        <f>CONCATENATE('3. Consumption by Rate Class'!B89,"-",'3. Consumption by Rate Class'!C89)</f>
        <v>2018-May</v>
      </c>
      <c r="C84" s="870">
        <v>6766722.5499999998</v>
      </c>
      <c r="D84" s="934">
        <v>0</v>
      </c>
      <c r="E84" s="935">
        <v>0</v>
      </c>
      <c r="F84" s="941">
        <v>-45969.16</v>
      </c>
      <c r="G84" s="875"/>
      <c r="H84" s="875"/>
      <c r="I84" s="469">
        <f t="shared" si="2"/>
        <v>6720753.3899999997</v>
      </c>
      <c r="J84" s="599">
        <f>IF(J$18='5.Variables'!$B$16,+'5.Variables'!$G32,+IF(J$18='5.Variables'!$B$39,+'5.Variables'!$G55,+IF(J$18='5.Variables'!$B$62,+'5.Variables'!$G69,+IF(J$18='5.Variables'!$B$76,+'5.Variables'!$G83,+IF(J$18='5.Variables'!$B$90,+'5.Variables'!$G97,+IF(J$18='5.Variables'!$B$104,+'5.Variables'!$G111,0))))))</f>
        <v>110.4</v>
      </c>
      <c r="K84" s="599">
        <f>IF(K$18='5.Variables'!$B$16,+'5.Variables'!$G31,+IF(K$18='5.Variables'!$B$39,+'5.Variables'!$G55,+IF(K$18='5.Variables'!$B$62,+'5.Variables'!$G69,+IF(K$18='5.Variables'!$B$76,+'5.Variables'!$G83,+IF(K$18='5.Variables'!$B$90,+'5.Variables'!$G97,+IF(K$18='5.Variables'!$B$104,+'5.Variables'!$G111,0))))))</f>
        <v>15.7</v>
      </c>
      <c r="L84" s="599">
        <f>IF(L$18='5.Variables'!$B$16,+'5.Variables'!$G31,+IF(L$18='5.Variables'!$B$39,+'5.Variables'!$G55,+IF(L$18='5.Variables'!$B$62,+'5.Variables'!$G69,+IF(L$18='5.Variables'!$B$76,+'5.Variables'!$G83,+IF(L$18='5.Variables'!$B$90,+'5.Variables'!$G97,+IF(L$18='5.Variables'!$B$104,+'5.Variables'!$G111,0))))))</f>
        <v>31</v>
      </c>
      <c r="M84" s="599">
        <f>IF(M$18='5.Variables'!$B$16,+'5.Variables'!$G31,+IF(M$18='5.Variables'!$B$39,+'5.Variables'!$G55,+IF(M$18='5.Variables'!$B$62,+'5.Variables'!$G69,+IF(M$18='5.Variables'!$B$76,+'5.Variables'!$G83,+IF(M$18='5.Variables'!$B$90,+'5.Variables'!$G97,+IF(M$18='5.Variables'!$B$104,+'5.Variables'!$G111,0))))))</f>
        <v>14.52</v>
      </c>
      <c r="N84" s="599">
        <f>IF(N$18='5.Variables'!$B$16,+'5.Variables'!$G31,+IF(N$18='5.Variables'!$B$39,+'5.Variables'!$G55,+IF(N$18='5.Variables'!$B$62,+'5.Variables'!$G69,+IF(N$18='5.Variables'!$B$76,+'5.Variables'!$G83,+IF(N$18='5.Variables'!$B$90,+'5.Variables'!$G97,+IF(N$18='5.Variables'!$B$104,+'5.Variables'!$G111,0))))))</f>
        <v>0</v>
      </c>
      <c r="O84" s="928">
        <v>0</v>
      </c>
      <c r="P84" s="200"/>
      <c r="Q84" s="469">
        <f t="shared" si="0"/>
        <v>6666741.6673907489</v>
      </c>
      <c r="R84" s="216"/>
      <c r="S84" s="200"/>
      <c r="T84" s="200"/>
      <c r="U84" s="200"/>
      <c r="V84" s="200"/>
      <c r="W84" s="200"/>
      <c r="X84" s="200"/>
      <c r="Y84" s="200"/>
      <c r="Z84" s="200"/>
      <c r="AA84" s="200"/>
      <c r="AB84" s="200"/>
      <c r="AC84" s="200"/>
      <c r="AD84" s="200"/>
      <c r="AE84" s="200"/>
      <c r="AF84" s="200"/>
      <c r="AG84" s="200"/>
      <c r="AH84" s="200"/>
      <c r="AI84" s="200"/>
      <c r="AJ84" s="200"/>
      <c r="AK84" s="200"/>
      <c r="AL84" s="200"/>
    </row>
    <row r="85" spans="1:38">
      <c r="A85" s="435">
        <f t="shared" si="1"/>
        <v>66</v>
      </c>
      <c r="B85" s="871" t="str">
        <f>CONCATENATE('3. Consumption by Rate Class'!B90,"-",'3. Consumption by Rate Class'!C90)</f>
        <v>2018-June</v>
      </c>
      <c r="C85" s="870">
        <v>6728887.5</v>
      </c>
      <c r="D85" s="934">
        <v>0</v>
      </c>
      <c r="E85" s="935">
        <v>0</v>
      </c>
      <c r="F85" s="941">
        <v>-40570.28</v>
      </c>
      <c r="G85" s="875"/>
      <c r="H85" s="875"/>
      <c r="I85" s="469">
        <f t="shared" ref="I85:I139" si="8">C85-D85+E85+F85</f>
        <v>6688317.2199999997</v>
      </c>
      <c r="J85" s="599">
        <f>IF(J$18='5.Variables'!$B$16,+'5.Variables'!$H32,+IF(J$18='5.Variables'!$B$39,+'5.Variables'!$H55,+IF(J$18='5.Variables'!$B$62,+'5.Variables'!$H69,+IF(J$18='5.Variables'!$B$76,+'5.Variables'!$H83,+IF(J$18='5.Variables'!$B$90,+'5.Variables'!$H97,+IF(J$18='5.Variables'!$B$104,+'5.Variables'!$H111,0))))))</f>
        <v>39</v>
      </c>
      <c r="K85" s="599">
        <f>IF(K$18='5.Variables'!$B$16,+'5.Variables'!$H31,+IF(K$18='5.Variables'!$B$39,+'5.Variables'!$H55,+IF(K$18='5.Variables'!$B$62,+'5.Variables'!$H69,+IF(K$18='5.Variables'!$B$76,+'5.Variables'!$H83,+IF(K$18='5.Variables'!$B$90,+'5.Variables'!$H97,+IF(K$18='5.Variables'!$B$104,+'5.Variables'!$H111,0))))))</f>
        <v>36.200000000000003</v>
      </c>
      <c r="L85" s="599">
        <f>IF(L$18='5.Variables'!$B$16,+'5.Variables'!$H31,+IF(L$18='5.Variables'!$B$39,+'5.Variables'!$H55,+IF(L$18='5.Variables'!$B$62,+'5.Variables'!$H69,+IF(L$18='5.Variables'!$B$76,+'5.Variables'!$H83,+IF(L$18='5.Variables'!$B$90,+'5.Variables'!$H97,+IF(L$18='5.Variables'!$B$104,+'5.Variables'!$H111,0))))))</f>
        <v>30</v>
      </c>
      <c r="M85" s="599">
        <f>IF(M$18='5.Variables'!$B$16,+'5.Variables'!$H31,+IF(M$18='5.Variables'!$B$39,+'5.Variables'!$H55,+IF(M$18='5.Variables'!$B$62,+'5.Variables'!$H69,+IF(M$18='5.Variables'!$B$76,+'5.Variables'!$H83,+IF(M$18='5.Variables'!$B$90,+'5.Variables'!$H97,+IF(M$18='5.Variables'!$B$104,+'5.Variables'!$H111,0))))))</f>
        <v>15.35</v>
      </c>
      <c r="N85" s="599">
        <f>IF(N$18='5.Variables'!$B$16,+'5.Variables'!$H31,+IF(N$18='5.Variables'!$B$39,+'5.Variables'!$H55,+IF(N$18='5.Variables'!$B$62,+'5.Variables'!$H69,+IF(N$18='5.Variables'!$B$76,+'5.Variables'!$H83,+IF(N$18='5.Variables'!$B$90,+'5.Variables'!$H97,+IF(N$18='5.Variables'!$B$104,+'5.Variables'!$H111,0))))))</f>
        <v>0</v>
      </c>
      <c r="O85" s="928">
        <v>0</v>
      </c>
      <c r="P85" s="200"/>
      <c r="Q85" s="469">
        <f t="shared" ref="Q85:Q148" si="9">$U$34+(J85*$U$35)+(K85*$U$36)+(L85*$U$37)+(M85*$U$38)</f>
        <v>6611758.4042405384</v>
      </c>
      <c r="R85" s="216"/>
      <c r="S85" s="200"/>
      <c r="T85" s="200"/>
      <c r="U85" s="200"/>
      <c r="V85" s="200"/>
      <c r="W85" s="200"/>
      <c r="X85" s="200"/>
      <c r="Y85" s="200"/>
      <c r="Z85" s="200"/>
      <c r="AA85" s="200"/>
      <c r="AB85" s="200"/>
      <c r="AC85" s="200"/>
      <c r="AD85" s="200"/>
      <c r="AE85" s="200"/>
      <c r="AF85" s="200"/>
      <c r="AG85" s="200"/>
      <c r="AH85" s="200"/>
      <c r="AI85" s="200"/>
      <c r="AJ85" s="200"/>
      <c r="AK85" s="200"/>
      <c r="AL85" s="200"/>
    </row>
    <row r="86" spans="1:38">
      <c r="A86" s="435">
        <f t="shared" ref="A86:A149" si="10">+A85+1</f>
        <v>67</v>
      </c>
      <c r="B86" s="871" t="str">
        <f>CONCATENATE('3. Consumption by Rate Class'!B91,"-",'3. Consumption by Rate Class'!C91)</f>
        <v>2018-July</v>
      </c>
      <c r="C86" s="870">
        <v>8182323.6200000001</v>
      </c>
      <c r="D86" s="934">
        <v>0</v>
      </c>
      <c r="E86" s="935">
        <v>0</v>
      </c>
      <c r="F86" s="941">
        <v>-44087.020000000004</v>
      </c>
      <c r="G86" s="875"/>
      <c r="H86" s="875"/>
      <c r="I86" s="469">
        <f t="shared" si="8"/>
        <v>8138236.6000000006</v>
      </c>
      <c r="J86" s="599">
        <f>IF(J$18='5.Variables'!$B$16,+'5.Variables'!$I32,+IF(J$18='5.Variables'!$B$39,+'5.Variables'!$I55,+IF(J$18='5.Variables'!$B$62,+'5.Variables'!$I69,+IF(J$18='5.Variables'!$B$76,+'5.Variables'!$I83,+IF(J$18='5.Variables'!$B$90,+'5.Variables'!$I97,+IF(J$18='5.Variables'!$B$104,+'5.Variables'!$I111,0))))))</f>
        <v>0</v>
      </c>
      <c r="K86" s="599">
        <f>IF(K$18='5.Variables'!$B$16,+'5.Variables'!$I31,+IF(K$18='5.Variables'!$B$39,+'5.Variables'!$I55,+IF(K$18='5.Variables'!$B$62,+'5.Variables'!$I69,+IF(K$18='5.Variables'!$B$76,+'5.Variables'!$I83,+IF(K$18='5.Variables'!$B$90,+'5.Variables'!$I97,+IF(K$18='5.Variables'!$B$104,+'5.Variables'!$I111,0))))))</f>
        <v>156.9</v>
      </c>
      <c r="L86" s="599">
        <f>IF(L$18='5.Variables'!$B$16,+'5.Variables'!$I31,+IF(L$18='5.Variables'!$B$39,+'5.Variables'!$I55,+IF(L$18='5.Variables'!$B$62,+'5.Variables'!$I69,+IF(L$18='5.Variables'!$B$76,+'5.Variables'!$I83,+IF(L$18='5.Variables'!$B$90,+'5.Variables'!$I97,+IF(L$18='5.Variables'!$B$104,+'5.Variables'!$I111,0))))))</f>
        <v>31</v>
      </c>
      <c r="M86" s="599">
        <f>IF(M$18='5.Variables'!$B$16,+'5.Variables'!$I31,+IF(M$18='5.Variables'!$B$39,+'5.Variables'!$I55,+IF(M$18='5.Variables'!$B$62,+'5.Variables'!$I69,+IF(M$18='5.Variables'!$B$76,+'5.Variables'!$I83,+IF(M$18='5.Variables'!$B$90,+'5.Variables'!$I97,+IF(M$18='5.Variables'!$B$104,+'5.Variables'!$I111,0))))))</f>
        <v>15.15</v>
      </c>
      <c r="N86" s="599">
        <f>IF(N$18='5.Variables'!$B$16,+'5.Variables'!$I31,+IF(N$18='5.Variables'!$B$39,+'5.Variables'!$I55,+IF(N$18='5.Variables'!$B$62,+'5.Variables'!$I69,+IF(N$18='5.Variables'!$B$76,+'5.Variables'!$I83,+IF(N$18='5.Variables'!$B$90,+'5.Variables'!$I97,+IF(N$18='5.Variables'!$B$104,+'5.Variables'!$I111,0))))))</f>
        <v>0</v>
      </c>
      <c r="O86" s="928">
        <v>0</v>
      </c>
      <c r="P86" s="200"/>
      <c r="Q86" s="469">
        <f t="shared" si="9"/>
        <v>8480575.7010648604</v>
      </c>
      <c r="R86" s="216"/>
      <c r="S86" s="200"/>
      <c r="T86" s="200"/>
      <c r="U86" s="200"/>
      <c r="V86" s="200"/>
      <c r="W86" s="200"/>
      <c r="X86" s="200"/>
      <c r="Y86" s="200"/>
      <c r="Z86" s="200"/>
      <c r="AA86" s="200"/>
      <c r="AB86" s="200"/>
      <c r="AC86" s="200"/>
      <c r="AD86" s="200"/>
      <c r="AE86" s="200"/>
      <c r="AF86" s="200"/>
      <c r="AG86" s="200"/>
      <c r="AH86" s="200"/>
      <c r="AI86" s="200"/>
      <c r="AJ86" s="200"/>
      <c r="AK86" s="200"/>
      <c r="AL86" s="200"/>
    </row>
    <row r="87" spans="1:38">
      <c r="A87" s="435">
        <f t="shared" si="10"/>
        <v>68</v>
      </c>
      <c r="B87" s="871" t="str">
        <f>CONCATENATE('3. Consumption by Rate Class'!B92,"-",'3. Consumption by Rate Class'!C92)</f>
        <v>2018-August</v>
      </c>
      <c r="C87" s="870">
        <v>7933671.6500000004</v>
      </c>
      <c r="D87" s="934">
        <v>0</v>
      </c>
      <c r="E87" s="935">
        <v>0</v>
      </c>
      <c r="F87" s="941">
        <v>-50426.47</v>
      </c>
      <c r="G87" s="875"/>
      <c r="H87" s="875"/>
      <c r="I87" s="469">
        <f t="shared" si="8"/>
        <v>7883245.1800000006</v>
      </c>
      <c r="J87" s="599">
        <f>IF(J$18='5.Variables'!$B$16,+'5.Variables'!$J32,+IF(J$18='5.Variables'!$B$39,+'5.Variables'!$J55,+IF(J$18='5.Variables'!$B$62,+'5.Variables'!$J69,+IF(J$18='5.Variables'!$B$76,+'5.Variables'!$J83,+IF(J$18='5.Variables'!$B$90,+'5.Variables'!$J97,+IF(J$18='5.Variables'!$B$104,+'5.Variables'!$J111,0))))))</f>
        <v>3.6</v>
      </c>
      <c r="K87" s="599">
        <f>IF(K$18='5.Variables'!$B$16,+'5.Variables'!$J31,+IF(K$18='5.Variables'!$B$39,+'5.Variables'!$J55,+IF(K$18='5.Variables'!$B$62,+'5.Variables'!$J69,+IF(K$18='5.Variables'!$B$76,+'5.Variables'!$J83,+IF(K$18='5.Variables'!$B$90,+'5.Variables'!$J97,+IF(K$18='5.Variables'!$B$104,+'5.Variables'!$J111,0))))))</f>
        <v>115.4</v>
      </c>
      <c r="L87" s="599">
        <f>IF(L$18='5.Variables'!$B$16,+'5.Variables'!$J31,+IF(L$18='5.Variables'!$B$39,+'5.Variables'!$J55,+IF(L$18='5.Variables'!$B$62,+'5.Variables'!$J69,+IF(L$18='5.Variables'!$B$76,+'5.Variables'!$J83,+IF(L$18='5.Variables'!$B$90,+'5.Variables'!$J97,+IF(L$18='5.Variables'!$B$104,+'5.Variables'!$J111,0))))))</f>
        <v>31</v>
      </c>
      <c r="M87" s="599">
        <f>IF(M$18='5.Variables'!$B$16,+'5.Variables'!$J31,+IF(M$18='5.Variables'!$B$39,+'5.Variables'!$J55,+IF(M$18='5.Variables'!$B$62,+'5.Variables'!$J69,+IF(M$18='5.Variables'!$B$76,+'5.Variables'!$J83,+IF(M$18='5.Variables'!$B$90,+'5.Variables'!$J97,+IF(M$18='5.Variables'!$B$104,+'5.Variables'!$J111,0))))))</f>
        <v>14.03</v>
      </c>
      <c r="N87" s="599">
        <f>IF(N$18='5.Variables'!$B$16,+'5.Variables'!$J31,+IF(N$18='5.Variables'!$B$39,+'5.Variables'!$J55,+IF(N$18='5.Variables'!$B$62,+'5.Variables'!$J69,+IF(N$18='5.Variables'!$B$76,+'5.Variables'!$J83,+IF(N$18='5.Variables'!$B$90,+'5.Variables'!$J97,+IF(N$18='5.Variables'!$B$104,+'5.Variables'!$J111,0))))))</f>
        <v>0</v>
      </c>
      <c r="O87" s="928">
        <v>0</v>
      </c>
      <c r="P87" s="200"/>
      <c r="Q87" s="469">
        <f t="shared" si="9"/>
        <v>7841901.0395933157</v>
      </c>
      <c r="R87" s="216"/>
      <c r="S87" s="200"/>
      <c r="T87" s="200"/>
      <c r="U87" s="200"/>
      <c r="V87" s="200"/>
      <c r="W87" s="200"/>
      <c r="X87" s="200"/>
      <c r="Y87" s="200"/>
      <c r="Z87" s="200"/>
      <c r="AA87" s="200"/>
      <c r="AB87" s="200"/>
      <c r="AC87" s="200"/>
      <c r="AD87" s="200"/>
      <c r="AE87" s="200"/>
      <c r="AF87" s="200"/>
      <c r="AG87" s="200"/>
      <c r="AH87" s="200"/>
      <c r="AI87" s="200"/>
      <c r="AJ87" s="200"/>
      <c r="AK87" s="200"/>
      <c r="AL87" s="200"/>
    </row>
    <row r="88" spans="1:38">
      <c r="A88" s="435">
        <f t="shared" si="10"/>
        <v>69</v>
      </c>
      <c r="B88" s="871" t="str">
        <f>CONCATENATE('3. Consumption by Rate Class'!B93,"-",'3. Consumption by Rate Class'!C93)</f>
        <v>2018-September</v>
      </c>
      <c r="C88" s="870">
        <v>6846144.29</v>
      </c>
      <c r="D88" s="934">
        <v>0</v>
      </c>
      <c r="E88" s="935">
        <v>0</v>
      </c>
      <c r="F88" s="941">
        <v>-56316.43</v>
      </c>
      <c r="G88" s="875"/>
      <c r="H88" s="875"/>
      <c r="I88" s="469">
        <f t="shared" si="8"/>
        <v>6789827.8600000003</v>
      </c>
      <c r="J88" s="599">
        <f>IF(J$18='5.Variables'!$B$16,+'5.Variables'!$K32,+IF(J$18='5.Variables'!$B$39,+'5.Variables'!$K55,+IF(J$18='5.Variables'!$B$62,+'5.Variables'!$K69,+IF(J$18='5.Variables'!$B$76,+'5.Variables'!$K83,+IF(J$18='5.Variables'!$B$90,+'5.Variables'!$K97,+IF(J$18='5.Variables'!$B$104,+'5.Variables'!$K111,0))))))</f>
        <v>96.8</v>
      </c>
      <c r="K88" s="599">
        <f>IF(K$18='5.Variables'!$B$16,+'5.Variables'!$K31,+IF(K$18='5.Variables'!$B$39,+'5.Variables'!$K55,+IF(K$18='5.Variables'!$B$62,+'5.Variables'!$K69,+IF(K$18='5.Variables'!$B$76,+'5.Variables'!$K83,+IF(K$18='5.Variables'!$B$90,+'5.Variables'!$K97,+IF(K$18='5.Variables'!$B$104,+'5.Variables'!$K111,0))))))</f>
        <v>49.5</v>
      </c>
      <c r="L88" s="599">
        <f>IF(L$18='5.Variables'!$B$16,+'5.Variables'!$K31,+IF(L$18='5.Variables'!$B$39,+'5.Variables'!$K55,+IF(L$18='5.Variables'!$B$62,+'5.Variables'!$K69,+IF(L$18='5.Variables'!$B$76,+'5.Variables'!$K83,+IF(L$18='5.Variables'!$B$90,+'5.Variables'!$K97,+IF(L$18='5.Variables'!$B$104,+'5.Variables'!$K111,0))))))</f>
        <v>30</v>
      </c>
      <c r="M88" s="599">
        <f>IF(M$18='5.Variables'!$B$16,+'5.Variables'!$K31,+IF(M$18='5.Variables'!$B$39,+'5.Variables'!$K55,+IF(M$18='5.Variables'!$B$62,+'5.Variables'!$K69,+IF(M$18='5.Variables'!$B$76,+'5.Variables'!$K83,+IF(M$18='5.Variables'!$B$90,+'5.Variables'!$K97,+IF(M$18='5.Variables'!$B$104,+'5.Variables'!$K111,0))))))</f>
        <v>12.29</v>
      </c>
      <c r="N88" s="599">
        <f>IF(N$18='5.Variables'!$B$16,+'5.Variables'!$K31,+IF(N$18='5.Variables'!$B$39,+'5.Variables'!$K55,+IF(N$18='5.Variables'!$B$62,+'5.Variables'!$K69,+IF(N$18='5.Variables'!$B$76,+'5.Variables'!$K83,+IF(N$18='5.Variables'!$B$90,+'5.Variables'!$K97,+IF(N$18='5.Variables'!$B$104,+'5.Variables'!$K111,0))))))</f>
        <v>0</v>
      </c>
      <c r="O88" s="928">
        <v>0</v>
      </c>
      <c r="P88" s="200"/>
      <c r="Q88" s="469">
        <f t="shared" si="9"/>
        <v>6932260.3203460574</v>
      </c>
      <c r="R88" s="216"/>
      <c r="S88" s="200"/>
      <c r="T88" s="200"/>
      <c r="U88" s="200"/>
      <c r="V88" s="200"/>
      <c r="W88" s="200"/>
      <c r="X88" s="200"/>
      <c r="Y88" s="200"/>
      <c r="Z88" s="200"/>
      <c r="AA88" s="200"/>
      <c r="AB88" s="200"/>
      <c r="AC88" s="200"/>
      <c r="AD88" s="200"/>
      <c r="AE88" s="200"/>
      <c r="AF88" s="200"/>
      <c r="AG88" s="200"/>
      <c r="AH88" s="200"/>
      <c r="AI88" s="200"/>
      <c r="AJ88" s="200"/>
      <c r="AK88" s="200"/>
      <c r="AL88" s="200"/>
    </row>
    <row r="89" spans="1:38">
      <c r="A89" s="435">
        <f t="shared" si="10"/>
        <v>70</v>
      </c>
      <c r="B89" s="871" t="str">
        <f>CONCATENATE('3. Consumption by Rate Class'!B94,"-",'3. Consumption by Rate Class'!C94)</f>
        <v>2018-October</v>
      </c>
      <c r="C89" s="870">
        <v>6970918.46</v>
      </c>
      <c r="D89" s="934">
        <v>0</v>
      </c>
      <c r="E89" s="935">
        <v>0</v>
      </c>
      <c r="F89" s="941">
        <v>-66499.34</v>
      </c>
      <c r="G89" s="875"/>
      <c r="H89" s="875"/>
      <c r="I89" s="469">
        <f t="shared" si="8"/>
        <v>6904419.1200000001</v>
      </c>
      <c r="J89" s="599">
        <f>IF(J$18='5.Variables'!$B$16,+'5.Variables'!$L32,+IF(J$18='5.Variables'!$B$39,+'5.Variables'!$L55,+IF(J$18='5.Variables'!$B$62,+'5.Variables'!$L69,+IF(J$18='5.Variables'!$B$76,+'5.Variables'!$L83,+IF(J$18='5.Variables'!$B$90,+'5.Variables'!$L97,+IF(J$18='5.Variables'!$B$104,+'5.Variables'!$L111,0))))))</f>
        <v>359.1</v>
      </c>
      <c r="K89" s="599">
        <f>IF(K$18='5.Variables'!$B$16,+'5.Variables'!$L31,+IF(K$18='5.Variables'!$B$39,+'5.Variables'!$L55,+IF(K$18='5.Variables'!$B$62,+'5.Variables'!$L69,+IF(K$18='5.Variables'!$B$76,+'5.Variables'!$L83,+IF(K$18='5.Variables'!$B$90,+'5.Variables'!$L97,+IF(K$18='5.Variables'!$B$104,+'5.Variables'!$L111,0))))))</f>
        <v>0.7</v>
      </c>
      <c r="L89" s="599">
        <f>IF(L$18='5.Variables'!$B$16,+'5.Variables'!$L31,+IF(L$18='5.Variables'!$B$39,+'5.Variables'!$L55,+IF(L$18='5.Variables'!$B$62,+'5.Variables'!$L69,+IF(L$18='5.Variables'!$B$76,+'5.Variables'!$L83,+IF(L$18='5.Variables'!$B$90,+'5.Variables'!$L97,+IF(L$18='5.Variables'!$B$104,+'5.Variables'!$L111,0))))))</f>
        <v>31</v>
      </c>
      <c r="M89" s="599">
        <f>IF(M$18='5.Variables'!$B$16,+'5.Variables'!$L31,+IF(M$18='5.Variables'!$B$39,+'5.Variables'!$L55,+IF(M$18='5.Variables'!$B$62,+'5.Variables'!$L69,+IF(M$18='5.Variables'!$B$76,+'5.Variables'!$L83,+IF(M$18='5.Variables'!$B$90,+'5.Variables'!$L97,+IF(M$18='5.Variables'!$B$104,+'5.Variables'!$L111,0))))))</f>
        <v>10.51</v>
      </c>
      <c r="N89" s="599">
        <f>IF(N$18='5.Variables'!$B$16,+'5.Variables'!$L31,+IF(N$18='5.Variables'!$B$39,+'5.Variables'!$L55,+IF(N$18='5.Variables'!$B$62,+'5.Variables'!$L69,+IF(N$18='5.Variables'!$B$76,+'5.Variables'!$L83,+IF(N$18='5.Variables'!$B$90,+'5.Variables'!$L97,+IF(N$18='5.Variables'!$B$104,+'5.Variables'!$L111,0))))))</f>
        <v>0</v>
      </c>
      <c r="O89" s="928">
        <v>0</v>
      </c>
      <c r="P89" s="200"/>
      <c r="Q89" s="469">
        <f t="shared" si="9"/>
        <v>7123355.3088855008</v>
      </c>
      <c r="R89" s="216"/>
      <c r="S89" s="200"/>
      <c r="T89" s="200"/>
      <c r="U89" s="200"/>
      <c r="V89" s="200"/>
      <c r="W89" s="200"/>
      <c r="X89" s="200"/>
      <c r="Y89" s="200"/>
      <c r="Z89" s="200"/>
      <c r="AA89" s="200"/>
      <c r="AB89" s="200"/>
      <c r="AC89" s="200"/>
      <c r="AD89" s="200"/>
      <c r="AE89" s="200"/>
      <c r="AF89" s="200"/>
      <c r="AG89" s="200"/>
      <c r="AH89" s="200"/>
      <c r="AI89" s="200"/>
      <c r="AJ89" s="200"/>
      <c r="AK89" s="200"/>
      <c r="AL89" s="200"/>
    </row>
    <row r="90" spans="1:38">
      <c r="A90" s="435">
        <f t="shared" si="10"/>
        <v>71</v>
      </c>
      <c r="B90" s="871" t="str">
        <f>CONCATENATE('3. Consumption by Rate Class'!B95,"-",'3. Consumption by Rate Class'!C95)</f>
        <v>2018-November</v>
      </c>
      <c r="C90" s="870">
        <v>7630201.2999999998</v>
      </c>
      <c r="D90" s="934">
        <v>0</v>
      </c>
      <c r="E90" s="935">
        <v>0</v>
      </c>
      <c r="F90" s="941">
        <v>-71243.78</v>
      </c>
      <c r="G90" s="875"/>
      <c r="H90" s="875"/>
      <c r="I90" s="469">
        <f t="shared" si="8"/>
        <v>7558957.5199999996</v>
      </c>
      <c r="J90" s="599">
        <f>IF(J$18='5.Variables'!$B$16,+'5.Variables'!$M32,+IF(J$18='5.Variables'!$B$39,+'5.Variables'!$M55,+IF(J$18='5.Variables'!$B$62,+'5.Variables'!$M69,+IF(J$18='5.Variables'!$B$76,+'5.Variables'!$M83,+IF(J$18='5.Variables'!$B$90,+'5.Variables'!$M97,+IF(J$18='5.Variables'!$B$104,+'5.Variables'!$M111,0))))))</f>
        <v>599.5</v>
      </c>
      <c r="K90" s="599">
        <f>IF(K$18='5.Variables'!$B$16,+'5.Variables'!$M31,+IF(K$18='5.Variables'!$B$39,+'5.Variables'!$M55,+IF(K$18='5.Variables'!$B$62,+'5.Variables'!$M69,+IF(K$18='5.Variables'!$B$76,+'5.Variables'!$M83,+IF(K$18='5.Variables'!$B$90,+'5.Variables'!$M97,+IF(K$18='5.Variables'!$B$104,+'5.Variables'!$M111,0))))))</f>
        <v>0</v>
      </c>
      <c r="L90" s="599">
        <f>IF(L$18='5.Variables'!$B$16,+'5.Variables'!$M31,+IF(L$18='5.Variables'!$B$39,+'5.Variables'!$M55,+IF(L$18='5.Variables'!$B$62,+'5.Variables'!$M69,+IF(L$18='5.Variables'!$B$76,+'5.Variables'!$M83,+IF(L$18='5.Variables'!$B$90,+'5.Variables'!$M97,+IF(L$18='5.Variables'!$B$104,+'5.Variables'!$M111,0))))))</f>
        <v>30</v>
      </c>
      <c r="M90" s="599">
        <f>IF(M$18='5.Variables'!$B$16,+'5.Variables'!$M31,+IF(M$18='5.Variables'!$B$39,+'5.Variables'!$M55,+IF(M$18='5.Variables'!$B$62,+'5.Variables'!$M69,+IF(M$18='5.Variables'!$B$76,+'5.Variables'!$M83,+IF(M$18='5.Variables'!$B$90,+'5.Variables'!$M97,+IF(M$18='5.Variables'!$B$104,+'5.Variables'!$M111,0))))))</f>
        <v>9.2799999999999994</v>
      </c>
      <c r="N90" s="599">
        <f>IF(N$18='5.Variables'!$B$16,+'5.Variables'!$M31,+IF(N$18='5.Variables'!$B$39,+'5.Variables'!$M55,+IF(N$18='5.Variables'!$B$62,+'5.Variables'!$M69,+IF(N$18='5.Variables'!$B$76,+'5.Variables'!$M83,+IF(N$18='5.Variables'!$B$90,+'5.Variables'!$M97,+IF(N$18='5.Variables'!$B$104,+'5.Variables'!$M111,0))))))</f>
        <v>0</v>
      </c>
      <c r="O90" s="928">
        <v>0</v>
      </c>
      <c r="P90" s="200"/>
      <c r="Q90" s="469">
        <f t="shared" si="9"/>
        <v>7660210.7192569831</v>
      </c>
      <c r="R90" s="216"/>
      <c r="S90" s="200"/>
      <c r="T90" s="200"/>
      <c r="U90" s="200"/>
      <c r="V90" s="200"/>
      <c r="W90" s="200"/>
      <c r="X90" s="200"/>
      <c r="Y90" s="200"/>
      <c r="Z90" s="200"/>
      <c r="AA90" s="200"/>
      <c r="AB90" s="200"/>
      <c r="AC90" s="200"/>
      <c r="AD90" s="200"/>
      <c r="AE90" s="200"/>
      <c r="AF90" s="200"/>
      <c r="AG90" s="200"/>
      <c r="AH90" s="200"/>
      <c r="AI90" s="200"/>
      <c r="AJ90" s="200"/>
      <c r="AK90" s="200"/>
      <c r="AL90" s="200"/>
    </row>
    <row r="91" spans="1:38">
      <c r="A91" s="435">
        <f t="shared" si="10"/>
        <v>72</v>
      </c>
      <c r="B91" s="451" t="str">
        <f>CONCATENATE('3. Consumption by Rate Class'!B96,"-",'3. Consumption by Rate Class'!C96)</f>
        <v>2018-December</v>
      </c>
      <c r="C91" s="584">
        <v>8228767.8899999997</v>
      </c>
      <c r="D91" s="940">
        <v>0</v>
      </c>
      <c r="E91" s="939">
        <v>0</v>
      </c>
      <c r="F91" s="939">
        <v>-77009.97</v>
      </c>
      <c r="G91" s="880"/>
      <c r="H91" s="880"/>
      <c r="I91" s="881">
        <f t="shared" si="8"/>
        <v>8151757.9199999999</v>
      </c>
      <c r="J91" s="599">
        <f>IF(J$18='5.Variables'!$B$16,+'5.Variables'!$N32,+IF(J$18='5.Variables'!$B$39,+'5.Variables'!$N55,+IF(J$18='5.Variables'!$B$62,+'5.Variables'!$N69,+IF(J$18='5.Variables'!$B$76,+'5.Variables'!$N83,+IF(J$18='5.Variables'!$B$90,+'5.Variables'!$N97,+IF(J$18='5.Variables'!$B$104,+'5.Variables'!$N111,0))))))</f>
        <v>766.6</v>
      </c>
      <c r="K91" s="599">
        <f>IF(K$18='5.Variables'!$B$16,+'5.Variables'!$N31,+IF(K$18='5.Variables'!$B$39,+'5.Variables'!$N55,+IF(K$18='5.Variables'!$B$62,+'5.Variables'!$N69,+IF(K$18='5.Variables'!$B$76,+'5.Variables'!$N83,+IF(K$18='5.Variables'!$B$90,+'5.Variables'!$N97,+IF(K$18='5.Variables'!$B$104,+'5.Variables'!$N111,0))))))</f>
        <v>0</v>
      </c>
      <c r="L91" s="599">
        <f>IF(L$18='5.Variables'!$B$16,+'5.Variables'!$N31,+IF(L$18='5.Variables'!$B$39,+'5.Variables'!$N55,+IF(L$18='5.Variables'!$B$62,+'5.Variables'!$N69,+IF(L$18='5.Variables'!$B$76,+'5.Variables'!$N83,+IF(L$18='5.Variables'!$B$90,+'5.Variables'!$N97,+IF(L$18='5.Variables'!$B$104,+'5.Variables'!$N111,0))))))</f>
        <v>31</v>
      </c>
      <c r="M91" s="599">
        <f>IF(M$18='5.Variables'!$B$16,+'5.Variables'!$N31,+IF(M$18='5.Variables'!$B$39,+'5.Variables'!$N55,+IF(M$18='5.Variables'!$B$62,+'5.Variables'!$N69,+IF(M$18='5.Variables'!$B$76,+'5.Variables'!$N83,+IF(M$18='5.Variables'!$B$90,+'5.Variables'!$N97,+IF(M$18='5.Variables'!$B$104,+'5.Variables'!$N111,0))))))</f>
        <v>8.4700000000000006</v>
      </c>
      <c r="N91" s="599">
        <f>IF(N$18='5.Variables'!$B$16,+'5.Variables'!$N31,+IF(N$18='5.Variables'!$B$39,+'5.Variables'!$N55,+IF(N$18='5.Variables'!$B$62,+'5.Variables'!$N69,+IF(N$18='5.Variables'!$B$76,+'5.Variables'!$N83,+IF(N$18='5.Variables'!$B$90,+'5.Variables'!$N97,+IF(N$18='5.Variables'!$B$104,+'5.Variables'!$N111,0))))))</f>
        <v>0</v>
      </c>
      <c r="O91" s="928">
        <v>0</v>
      </c>
      <c r="P91" s="200"/>
      <c r="Q91" s="469">
        <f t="shared" si="9"/>
        <v>8318188.4445696268</v>
      </c>
      <c r="R91" s="216">
        <f>SUM(Q80:Q91)</f>
        <v>90935675.292789266</v>
      </c>
      <c r="S91" s="200"/>
      <c r="T91" s="200"/>
      <c r="U91" s="200"/>
      <c r="V91" s="200"/>
      <c r="W91" s="200"/>
      <c r="X91" s="200"/>
      <c r="Y91" s="200"/>
      <c r="Z91" s="200"/>
      <c r="AA91" s="200"/>
      <c r="AB91" s="200"/>
      <c r="AC91" s="200"/>
      <c r="AD91" s="200"/>
      <c r="AE91" s="200"/>
      <c r="AF91" s="200"/>
      <c r="AG91" s="200"/>
      <c r="AH91" s="200"/>
      <c r="AI91" s="200"/>
      <c r="AJ91" s="200"/>
      <c r="AK91" s="200"/>
      <c r="AL91" s="200"/>
    </row>
    <row r="92" spans="1:38">
      <c r="A92" s="435">
        <f t="shared" si="10"/>
        <v>73</v>
      </c>
      <c r="B92" s="871" t="str">
        <f>CONCATENATE('3. Consumption by Rate Class'!B97,"-",'3. Consumption by Rate Class'!C97)</f>
        <v>2019-January</v>
      </c>
      <c r="C92" s="870">
        <v>9018515.5299999993</v>
      </c>
      <c r="D92" s="934">
        <v>0</v>
      </c>
      <c r="E92" s="935">
        <v>0</v>
      </c>
      <c r="F92" s="941">
        <v>-75134.42</v>
      </c>
      <c r="G92" s="875"/>
      <c r="H92" s="875"/>
      <c r="I92" s="469">
        <f t="shared" si="8"/>
        <v>8943381.1099999994</v>
      </c>
      <c r="J92" s="599">
        <f>IF(J$18='5.Variables'!$B$16,+'5.Variables'!$C33,+IF(J$18='5.Variables'!$B$39,+'5.Variables'!$C56,+IF(J$18='5.Variables'!$B$62,+'5.Variables'!$C70,+IF(J$18='5.Variables'!$B$76,+'5.Variables'!$C84,+IF(J$18='5.Variables'!$B$90,+'5.Variables'!$C98,+IF(J$18='5.Variables'!$B$104,+'5.Variables'!$C112,0))))))</f>
        <v>934.9</v>
      </c>
      <c r="K92" s="599">
        <f>IF(K$18='5.Variables'!$B$16,+'5.Variables'!$C32,+IF(K$18='5.Variables'!$B$39,+'5.Variables'!$C56,+IF(K$18='5.Variables'!$B$62,+'5.Variables'!$C70,+IF(K$18='5.Variables'!$B$76,+'5.Variables'!$C84,+IF(K$18='5.Variables'!$B$90,+'5.Variables'!$C98,+IF(K$18='5.Variables'!$B$104,+'5.Variables'!$C112,0))))))</f>
        <v>0</v>
      </c>
      <c r="L92" s="599">
        <f>IF(L$18='5.Variables'!$B$16,+'5.Variables'!$C32,+IF(L$18='5.Variables'!$B$39,+'5.Variables'!$C56,+IF(L$18='5.Variables'!$B$62,+'5.Variables'!$C70,+IF(L$18='5.Variables'!$B$76,+'5.Variables'!$C84,+IF(L$18='5.Variables'!$B$90,+'5.Variables'!$C98,+IF(L$18='5.Variables'!$B$104,+'5.Variables'!$C112,0))))))</f>
        <v>31</v>
      </c>
      <c r="M92" s="599">
        <f>IF(M$18='5.Variables'!$B$16,+'5.Variables'!$C32,+IF(M$18='5.Variables'!$B$39,+'5.Variables'!$C56,+IF(M$18='5.Variables'!$B$62,+'5.Variables'!$C70,+IF(M$18='5.Variables'!$B$76,+'5.Variables'!$C84,+IF(M$18='5.Variables'!$B$90,+'5.Variables'!$C98,+IF(M$18='5.Variables'!$B$104,+'5.Variables'!$C112,0))))))</f>
        <v>9.09</v>
      </c>
      <c r="N92" s="599">
        <f>IF(N$18='5.Variables'!$B$16,+'5.Variables'!$C32,+IF(N$18='5.Variables'!$B$39,+'5.Variables'!$C56,+IF(N$18='5.Variables'!$B$62,+'5.Variables'!$C70,+IF(N$18='5.Variables'!$B$76,+'5.Variables'!$C84,+IF(N$18='5.Variables'!$B$90,+'5.Variables'!$C98,+IF(N$18='5.Variables'!$B$104,+'5.Variables'!$C112,0))))))</f>
        <v>0</v>
      </c>
      <c r="O92" s="928">
        <v>0</v>
      </c>
      <c r="P92" s="200"/>
      <c r="Q92" s="469">
        <f t="shared" si="9"/>
        <v>8843465.2423266191</v>
      </c>
      <c r="R92" s="216"/>
      <c r="S92" s="200"/>
      <c r="T92" s="200"/>
      <c r="U92" s="200"/>
      <c r="V92" s="200"/>
      <c r="W92" s="200"/>
      <c r="X92" s="200"/>
      <c r="Y92" s="200"/>
      <c r="Z92" s="200"/>
      <c r="AA92" s="200"/>
      <c r="AB92" s="200"/>
      <c r="AC92" s="200"/>
      <c r="AD92" s="200"/>
      <c r="AE92" s="200"/>
      <c r="AF92" s="200"/>
      <c r="AG92" s="200"/>
      <c r="AH92" s="200"/>
      <c r="AI92" s="200"/>
      <c r="AJ92" s="200"/>
      <c r="AK92" s="200"/>
      <c r="AL92" s="200"/>
    </row>
    <row r="93" spans="1:38">
      <c r="A93" s="435">
        <f t="shared" si="10"/>
        <v>74</v>
      </c>
      <c r="B93" s="871" t="str">
        <f>CONCATENATE('3. Consumption by Rate Class'!B98,"-",'3. Consumption by Rate Class'!C98)</f>
        <v>2019-February</v>
      </c>
      <c r="C93" s="870">
        <v>7955445.1100000003</v>
      </c>
      <c r="D93" s="934">
        <v>0</v>
      </c>
      <c r="E93" s="935">
        <v>0</v>
      </c>
      <c r="F93" s="941">
        <v>-67033.110000000015</v>
      </c>
      <c r="G93" s="875"/>
      <c r="H93" s="875"/>
      <c r="I93" s="469">
        <f t="shared" si="8"/>
        <v>7888412</v>
      </c>
      <c r="J93" s="599">
        <f>IF(J$18='5.Variables'!$B$16,+'5.Variables'!$D33+IF(J$18='5.Variables'!$B$39,+'5.Variables'!$D56,+IF(J$18='5.Variables'!$B$62,+'5.Variables'!$D70,+IF(J$18='5.Variables'!$B$76,+'5.Variables'!$D84,+IF(J$18='5.Variables'!$B$90,+'5.Variables'!$D98,+IF(J$18='5.Variables'!$B$104,+'5.Variables'!$D112,0))))))</f>
        <v>762.2</v>
      </c>
      <c r="K93" s="599">
        <f>IF(K$18='5.Variables'!$B$16,+'5.Variables'!$D32,+IF(K$18='5.Variables'!$B$39,+'5.Variables'!$D56,+IF(K$18='5.Variables'!$B$62,+'5.Variables'!$D70,+IF(K$18='5.Variables'!$B$76,+'5.Variables'!$D84,+IF(K$18='5.Variables'!$B$90,+'5.Variables'!$D98,+IF(K$18='5.Variables'!$B$104,+'5.Variables'!$D112,0))))))</f>
        <v>0</v>
      </c>
      <c r="L93" s="599">
        <f>IF(L$18='5.Variables'!$B$16,+'5.Variables'!$D32,+IF(L$18='5.Variables'!$B$39,+'5.Variables'!$D56,+IF(L$18='5.Variables'!$B$62,+'5.Variables'!$D70,+IF(L$18='5.Variables'!$B$76,+'5.Variables'!$D84,+IF(L$18='5.Variables'!$B$90,+'5.Variables'!$D98,+IF(L$18='5.Variables'!$B$104,+'5.Variables'!$D112,0))))))</f>
        <v>28</v>
      </c>
      <c r="M93" s="599">
        <f>IF(M$18='5.Variables'!$B$16,+'5.Variables'!$D32,+IF(M$18='5.Variables'!$B$39,+'5.Variables'!$D56,+IF(M$18='5.Variables'!$B$62,+'5.Variables'!$D70,+IF(M$18='5.Variables'!$B$76,+'5.Variables'!$D84,+IF(M$18='5.Variables'!$B$90,+'5.Variables'!$D98,+IF(M$18='5.Variables'!$B$104,+'5.Variables'!$D112,0))))))</f>
        <v>10.19</v>
      </c>
      <c r="N93" s="599">
        <f>IF(N$18='5.Variables'!$B$16,+'5.Variables'!$D32,+IF(N$18='5.Variables'!$B$39,+'5.Variables'!$D56,+IF(N$18='5.Variables'!$B$62,+'5.Variables'!$D70,+IF(N$18='5.Variables'!$B$76,+'5.Variables'!$D84,+IF(N$18='5.Variables'!$B$90,+'5.Variables'!$D98,+IF(N$18='5.Variables'!$B$104,+'5.Variables'!$D112,0))))))</f>
        <v>0</v>
      </c>
      <c r="O93" s="928">
        <v>0</v>
      </c>
      <c r="P93" s="200"/>
      <c r="Q93" s="469">
        <f t="shared" si="9"/>
        <v>7847479.6942166621</v>
      </c>
      <c r="R93" s="216"/>
      <c r="S93" s="200"/>
      <c r="T93" s="200"/>
      <c r="U93" s="200"/>
      <c r="V93" s="200"/>
      <c r="W93" s="200"/>
      <c r="X93" s="200"/>
      <c r="Y93" s="200"/>
      <c r="Z93" s="200"/>
      <c r="AA93" s="200"/>
      <c r="AB93" s="200"/>
      <c r="AC93" s="200"/>
      <c r="AD93" s="200"/>
      <c r="AE93" s="200"/>
      <c r="AF93" s="200"/>
      <c r="AG93" s="200"/>
      <c r="AH93" s="200"/>
      <c r="AI93" s="200"/>
      <c r="AJ93" s="200"/>
      <c r="AK93" s="200"/>
      <c r="AL93" s="200"/>
    </row>
    <row r="94" spans="1:38">
      <c r="A94" s="435">
        <f t="shared" si="10"/>
        <v>75</v>
      </c>
      <c r="B94" s="871" t="str">
        <f>CONCATENATE('3. Consumption by Rate Class'!B99,"-",'3. Consumption by Rate Class'!C99)</f>
        <v>2019-March</v>
      </c>
      <c r="C94" s="870">
        <v>8179460.4699999997</v>
      </c>
      <c r="D94" s="934">
        <v>0</v>
      </c>
      <c r="E94" s="935">
        <v>0</v>
      </c>
      <c r="F94" s="941">
        <v>-61073.26</v>
      </c>
      <c r="G94" s="875"/>
      <c r="H94" s="875"/>
      <c r="I94" s="469">
        <f t="shared" si="8"/>
        <v>8118387.21</v>
      </c>
      <c r="J94" s="599">
        <f>IF(J$18='5.Variables'!$B$16,+'5.Variables'!$E33,+IF(J$18='5.Variables'!$B$39,+'5.Variables'!$E56,+IF(J$18='5.Variables'!$B$62,+'5.Variables'!$E70,+IF(J$18='5.Variables'!$B$76,+'5.Variables'!$E84,+IF(J$18='5.Variables'!$B$90,+'5.Variables'!$E98,+IF(J$18='5.Variables'!$B$104,+'5.Variables'!$E112,0))))))</f>
        <v>666.1</v>
      </c>
      <c r="K94" s="599">
        <f>IF(K$18='5.Variables'!$B$16,+'5.Variables'!$E32,+IF(K$18='5.Variables'!$B$39,+'5.Variables'!$E56,+IF(K$18='5.Variables'!$B$62,+'5.Variables'!$E70,+IF(K$18='5.Variables'!$B$76,+'5.Variables'!$E84,+IF(K$18='5.Variables'!$B$90,+'5.Variables'!$E98,+IF(K$18='5.Variables'!$B$104,+'5.Variables'!$E112,0))))))</f>
        <v>0</v>
      </c>
      <c r="L94" s="599">
        <f>IF(L$18='5.Variables'!$B$16,+'5.Variables'!$E32,+IF(L$18='5.Variables'!$B$39,+'5.Variables'!$E56,+IF(L$18='5.Variables'!$B$62,+'5.Variables'!$E70,+IF(L$18='5.Variables'!$B$76,+'5.Variables'!$E84,+IF(L$18='5.Variables'!$B$90,+'5.Variables'!$E98,+IF(L$18='5.Variables'!$B$104,+'5.Variables'!$E112,0))))))</f>
        <v>31</v>
      </c>
      <c r="M94" s="599">
        <f>IF(M$18='5.Variables'!$B$16,+'5.Variables'!$E32,+IF(M$18='5.Variables'!$B$39,+'5.Variables'!$E56,+IF(M$18='5.Variables'!$B$62,+'5.Variables'!$E70,+IF(M$18='5.Variables'!$B$76,+'5.Variables'!$E84,+IF(M$18='5.Variables'!$B$90,+'5.Variables'!$E98,+IF(M$18='5.Variables'!$B$104,+'5.Variables'!$E112,0))))))</f>
        <v>11.51</v>
      </c>
      <c r="N94" s="599">
        <f>IF(N$18='5.Variables'!$B$16,+'5.Variables'!$E32,+IF(N$18='5.Variables'!$B$39,+'5.Variables'!$E56,+IF(N$18='5.Variables'!$B$62,+'5.Variables'!$E70,+IF(N$18='5.Variables'!$B$76,+'5.Variables'!$E84,+IF(N$18='5.Variables'!$B$90,+'5.Variables'!$E98,+IF(N$18='5.Variables'!$B$104,+'5.Variables'!$E112,0))))))</f>
        <v>0</v>
      </c>
      <c r="O94" s="928">
        <v>0</v>
      </c>
      <c r="P94" s="200"/>
      <c r="Q94" s="469">
        <f t="shared" si="9"/>
        <v>8068465.6263137832</v>
      </c>
      <c r="R94" s="216"/>
      <c r="S94" s="200"/>
      <c r="T94" s="200"/>
      <c r="U94" s="200"/>
      <c r="V94" s="200"/>
      <c r="W94" s="200"/>
      <c r="X94" s="200"/>
      <c r="Y94" s="200"/>
      <c r="Z94" s="200"/>
      <c r="AA94" s="200"/>
      <c r="AB94" s="200"/>
      <c r="AC94" s="200"/>
      <c r="AD94" s="200"/>
      <c r="AE94" s="200"/>
      <c r="AF94" s="200"/>
      <c r="AG94" s="200"/>
      <c r="AH94" s="200"/>
      <c r="AI94" s="200"/>
      <c r="AJ94" s="200"/>
      <c r="AK94" s="200"/>
      <c r="AL94" s="200"/>
    </row>
    <row r="95" spans="1:38">
      <c r="A95" s="435">
        <f t="shared" si="10"/>
        <v>76</v>
      </c>
      <c r="B95" s="871" t="str">
        <f>CONCATENATE('3. Consumption by Rate Class'!B100,"-",'3. Consumption by Rate Class'!C100)</f>
        <v>2019-April</v>
      </c>
      <c r="C95" s="870">
        <v>7068945.6100000003</v>
      </c>
      <c r="D95" s="934">
        <v>0</v>
      </c>
      <c r="E95" s="935">
        <v>0</v>
      </c>
      <c r="F95" s="941">
        <v>-51121.5</v>
      </c>
      <c r="G95" s="875"/>
      <c r="H95" s="875"/>
      <c r="I95" s="469">
        <f t="shared" si="8"/>
        <v>7017824.1100000003</v>
      </c>
      <c r="J95" s="599">
        <f>IF(J$18='5.Variables'!$B$16,+'5.Variables'!$F33,+IF(J$18='5.Variables'!$B$39,+'5.Variables'!$F56,+IF(J$18='5.Variables'!$B$62,+'5.Variables'!$F70,+IF(J$18='5.Variables'!$B$76,+'5.Variables'!$F84,+IF(J$18='5.Variables'!$B$90,+'5.Variables'!$F98,+IF(J$18='5.Variables'!$B$104,+'5.Variables'!$F112,0))))))</f>
        <v>398.8</v>
      </c>
      <c r="K95" s="599">
        <f>IF(K$18='5.Variables'!$B$16,+'5.Variables'!$F32,+IF(K$18='5.Variables'!$B$39,+'5.Variables'!$F56,+IF(K$18='5.Variables'!$B$62,+'5.Variables'!$F70,+IF(K$18='5.Variables'!$B$76,+'5.Variables'!$F84,+IF(K$18='5.Variables'!$B$90,+'5.Variables'!$F98,+IF(K$18='5.Variables'!$B$104,+'5.Variables'!$F112,0))))))</f>
        <v>0</v>
      </c>
      <c r="L95" s="599">
        <f>IF(L$18='5.Variables'!$B$16,+'5.Variables'!$F32,+IF(L$18='5.Variables'!$B$39,+'5.Variables'!$F56,+IF(L$18='5.Variables'!$B$62,+'5.Variables'!$F70,+IF(L$18='5.Variables'!$B$76,+'5.Variables'!$F84,+IF(L$18='5.Variables'!$B$90,+'5.Variables'!$F98,+IF(L$18='5.Variables'!$B$104,+'5.Variables'!$F112,0))))))</f>
        <v>30</v>
      </c>
      <c r="M95" s="599">
        <f>IF(M$18='5.Variables'!$B$16,+'5.Variables'!$F32,+IF(M$18='5.Variables'!$B$39,+'5.Variables'!$F56,+IF(M$18='5.Variables'!$B$62,+'5.Variables'!$F70,+IF(M$18='5.Variables'!$B$76,+'5.Variables'!$F84,+IF(M$18='5.Variables'!$B$90,+'5.Variables'!$F98,+IF(M$18='5.Variables'!$B$104,+'5.Variables'!$F112,0))))))</f>
        <v>13.28</v>
      </c>
      <c r="N95" s="599">
        <f>IF(N$18='5.Variables'!$B$16,+'5.Variables'!$F32,+IF(N$18='5.Variables'!$B$39,+'5.Variables'!$F56,+IF(N$18='5.Variables'!$B$62,+'5.Variables'!$F70,+IF(N$18='5.Variables'!$B$76,+'5.Variables'!$F84,+IF(N$18='5.Variables'!$B$90,+'5.Variables'!$F98,+IF(N$18='5.Variables'!$B$104,+'5.Variables'!$F112,0))))))</f>
        <v>0</v>
      </c>
      <c r="O95" s="928">
        <v>0</v>
      </c>
      <c r="P95" s="200"/>
      <c r="Q95" s="469">
        <f t="shared" si="9"/>
        <v>7122678.6693630069</v>
      </c>
      <c r="R95" s="216"/>
      <c r="S95" s="200"/>
      <c r="T95" s="200"/>
      <c r="U95" s="200"/>
      <c r="V95" s="200"/>
      <c r="W95" s="200"/>
      <c r="X95" s="200"/>
      <c r="Y95" s="200"/>
      <c r="Z95" s="200"/>
      <c r="AA95" s="200"/>
      <c r="AB95" s="200"/>
      <c r="AC95" s="200"/>
      <c r="AD95" s="200"/>
      <c r="AE95" s="200"/>
      <c r="AF95" s="200"/>
      <c r="AG95" s="200"/>
      <c r="AH95" s="200"/>
      <c r="AI95" s="200"/>
      <c r="AJ95" s="200"/>
      <c r="AK95" s="200"/>
      <c r="AL95" s="200"/>
    </row>
    <row r="96" spans="1:38">
      <c r="A96" s="435">
        <f t="shared" si="10"/>
        <v>77</v>
      </c>
      <c r="B96" s="871" t="str">
        <f>CONCATENATE('3. Consumption by Rate Class'!B101,"-",'3. Consumption by Rate Class'!C101)</f>
        <v>2019-May</v>
      </c>
      <c r="C96" s="870">
        <v>6770142.2000000002</v>
      </c>
      <c r="D96" s="934">
        <v>0</v>
      </c>
      <c r="E96" s="935">
        <v>0</v>
      </c>
      <c r="F96" s="941">
        <v>-45969.16</v>
      </c>
      <c r="G96" s="875"/>
      <c r="H96" s="875"/>
      <c r="I96" s="469">
        <f t="shared" si="8"/>
        <v>6724173.04</v>
      </c>
      <c r="J96" s="599">
        <f>IF(J$18='5.Variables'!$B$16,+'5.Variables'!$G33,+IF(J$18='5.Variables'!$B$39,+'5.Variables'!$G56,+IF(J$18='5.Variables'!$B$62,+'5.Variables'!$G70,+IF(J$18='5.Variables'!$B$76,+'5.Variables'!$G84,+IF(J$18='5.Variables'!$B$90,+'5.Variables'!$G98,+IF(J$18='5.Variables'!$B$104,+'5.Variables'!$G112,0))))))</f>
        <v>213.2</v>
      </c>
      <c r="K96" s="599">
        <f>IF(K$18='5.Variables'!$B$16,+'5.Variables'!$G32,+IF(K$18='5.Variables'!$B$39,+'5.Variables'!$G56,+IF(K$18='5.Variables'!$B$62,+'5.Variables'!$G70,+IF(K$18='5.Variables'!$B$76,+'5.Variables'!$G84,+IF(K$18='5.Variables'!$B$90,+'5.Variables'!$G98,+IF(K$18='5.Variables'!$B$104,+'5.Variables'!$G112,0))))))</f>
        <v>0</v>
      </c>
      <c r="L96" s="599">
        <f>IF(L$18='5.Variables'!$B$16,+'5.Variables'!$G32,+IF(L$18='5.Variables'!$B$39,+'5.Variables'!$G56,+IF(L$18='5.Variables'!$B$62,+'5.Variables'!$G70,+IF(L$18='5.Variables'!$B$76,+'5.Variables'!$G84,+IF(L$18='5.Variables'!$B$90,+'5.Variables'!$G98,+IF(L$18='5.Variables'!$B$104,+'5.Variables'!$G112,0))))))</f>
        <v>31</v>
      </c>
      <c r="M96" s="599">
        <f>IF(M$18='5.Variables'!$B$16,+'5.Variables'!$G32,+IF(M$18='5.Variables'!$B$39,+'5.Variables'!$G56,+IF(M$18='5.Variables'!$B$62,+'5.Variables'!$G70,+IF(M$18='5.Variables'!$B$76,+'5.Variables'!$G84,+IF(M$18='5.Variables'!$B$90,+'5.Variables'!$G98,+IF(M$18='5.Variables'!$B$104,+'5.Variables'!$G112,0))))))</f>
        <v>14.52</v>
      </c>
      <c r="N96" s="599">
        <f>IF(N$18='5.Variables'!$B$16,+'5.Variables'!$G32,+IF(N$18='5.Variables'!$B$39,+'5.Variables'!$G56,+IF(N$18='5.Variables'!$B$62,+'5.Variables'!$G70,+IF(N$18='5.Variables'!$B$76,+'5.Variables'!$G84,+IF(N$18='5.Variables'!$B$90,+'5.Variables'!$G98,+IF(N$18='5.Variables'!$B$104,+'5.Variables'!$G112,0))))))</f>
        <v>0</v>
      </c>
      <c r="O96" s="928">
        <v>0</v>
      </c>
      <c r="P96" s="200"/>
      <c r="Q96" s="469">
        <f t="shared" si="9"/>
        <v>6742656.3211292569</v>
      </c>
      <c r="R96" s="216"/>
      <c r="S96" s="200"/>
      <c r="T96" s="200"/>
      <c r="U96" s="200"/>
      <c r="V96" s="200"/>
      <c r="W96" s="200"/>
      <c r="X96" s="200"/>
      <c r="Y96" s="200"/>
      <c r="Z96" s="200"/>
      <c r="AA96" s="200"/>
      <c r="AB96" s="200"/>
      <c r="AC96" s="200"/>
      <c r="AD96" s="200"/>
      <c r="AE96" s="200"/>
      <c r="AF96" s="200"/>
      <c r="AG96" s="200"/>
      <c r="AH96" s="200"/>
      <c r="AI96" s="200"/>
      <c r="AJ96" s="200"/>
      <c r="AK96" s="200"/>
      <c r="AL96" s="200"/>
    </row>
    <row r="97" spans="1:38">
      <c r="A97" s="435">
        <f t="shared" si="10"/>
        <v>78</v>
      </c>
      <c r="B97" s="871" t="str">
        <f>CONCATENATE('3. Consumption by Rate Class'!B102,"-",'3. Consumption by Rate Class'!C102)</f>
        <v>2019-June</v>
      </c>
      <c r="C97" s="870">
        <v>6733185.71</v>
      </c>
      <c r="D97" s="934">
        <v>0</v>
      </c>
      <c r="E97" s="935">
        <v>0</v>
      </c>
      <c r="F97" s="941">
        <v>-40570.28</v>
      </c>
      <c r="G97" s="875"/>
      <c r="H97" s="875"/>
      <c r="I97" s="469">
        <f t="shared" si="8"/>
        <v>6692615.4299999997</v>
      </c>
      <c r="J97" s="599">
        <f>IF(J$18='5.Variables'!$B$16,+'5.Variables'!$H33,+IF(J$18='5.Variables'!$B$39,+'5.Variables'!$H56,+IF(J$18='5.Variables'!$B$62,+'5.Variables'!$H70,+IF(J$18='5.Variables'!$B$76,+'5.Variables'!$H84,+IF(J$18='5.Variables'!$B$90,+'5.Variables'!$H98,+IF(J$18='5.Variables'!$B$104,+'5.Variables'!$H112,0))))))</f>
        <v>57.2</v>
      </c>
      <c r="K97" s="599">
        <f>IF(K$18='5.Variables'!$B$16,+'5.Variables'!$H32,+IF(K$18='5.Variables'!$B$39,+'5.Variables'!$H56,+IF(K$18='5.Variables'!$B$62,+'5.Variables'!$H70,+IF(K$18='5.Variables'!$B$76,+'5.Variables'!$H84,+IF(K$18='5.Variables'!$B$90,+'5.Variables'!$H98,+IF(K$18='5.Variables'!$B$104,+'5.Variables'!$H112,0))))))</f>
        <v>32</v>
      </c>
      <c r="L97" s="599">
        <f>IF(L$18='5.Variables'!$B$16,+'5.Variables'!$H32,+IF(L$18='5.Variables'!$B$39,+'5.Variables'!$H56,+IF(L$18='5.Variables'!$B$62,+'5.Variables'!$H70,+IF(L$18='5.Variables'!$B$76,+'5.Variables'!$H84,+IF(L$18='5.Variables'!$B$90,+'5.Variables'!$H98,+IF(L$18='5.Variables'!$B$104,+'5.Variables'!$H112,0))))))</f>
        <v>30</v>
      </c>
      <c r="M97" s="599">
        <f>IF(M$18='5.Variables'!$B$16,+'5.Variables'!$H32,+IF(M$18='5.Variables'!$B$39,+'5.Variables'!$H56,+IF(M$18='5.Variables'!$B$62,+'5.Variables'!$H70,+IF(M$18='5.Variables'!$B$76,+'5.Variables'!$H84,+IF(M$18='5.Variables'!$B$90,+'5.Variables'!$H98,+IF(M$18='5.Variables'!$B$104,+'5.Variables'!$H112,0))))))</f>
        <v>15.35</v>
      </c>
      <c r="N97" s="599">
        <f>IF(N$18='5.Variables'!$B$16,+'5.Variables'!$H32,+IF(N$18='5.Variables'!$B$39,+'5.Variables'!$H56,+IF(N$18='5.Variables'!$B$62,+'5.Variables'!$H70,+IF(N$18='5.Variables'!$B$76,+'5.Variables'!$H84,+IF(N$18='5.Variables'!$B$90,+'5.Variables'!$H98,+IF(N$18='5.Variables'!$B$104,+'5.Variables'!$H112,0))))))</f>
        <v>0</v>
      </c>
      <c r="O97" s="928">
        <v>0</v>
      </c>
      <c r="P97" s="200"/>
      <c r="Q97" s="469">
        <f t="shared" si="9"/>
        <v>6603681.2612235481</v>
      </c>
      <c r="R97" s="216"/>
      <c r="S97" s="200"/>
      <c r="T97" s="200"/>
      <c r="U97" s="200"/>
      <c r="V97" s="200"/>
      <c r="W97" s="200"/>
      <c r="X97" s="200"/>
      <c r="Y97" s="200"/>
      <c r="Z97" s="200"/>
      <c r="AA97" s="200"/>
      <c r="AB97" s="200"/>
      <c r="AC97" s="200"/>
      <c r="AD97" s="200"/>
      <c r="AE97" s="200"/>
      <c r="AF97" s="200"/>
      <c r="AG97" s="200"/>
      <c r="AH97" s="200"/>
      <c r="AI97" s="200"/>
      <c r="AJ97" s="200"/>
      <c r="AK97" s="200"/>
      <c r="AL97" s="200"/>
    </row>
    <row r="98" spans="1:38">
      <c r="A98" s="435">
        <f t="shared" si="10"/>
        <v>79</v>
      </c>
      <c r="B98" s="871" t="str">
        <f>CONCATENATE('3. Consumption by Rate Class'!B103,"-",'3. Consumption by Rate Class'!C103)</f>
        <v>2019-July</v>
      </c>
      <c r="C98" s="870">
        <v>8281424.6699999999</v>
      </c>
      <c r="D98" s="934">
        <v>0</v>
      </c>
      <c r="E98" s="935">
        <v>0</v>
      </c>
      <c r="F98" s="941">
        <v>-44087.020000000004</v>
      </c>
      <c r="G98" s="875"/>
      <c r="H98" s="875"/>
      <c r="I98" s="469">
        <f t="shared" si="8"/>
        <v>8237337.6500000004</v>
      </c>
      <c r="J98" s="599">
        <f>IF(J$18='5.Variables'!$B$16,+'5.Variables'!$I33,+IF(J$18='5.Variables'!$B$39,+'5.Variables'!$I56,+IF(J$18='5.Variables'!$B$62,+'5.Variables'!$I70,+IF(J$18='5.Variables'!$B$76,+'5.Variables'!$I84,+IF(J$18='5.Variables'!$B$90,+'5.Variables'!$I98,+IF(J$18='5.Variables'!$B$104,+'5.Variables'!$I112,0))))))</f>
        <v>0</v>
      </c>
      <c r="K98" s="599">
        <f>IF(K$18='5.Variables'!$B$16,+'5.Variables'!$I32,+IF(K$18='5.Variables'!$B$39,+'5.Variables'!$I56,+IF(K$18='5.Variables'!$B$62,+'5.Variables'!$I70,+IF(K$18='5.Variables'!$B$76,+'5.Variables'!$I84,+IF(K$18='5.Variables'!$B$90,+'5.Variables'!$I98,+IF(K$18='5.Variables'!$B$104,+'5.Variables'!$I112,0))))))</f>
        <v>133.1</v>
      </c>
      <c r="L98" s="599">
        <f>IF(L$18='5.Variables'!$B$16,+'5.Variables'!$I32,+IF(L$18='5.Variables'!$B$39,+'5.Variables'!$I56,+IF(L$18='5.Variables'!$B$62,+'5.Variables'!$I70,+IF(L$18='5.Variables'!$B$76,+'5.Variables'!$I84,+IF(L$18='5.Variables'!$B$90,+'5.Variables'!$I98,+IF(L$18='5.Variables'!$B$104,+'5.Variables'!$I112,0))))))</f>
        <v>31</v>
      </c>
      <c r="M98" s="599">
        <f>IF(M$18='5.Variables'!$B$16,+'5.Variables'!$I32,+IF(M$18='5.Variables'!$B$39,+'5.Variables'!$I56,+IF(M$18='5.Variables'!$B$62,+'5.Variables'!$I70,+IF(M$18='5.Variables'!$B$76,+'5.Variables'!$I84,+IF(M$18='5.Variables'!$B$90,+'5.Variables'!$I98,+IF(M$18='5.Variables'!$B$104,+'5.Variables'!$I112,0))))))</f>
        <v>15.15</v>
      </c>
      <c r="N98" s="599">
        <f>IF(N$18='5.Variables'!$B$16,+'5.Variables'!$I32,+IF(N$18='5.Variables'!$B$39,+'5.Variables'!$I56,+IF(N$18='5.Variables'!$B$62,+'5.Variables'!$I70,+IF(N$18='5.Variables'!$B$76,+'5.Variables'!$I84,+IF(N$18='5.Variables'!$B$90,+'5.Variables'!$I98,+IF(N$18='5.Variables'!$B$104,+'5.Variables'!$I112,0))))))</f>
        <v>0</v>
      </c>
      <c r="O98" s="928">
        <v>0</v>
      </c>
      <c r="P98" s="200"/>
      <c r="Q98" s="469">
        <f t="shared" si="9"/>
        <v>8120042.5370841539</v>
      </c>
      <c r="R98" s="216"/>
      <c r="S98" s="200"/>
      <c r="T98" s="200"/>
      <c r="U98" s="200"/>
      <c r="V98" s="200"/>
      <c r="W98" s="200"/>
      <c r="X98" s="200"/>
      <c r="Y98" s="200"/>
      <c r="Z98" s="200"/>
      <c r="AA98" s="200"/>
      <c r="AB98" s="200"/>
      <c r="AC98" s="200"/>
      <c r="AD98" s="200"/>
      <c r="AE98" s="200"/>
      <c r="AF98" s="200"/>
      <c r="AG98" s="200"/>
      <c r="AH98" s="200"/>
      <c r="AI98" s="200"/>
      <c r="AJ98" s="200"/>
      <c r="AK98" s="200"/>
      <c r="AL98" s="200"/>
    </row>
    <row r="99" spans="1:38">
      <c r="A99" s="435">
        <f t="shared" si="10"/>
        <v>80</v>
      </c>
      <c r="B99" s="871" t="str">
        <f>CONCATENATE('3. Consumption by Rate Class'!B104,"-",'3. Consumption by Rate Class'!C104)</f>
        <v>2019-August</v>
      </c>
      <c r="C99" s="870">
        <v>7244242.1699999999</v>
      </c>
      <c r="D99" s="934">
        <v>0</v>
      </c>
      <c r="E99" s="935">
        <v>0</v>
      </c>
      <c r="F99" s="941">
        <v>-50426.47</v>
      </c>
      <c r="G99" s="875"/>
      <c r="H99" s="875"/>
      <c r="I99" s="469">
        <f t="shared" si="8"/>
        <v>7193815.7000000002</v>
      </c>
      <c r="J99" s="599">
        <f>IF(J$18='5.Variables'!$B$16,+'5.Variables'!$J33,+IF(J$18='5.Variables'!$B$39,+'5.Variables'!$J56,+IF(J$18='5.Variables'!$B$62,+'5.Variables'!$J70,+IF(J$18='5.Variables'!$B$76,+'5.Variables'!$J84,+IF(J$18='5.Variables'!$B$90,+'5.Variables'!$J98,+IF(J$18='5.Variables'!$B$104,+'5.Variables'!$J112,0))))))</f>
        <v>6.3</v>
      </c>
      <c r="K99" s="599">
        <f>IF(K$18='5.Variables'!$B$16,+'5.Variables'!$J32,+IF(K$18='5.Variables'!$B$39,+'5.Variables'!$J56,+IF(K$18='5.Variables'!$B$62,+'5.Variables'!$J70,+IF(K$18='5.Variables'!$B$76,+'5.Variables'!$J84,+IF(K$18='5.Variables'!$B$90,+'5.Variables'!$J98,+IF(K$18='5.Variables'!$B$104,+'5.Variables'!$J112,0))))))</f>
        <v>54.8</v>
      </c>
      <c r="L99" s="599">
        <f>IF(L$18='5.Variables'!$B$16,+'5.Variables'!$J32,+IF(L$18='5.Variables'!$B$39,+'5.Variables'!$J56,+IF(L$18='5.Variables'!$B$62,+'5.Variables'!$J70,+IF(L$18='5.Variables'!$B$76,+'5.Variables'!$J84,+IF(L$18='5.Variables'!$B$90,+'5.Variables'!$J98,+IF(L$18='5.Variables'!$B$104,+'5.Variables'!$J112,0))))))</f>
        <v>31</v>
      </c>
      <c r="M99" s="599">
        <f>IF(M$18='5.Variables'!$B$16,+'5.Variables'!$J32,+IF(M$18='5.Variables'!$B$39,+'5.Variables'!$J56,+IF(M$18='5.Variables'!$B$62,+'5.Variables'!$J70,+IF(M$18='5.Variables'!$B$76,+'5.Variables'!$J84,+IF(M$18='5.Variables'!$B$90,+'5.Variables'!$J98,+IF(M$18='5.Variables'!$B$104,+'5.Variables'!$J112,0))))))</f>
        <v>14.03</v>
      </c>
      <c r="N99" s="599">
        <f>IF(N$18='5.Variables'!$B$16,+'5.Variables'!$J32,+IF(N$18='5.Variables'!$B$39,+'5.Variables'!$J56,+IF(N$18='5.Variables'!$B$62,+'5.Variables'!$J70,+IF(N$18='5.Variables'!$B$76,+'5.Variables'!$J84,+IF(N$18='5.Variables'!$B$90,+'5.Variables'!$J98,+IF(N$18='5.Variables'!$B$104,+'5.Variables'!$J112,0))))))</f>
        <v>0</v>
      </c>
      <c r="O99" s="928">
        <v>0</v>
      </c>
      <c r="P99" s="200"/>
      <c r="Q99" s="469">
        <f t="shared" si="9"/>
        <v>6932145.2256946834</v>
      </c>
      <c r="R99" s="216"/>
      <c r="S99" s="200"/>
      <c r="T99" s="200"/>
      <c r="U99" s="200"/>
      <c r="V99" s="200"/>
      <c r="W99" s="200"/>
      <c r="X99" s="200"/>
      <c r="Y99" s="200"/>
      <c r="Z99" s="200"/>
      <c r="AA99" s="200"/>
      <c r="AB99" s="200"/>
      <c r="AC99" s="200"/>
      <c r="AD99" s="200"/>
      <c r="AE99" s="200"/>
      <c r="AF99" s="200"/>
      <c r="AG99" s="200"/>
      <c r="AH99" s="200"/>
      <c r="AI99" s="200"/>
      <c r="AJ99" s="200"/>
      <c r="AK99" s="200"/>
      <c r="AL99" s="200"/>
    </row>
    <row r="100" spans="1:38">
      <c r="A100" s="435">
        <f t="shared" si="10"/>
        <v>81</v>
      </c>
      <c r="B100" s="871" t="str">
        <f>CONCATENATE('3. Consumption by Rate Class'!B105,"-",'3. Consumption by Rate Class'!C105)</f>
        <v>2019-September</v>
      </c>
      <c r="C100" s="870">
        <v>6329621.7400000002</v>
      </c>
      <c r="D100" s="934">
        <v>0</v>
      </c>
      <c r="E100" s="935">
        <v>0</v>
      </c>
      <c r="F100" s="941">
        <v>-56316.43</v>
      </c>
      <c r="G100" s="875"/>
      <c r="H100" s="875"/>
      <c r="I100" s="469">
        <f t="shared" si="8"/>
        <v>6273305.3100000005</v>
      </c>
      <c r="J100" s="599">
        <f>IF(J$18='5.Variables'!$B$16,+'5.Variables'!$K33,+IF(J$18='5.Variables'!$B$39,+'5.Variables'!$K56,+IF(J$18='5.Variables'!$B$62,+'5.Variables'!$K70,+IF(J$18='5.Variables'!$B$76,+'5.Variables'!$K84,+IF(J$18='5.Variables'!$B$90,+'5.Variables'!$K98,+IF(J$18='5.Variables'!$B$104,+'5.Variables'!$K112,0))))))</f>
        <v>104</v>
      </c>
      <c r="K100" s="599">
        <f>IF(K$18='5.Variables'!$B$16,+'5.Variables'!$K32,+IF(K$18='5.Variables'!$B$39,+'5.Variables'!$K56,+IF(K$18='5.Variables'!$B$62,+'5.Variables'!$K70,+IF(K$18='5.Variables'!$B$76,+'5.Variables'!$K84,+IF(K$18='5.Variables'!$B$90,+'5.Variables'!$K98,+IF(K$18='5.Variables'!$B$104,+'5.Variables'!$K112,0))))))</f>
        <v>9.1</v>
      </c>
      <c r="L100" s="599">
        <f>IF(L$18='5.Variables'!$B$16,+'5.Variables'!$K32,+IF(L$18='5.Variables'!$B$39,+'5.Variables'!$K56,+IF(L$18='5.Variables'!$B$62,+'5.Variables'!$K70,+IF(L$18='5.Variables'!$B$76,+'5.Variables'!$K84,+IF(L$18='5.Variables'!$B$90,+'5.Variables'!$K98,+IF(L$18='5.Variables'!$B$104,+'5.Variables'!$K112,0))))))</f>
        <v>30</v>
      </c>
      <c r="M100" s="599">
        <f>IF(M$18='5.Variables'!$B$16,+'5.Variables'!$K32,+IF(M$18='5.Variables'!$B$39,+'5.Variables'!$K56,+IF(M$18='5.Variables'!$B$62,+'5.Variables'!$K70,+IF(M$18='5.Variables'!$B$76,+'5.Variables'!$K84,+IF(M$18='5.Variables'!$B$90,+'5.Variables'!$K98,+IF(M$18='5.Variables'!$B$104,+'5.Variables'!$K112,0))))))</f>
        <v>12.29</v>
      </c>
      <c r="N100" s="599">
        <f>IF(N$18='5.Variables'!$B$16,+'5.Variables'!$K32,+IF(N$18='5.Variables'!$B$39,+'5.Variables'!$K56,+IF(N$18='5.Variables'!$B$62,+'5.Variables'!$K70,+IF(N$18='5.Variables'!$B$76,+'5.Variables'!$K84,+IF(N$18='5.Variables'!$B$90,+'5.Variables'!$K98,+IF(N$18='5.Variables'!$B$104,+'5.Variables'!$K112,0))))))</f>
        <v>0</v>
      </c>
      <c r="O100" s="928">
        <v>0</v>
      </c>
      <c r="P100" s="200"/>
      <c r="Q100" s="469">
        <f t="shared" si="9"/>
        <v>6342237.2315097181</v>
      </c>
      <c r="R100" s="216"/>
      <c r="S100" s="200"/>
      <c r="T100" s="200"/>
      <c r="U100" s="200"/>
      <c r="V100" s="200"/>
      <c r="W100" s="200"/>
      <c r="X100" s="200"/>
      <c r="Y100" s="200"/>
      <c r="Z100" s="200"/>
      <c r="AA100" s="200"/>
      <c r="AB100" s="200"/>
      <c r="AC100" s="200"/>
      <c r="AD100" s="200"/>
      <c r="AE100" s="200"/>
      <c r="AF100" s="200"/>
      <c r="AG100" s="200"/>
      <c r="AH100" s="200"/>
      <c r="AI100" s="200"/>
      <c r="AJ100" s="200"/>
      <c r="AK100" s="200"/>
      <c r="AL100" s="200"/>
    </row>
    <row r="101" spans="1:38">
      <c r="A101" s="435">
        <f t="shared" si="10"/>
        <v>82</v>
      </c>
      <c r="B101" s="871" t="str">
        <f>CONCATENATE('3. Consumption by Rate Class'!B106,"-",'3. Consumption by Rate Class'!C106)</f>
        <v>2019-October</v>
      </c>
      <c r="C101" s="870">
        <v>6699270.8300000001</v>
      </c>
      <c r="D101" s="934">
        <v>0</v>
      </c>
      <c r="E101" s="935">
        <v>0</v>
      </c>
      <c r="F101" s="941">
        <v>-66499.34</v>
      </c>
      <c r="G101" s="875"/>
      <c r="H101" s="875"/>
      <c r="I101" s="469">
        <f t="shared" si="8"/>
        <v>6632771.4900000002</v>
      </c>
      <c r="J101" s="599">
        <f>IF(J$18='5.Variables'!$B$16,+'5.Variables'!$L33,+IF(J$18='5.Variables'!$B$39,+'5.Variables'!$L56,+IF(J$18='5.Variables'!$B$62,+'5.Variables'!$L70,+IF(J$18='5.Variables'!$B$76,+'5.Variables'!$L84,+IF(J$18='5.Variables'!$B$90,+'5.Variables'!$L98,+IF(J$18='5.Variables'!$B$104,+'5.Variables'!$L112,0))))))</f>
        <v>286.8</v>
      </c>
      <c r="K101" s="599">
        <f>IF(K$18='5.Variables'!$B$16,+'5.Variables'!$L32,+IF(K$18='5.Variables'!$B$39,+'5.Variables'!$L56,+IF(K$18='5.Variables'!$B$62,+'5.Variables'!$L70,+IF(K$18='5.Variables'!$B$76,+'5.Variables'!$L84,+IF(K$18='5.Variables'!$B$90,+'5.Variables'!$L98,+IF(K$18='5.Variables'!$B$104,+'5.Variables'!$L112,0))))))</f>
        <v>0</v>
      </c>
      <c r="L101" s="599">
        <f>IF(L$18='5.Variables'!$B$16,+'5.Variables'!$L32,+IF(L$18='5.Variables'!$B$39,+'5.Variables'!$L56,+IF(L$18='5.Variables'!$B$62,+'5.Variables'!$L70,+IF(L$18='5.Variables'!$B$76,+'5.Variables'!$L84,+IF(L$18='5.Variables'!$B$90,+'5.Variables'!$L98,+IF(L$18='5.Variables'!$B$104,+'5.Variables'!$L112,0))))))</f>
        <v>31</v>
      </c>
      <c r="M101" s="599">
        <f>IF(M$18='5.Variables'!$B$16,+'5.Variables'!$L32,+IF(M$18='5.Variables'!$B$39,+'5.Variables'!$L56,+IF(M$18='5.Variables'!$B$62,+'5.Variables'!$L70,+IF(M$18='5.Variables'!$B$76,+'5.Variables'!$L84,+IF(M$18='5.Variables'!$B$90,+'5.Variables'!$L98,+IF(M$18='5.Variables'!$B$104,+'5.Variables'!$L112,0))))))</f>
        <v>10.51</v>
      </c>
      <c r="N101" s="599">
        <f>IF(N$18='5.Variables'!$B$16,+'5.Variables'!$L32,+IF(N$18='5.Variables'!$B$39,+'5.Variables'!$L56,+IF(N$18='5.Variables'!$B$62,+'5.Variables'!$L70,+IF(N$18='5.Variables'!$B$76,+'5.Variables'!$L84,+IF(N$18='5.Variables'!$B$90,+'5.Variables'!$L98,+IF(N$18='5.Variables'!$B$104,+'5.Variables'!$L112,0))))))</f>
        <v>0</v>
      </c>
      <c r="O101" s="928">
        <v>0</v>
      </c>
      <c r="P101" s="200"/>
      <c r="Q101" s="469">
        <f t="shared" si="9"/>
        <v>6892091.965066961</v>
      </c>
      <c r="R101" s="216"/>
      <c r="S101" s="200"/>
      <c r="T101" s="200"/>
      <c r="U101" s="200"/>
      <c r="V101" s="200"/>
      <c r="W101" s="200"/>
      <c r="X101" s="200"/>
      <c r="Y101" s="200"/>
      <c r="Z101" s="200"/>
      <c r="AA101" s="200"/>
      <c r="AB101" s="200"/>
      <c r="AC101" s="200"/>
      <c r="AD101" s="200"/>
      <c r="AE101" s="200"/>
      <c r="AF101" s="200"/>
      <c r="AG101" s="200"/>
      <c r="AH101" s="200"/>
      <c r="AI101" s="200"/>
      <c r="AJ101" s="200"/>
      <c r="AK101" s="200"/>
      <c r="AL101" s="200"/>
    </row>
    <row r="102" spans="1:38">
      <c r="A102" s="435">
        <f t="shared" si="10"/>
        <v>83</v>
      </c>
      <c r="B102" s="871" t="str">
        <f>CONCATENATE('3. Consumption by Rate Class'!B107,"-",'3. Consumption by Rate Class'!C107)</f>
        <v>2019-November</v>
      </c>
      <c r="C102" s="870">
        <v>7690373.0700000003</v>
      </c>
      <c r="D102" s="934">
        <v>0</v>
      </c>
      <c r="E102" s="935">
        <v>0</v>
      </c>
      <c r="F102" s="941">
        <v>-71243.78</v>
      </c>
      <c r="G102" s="875"/>
      <c r="H102" s="875"/>
      <c r="I102" s="469">
        <f t="shared" si="8"/>
        <v>7619129.29</v>
      </c>
      <c r="J102" s="599">
        <f>IF(J$18='5.Variables'!$B$16,+'5.Variables'!$M33,+IF(J$18='5.Variables'!$B$39,+'5.Variables'!$M56,+IF(J$18='5.Variables'!$B$62,+'5.Variables'!$M70,+IF(J$18='5.Variables'!$B$76,+'5.Variables'!$M84,+IF(J$18='5.Variables'!$B$90,+'5.Variables'!$M98,+IF(J$18='5.Variables'!$B$104,+'5.Variables'!$M112,0))))))</f>
        <v>590.6</v>
      </c>
      <c r="K102" s="599">
        <f>IF(K$18='5.Variables'!$B$16,+'5.Variables'!$M32,+IF(K$18='5.Variables'!$B$39,+'5.Variables'!$M56,+IF(K$18='5.Variables'!$B$62,+'5.Variables'!$M70,+IF(K$18='5.Variables'!$B$76,+'5.Variables'!$M84,+IF(K$18='5.Variables'!$B$90,+'5.Variables'!$M98,+IF(K$18='5.Variables'!$B$104,+'5.Variables'!$M112,0))))))</f>
        <v>0</v>
      </c>
      <c r="L102" s="599">
        <f>IF(L$18='5.Variables'!$B$16,+'5.Variables'!$M32,+IF(L$18='5.Variables'!$B$39,+'5.Variables'!$M56,+IF(L$18='5.Variables'!$B$62,+'5.Variables'!$M70,+IF(L$18='5.Variables'!$B$76,+'5.Variables'!$M84,+IF(L$18='5.Variables'!$B$90,+'5.Variables'!$M98,+IF(L$18='5.Variables'!$B$104,+'5.Variables'!$M112,0))))))</f>
        <v>30</v>
      </c>
      <c r="M102" s="599">
        <f>IF(M$18='5.Variables'!$B$16,+'5.Variables'!$M32,+IF(M$18='5.Variables'!$B$39,+'5.Variables'!$M56,+IF(M$18='5.Variables'!$B$62,+'5.Variables'!$M70,+IF(M$18='5.Variables'!$B$76,+'5.Variables'!$M84,+IF(M$18='5.Variables'!$B$90,+'5.Variables'!$M98,+IF(M$18='5.Variables'!$B$104,+'5.Variables'!$M112,0))))))</f>
        <v>9.2799999999999994</v>
      </c>
      <c r="N102" s="599">
        <f>IF(N$18='5.Variables'!$B$16,+'5.Variables'!$M32,+IF(N$18='5.Variables'!$B$39,+'5.Variables'!$M56,+IF(N$18='5.Variables'!$B$62,+'5.Variables'!$M70,+IF(N$18='5.Variables'!$B$76,+'5.Variables'!$M84,+IF(N$18='5.Variables'!$B$90,+'5.Variables'!$M98,+IF(N$18='5.Variables'!$B$104,+'5.Variables'!$M112,0))))))</f>
        <v>0</v>
      </c>
      <c r="O102" s="928">
        <v>0</v>
      </c>
      <c r="P102" s="200"/>
      <c r="Q102" s="469">
        <f t="shared" si="9"/>
        <v>7633047.940524552</v>
      </c>
      <c r="R102" s="216"/>
      <c r="S102" s="200"/>
      <c r="T102" s="200"/>
      <c r="U102" s="200"/>
      <c r="V102" s="200"/>
      <c r="W102" s="200"/>
      <c r="X102" s="200"/>
      <c r="Y102" s="200"/>
      <c r="Z102" s="200"/>
      <c r="AA102" s="200"/>
      <c r="AB102" s="200"/>
      <c r="AC102" s="200"/>
      <c r="AD102" s="200"/>
      <c r="AE102" s="200"/>
      <c r="AF102" s="200"/>
      <c r="AG102" s="200"/>
      <c r="AH102" s="200"/>
      <c r="AI102" s="200"/>
      <c r="AJ102" s="200"/>
      <c r="AK102" s="200"/>
      <c r="AL102" s="200"/>
    </row>
    <row r="103" spans="1:38">
      <c r="A103" s="435">
        <f t="shared" si="10"/>
        <v>84</v>
      </c>
      <c r="B103" s="451" t="str">
        <f>CONCATENATE('3. Consumption by Rate Class'!B108,"-",'3. Consumption by Rate Class'!C108)</f>
        <v>2019-December</v>
      </c>
      <c r="C103" s="584">
        <v>8301041.0999999996</v>
      </c>
      <c r="D103" s="940">
        <v>0</v>
      </c>
      <c r="E103" s="939">
        <v>0</v>
      </c>
      <c r="F103" s="939">
        <v>-77009.97</v>
      </c>
      <c r="G103" s="880"/>
      <c r="H103" s="880"/>
      <c r="I103" s="881">
        <f t="shared" si="8"/>
        <v>8224031.1299999999</v>
      </c>
      <c r="J103" s="599">
        <f>IF(J$18='5.Variables'!$B$16,+'5.Variables'!$N33,+IF(J$18='5.Variables'!$B$39,+'5.Variables'!$N56,+IF(J$18='5.Variables'!$B$62,+'5.Variables'!$N70,+IF(J$18='5.Variables'!$B$76,+'5.Variables'!$N84,+IF(J$18='5.Variables'!$B$90,+'5.Variables'!$N98,+IF(J$18='5.Variables'!$B$104,+'5.Variables'!$N112,0))))))</f>
        <v>717.2</v>
      </c>
      <c r="K103" s="599">
        <f>IF(K$18='5.Variables'!$B$16,+'5.Variables'!$N32,+IF(K$18='5.Variables'!$B$39,+'5.Variables'!$N56,+IF(K$18='5.Variables'!$B$62,+'5.Variables'!$N70,+IF(K$18='5.Variables'!$B$76,+'5.Variables'!$N84,+IF(K$18='5.Variables'!$B$90,+'5.Variables'!$N98,+IF(K$18='5.Variables'!$B$104,+'5.Variables'!$N112,0))))))</f>
        <v>0</v>
      </c>
      <c r="L103" s="599">
        <f>IF(L$18='5.Variables'!$B$16,+'5.Variables'!$N32,+IF(L$18='5.Variables'!$B$39,+'5.Variables'!$N56,+IF(L$18='5.Variables'!$B$62,+'5.Variables'!$N70,+IF(L$18='5.Variables'!$B$76,+'5.Variables'!$N84,+IF(L$18='5.Variables'!$B$90,+'5.Variables'!$N98,+IF(L$18='5.Variables'!$B$104,+'5.Variables'!$N112,0))))))</f>
        <v>31</v>
      </c>
      <c r="M103" s="599">
        <f>IF(M$18='5.Variables'!$B$16,+'5.Variables'!$N32,+IF(M$18='5.Variables'!$B$39,+'5.Variables'!$N56,+IF(M$18='5.Variables'!$B$62,+'5.Variables'!$N70,+IF(M$18='5.Variables'!$B$76,+'5.Variables'!$N84,+IF(M$18='5.Variables'!$B$90,+'5.Variables'!$N98,+IF(M$18='5.Variables'!$B$104,+'5.Variables'!$N112,0))))))</f>
        <v>8.4700000000000006</v>
      </c>
      <c r="N103" s="599">
        <f>IF(N$18='5.Variables'!$B$16,+'5.Variables'!$N32,+IF(N$18='5.Variables'!$B$39,+'5.Variables'!$N56,+IF(N$18='5.Variables'!$B$62,+'5.Variables'!$N70,+IF(N$18='5.Variables'!$B$76,+'5.Variables'!$N84,+IF(N$18='5.Variables'!$B$90,+'5.Variables'!$N98,+IF(N$18='5.Variables'!$B$104,+'5.Variables'!$N112,0))))))</f>
        <v>0</v>
      </c>
      <c r="O103" s="928">
        <v>0</v>
      </c>
      <c r="P103" s="200"/>
      <c r="Q103" s="469">
        <f t="shared" si="9"/>
        <v>8167419.7626165822</v>
      </c>
      <c r="R103" s="216">
        <f>SUM(Q92:Q103)</f>
        <v>89315411.477069527</v>
      </c>
      <c r="S103" s="200"/>
      <c r="T103" s="200"/>
      <c r="U103" s="200"/>
      <c r="V103" s="200"/>
      <c r="W103" s="200"/>
      <c r="X103" s="200"/>
      <c r="Y103" s="200"/>
      <c r="Z103" s="200"/>
      <c r="AA103" s="200"/>
      <c r="AB103" s="200"/>
      <c r="AC103" s="200"/>
      <c r="AD103" s="200"/>
      <c r="AE103" s="200"/>
      <c r="AF103" s="200"/>
      <c r="AG103" s="200"/>
      <c r="AH103" s="200"/>
      <c r="AI103" s="200"/>
      <c r="AJ103" s="200"/>
      <c r="AK103" s="200"/>
      <c r="AL103" s="200"/>
    </row>
    <row r="104" spans="1:38">
      <c r="A104" s="435">
        <f t="shared" si="10"/>
        <v>85</v>
      </c>
      <c r="B104" s="871" t="str">
        <f>CONCATENATE('3. Consumption by Rate Class'!B109,"-",'3. Consumption by Rate Class'!C109)</f>
        <v>2020-January</v>
      </c>
      <c r="C104" s="870">
        <v>8406851.5199999996</v>
      </c>
      <c r="D104" s="934">
        <v>0</v>
      </c>
      <c r="E104" s="935">
        <v>0</v>
      </c>
      <c r="F104" s="941">
        <v>-75141.42</v>
      </c>
      <c r="G104" s="875"/>
      <c r="H104" s="875"/>
      <c r="I104" s="469">
        <f t="shared" si="8"/>
        <v>8331710.0999999996</v>
      </c>
      <c r="J104" s="599">
        <f>IF(J$18='5.Variables'!$B$16,+'5.Variables'!$C34,+IF(J$18='5.Variables'!$B$39,+'5.Variables'!$C57,+IF(J$18='5.Variables'!$B$62,+'5.Variables'!$C71,+IF(J$18='5.Variables'!$B$76,+'5.Variables'!$C85,+IF(J$18='5.Variables'!$B$90,+'5.Variables'!$C99,+IF(J$18='5.Variables'!$B$104,+'5.Variables'!$C113,0))))))</f>
        <v>755.6</v>
      </c>
      <c r="K104" s="599">
        <f>IF(K$18='5.Variables'!$B$16,+'5.Variables'!$C33,+IF(K$18='5.Variables'!$B$39,+'5.Variables'!$C57,+IF(K$18='5.Variables'!$B$62,+'5.Variables'!$C71,+IF(K$18='5.Variables'!$B$76,+'5.Variables'!$C85,+IF(K$18='5.Variables'!$B$90,+'5.Variables'!$C99,+IF(K$18='5.Variables'!$B$104,+'5.Variables'!$C113,0))))))</f>
        <v>0</v>
      </c>
      <c r="L104" s="599">
        <f>IF(L$18='5.Variables'!$B$16,+'5.Variables'!$C33,+IF(L$18='5.Variables'!$B$39,+'5.Variables'!$C57,+IF(L$18='5.Variables'!$B$62,+'5.Variables'!$C71,+IF(L$18='5.Variables'!$B$76,+'5.Variables'!$C85,+IF(L$18='5.Variables'!$B$90,+'5.Variables'!$C99,+IF(L$18='5.Variables'!$B$104,+'5.Variables'!$C113,0))))))</f>
        <v>31</v>
      </c>
      <c r="M104" s="599">
        <f>IF(M$18='5.Variables'!$B$16,+'5.Variables'!$C33,+IF(M$18='5.Variables'!$B$39,+'5.Variables'!$C57,+IF(M$18='5.Variables'!$B$62,+'5.Variables'!$C71,+IF(M$18='5.Variables'!$B$76,+'5.Variables'!$C85,+IF(M$18='5.Variables'!$B$90,+'5.Variables'!$C99,+IF(M$18='5.Variables'!$B$104,+'5.Variables'!$C113,0))))))</f>
        <v>9.09</v>
      </c>
      <c r="N104" s="599">
        <f>IF(N$18='5.Variables'!$B$16,+'5.Variables'!$C33,+IF(N$18='5.Variables'!$B$39,+'5.Variables'!$C57,+IF(N$18='5.Variables'!$B$62,+'5.Variables'!$C71,+IF(N$18='5.Variables'!$B$76,+'5.Variables'!$C85,+IF(N$18='5.Variables'!$B$90,+'5.Variables'!$C99,+IF(N$18='5.Variables'!$B$104,+'5.Variables'!$C113,0))))))</f>
        <v>0</v>
      </c>
      <c r="O104" s="928">
        <v>0</v>
      </c>
      <c r="P104" s="200"/>
      <c r="Q104" s="469">
        <f t="shared" si="9"/>
        <v>8296242.0707844961</v>
      </c>
      <c r="R104" s="216"/>
      <c r="S104" s="200"/>
      <c r="T104" s="200"/>
      <c r="U104" s="200"/>
      <c r="V104" s="200"/>
      <c r="W104" s="200"/>
      <c r="X104" s="200"/>
      <c r="Y104" s="200"/>
      <c r="Z104" s="200"/>
      <c r="AA104" s="200"/>
      <c r="AB104" s="200"/>
      <c r="AC104" s="200"/>
      <c r="AD104" s="200"/>
      <c r="AE104" s="200"/>
      <c r="AF104" s="200"/>
      <c r="AG104" s="200"/>
      <c r="AH104" s="200"/>
      <c r="AI104" s="200"/>
      <c r="AJ104" s="200"/>
      <c r="AK104" s="200"/>
      <c r="AL104" s="200"/>
    </row>
    <row r="105" spans="1:38">
      <c r="A105" s="435">
        <f t="shared" si="10"/>
        <v>86</v>
      </c>
      <c r="B105" s="871" t="str">
        <f>CONCATENATE('3. Consumption by Rate Class'!B110,"-",'3. Consumption by Rate Class'!C110)</f>
        <v>2020-February</v>
      </c>
      <c r="C105" s="870">
        <v>7806220.4699999997</v>
      </c>
      <c r="D105" s="934">
        <v>0</v>
      </c>
      <c r="E105" s="935">
        <v>0</v>
      </c>
      <c r="F105" s="941">
        <v>-70615.110000000015</v>
      </c>
      <c r="G105" s="875"/>
      <c r="H105" s="875"/>
      <c r="I105" s="469">
        <f t="shared" si="8"/>
        <v>7735605.3599999994</v>
      </c>
      <c r="J105" s="599">
        <f>IF(J$18='5.Variables'!$B$16,+'5.Variables'!$D34,+IF(J$18='5.Variables'!$B$39,+'5.Variables'!$D57,+IF(J$18='5.Variables'!$B$62,+'5.Variables'!$D71,+IF(J$18='5.Variables'!$B$76,+'5.Variables'!$D85,+IF(J$18='5.Variables'!$B$90,+'5.Variables'!$D99,+IF(J$18='5.Variables'!$B$104,+'5.Variables'!$D113,0))))))</f>
        <v>725.9</v>
      </c>
      <c r="K105" s="599">
        <f>IF(K$18='5.Variables'!$B$16,+'5.Variables'!$D33,+IF(K$18='5.Variables'!$B$39,+'5.Variables'!$D57,+IF(K$18='5.Variables'!$B$62,+'5.Variables'!$D71,+IF(K$18='5.Variables'!$B$76,+'5.Variables'!$D85,+IF(K$18='5.Variables'!$B$90,+'5.Variables'!$D99,+IF(K$18='5.Variables'!$B$104,+'5.Variables'!$D113,0))))))</f>
        <v>0</v>
      </c>
      <c r="L105" s="599">
        <f>IF(L$18='5.Variables'!$B$16,+'5.Variables'!$D33,+IF(L$18='5.Variables'!$B$39,+'5.Variables'!$D57,+IF(L$18='5.Variables'!$B$62,+'5.Variables'!$D71,+IF(L$18='5.Variables'!$B$76,+'5.Variables'!$D85,+IF(L$18='5.Variables'!$B$90,+'5.Variables'!$D99,+IF(L$18='5.Variables'!$B$104,+'5.Variables'!$D113,0))))))</f>
        <v>29</v>
      </c>
      <c r="M105" s="599">
        <f>IF(M$18='5.Variables'!$B$16,+'5.Variables'!$D33,+IF(M$18='5.Variables'!$B$39,+'5.Variables'!$D57,+IF(M$18='5.Variables'!$B$62,+'5.Variables'!$D71,+IF(M$18='5.Variables'!$B$76,+'5.Variables'!$D85,+IF(M$18='5.Variables'!$B$90,+'5.Variables'!$D99,+IF(M$18='5.Variables'!$B$104,+'5.Variables'!$D113,0))))))</f>
        <v>10.19</v>
      </c>
      <c r="N105" s="599">
        <f>IF(N$18='5.Variables'!$B$16,+'5.Variables'!$D33,+IF(N$18='5.Variables'!$B$39,+'5.Variables'!$D57,+IF(N$18='5.Variables'!$B$62,+'5.Variables'!$D71,+IF(N$18='5.Variables'!$B$76,+'5.Variables'!$D85,+IF(N$18='5.Variables'!$B$90,+'5.Variables'!$D99,+IF(N$18='5.Variables'!$B$104,+'5.Variables'!$D113,0))))))</f>
        <v>0</v>
      </c>
      <c r="O105" s="928">
        <v>0</v>
      </c>
      <c r="P105" s="200"/>
      <c r="Q105" s="469">
        <f t="shared" si="9"/>
        <v>7899869.3893552469</v>
      </c>
      <c r="R105" s="216"/>
      <c r="S105" s="200"/>
      <c r="T105" s="200"/>
      <c r="U105" s="200"/>
      <c r="V105" s="200"/>
      <c r="W105" s="200"/>
      <c r="X105" s="200"/>
      <c r="Y105" s="200"/>
      <c r="Z105" s="200"/>
      <c r="AA105" s="200"/>
      <c r="AB105" s="200"/>
      <c r="AC105" s="200"/>
      <c r="AD105" s="200"/>
      <c r="AE105" s="200"/>
      <c r="AF105" s="200"/>
      <c r="AG105" s="200"/>
      <c r="AH105" s="200"/>
      <c r="AI105" s="200"/>
      <c r="AJ105" s="200"/>
      <c r="AK105" s="200"/>
      <c r="AL105" s="200"/>
    </row>
    <row r="106" spans="1:38">
      <c r="A106" s="435">
        <f t="shared" si="10"/>
        <v>87</v>
      </c>
      <c r="B106" s="871" t="str">
        <f>CONCATENATE('3. Consumption by Rate Class'!B111,"-",'3. Consumption by Rate Class'!C111)</f>
        <v>2020-March</v>
      </c>
      <c r="C106" s="870">
        <v>7815293.9699999997</v>
      </c>
      <c r="D106" s="934">
        <v>0</v>
      </c>
      <c r="E106" s="935">
        <v>0</v>
      </c>
      <c r="F106" s="941">
        <v>-61050.26</v>
      </c>
      <c r="G106" s="875"/>
      <c r="H106" s="875"/>
      <c r="I106" s="469">
        <f t="shared" si="8"/>
        <v>7754243.71</v>
      </c>
      <c r="J106" s="599">
        <f>IF(J$18='5.Variables'!$B$16,+'5.Variables'!$E34,+IF(J$18='5.Variables'!$B$39,+'5.Variables'!$E57,+IF(J$18='5.Variables'!$B$62,+'5.Variables'!$E71,+IF(J$18='5.Variables'!$B$76,+'5.Variables'!$E85,+IF(J$18='5.Variables'!$B$90,+'5.Variables'!$E99,+IF(J$18='5.Variables'!$B$104,+'5.Variables'!$E113,0))))))</f>
        <v>561.70000000000005</v>
      </c>
      <c r="K106" s="599">
        <f>IF(K$18='5.Variables'!$B$16,+'5.Variables'!$E33,+IF(K$18='5.Variables'!$B$39,+'5.Variables'!$E57,+IF(K$18='5.Variables'!$B$62,+'5.Variables'!$E71,+IF(K$18='5.Variables'!$B$76,+'5.Variables'!$E85,+IF(K$18='5.Variables'!$B$90,+'5.Variables'!$E99,+IF(K$18='5.Variables'!$B$104,+'5.Variables'!$E113,0))))))</f>
        <v>0</v>
      </c>
      <c r="L106" s="599">
        <f>IF(L$18='5.Variables'!$B$16,+'5.Variables'!$E33,+IF(L$18='5.Variables'!$B$39,+'5.Variables'!$E57,+IF(L$18='5.Variables'!$B$62,+'5.Variables'!$E71,+IF(L$18='5.Variables'!$B$76,+'5.Variables'!$E85,+IF(L$18='5.Variables'!$B$90,+'5.Variables'!$E99,+IF(L$18='5.Variables'!$B$104,+'5.Variables'!$E113,0))))))</f>
        <v>31</v>
      </c>
      <c r="M106" s="599">
        <f>IF(M$18='5.Variables'!$B$16,+'5.Variables'!$E33,+IF(M$18='5.Variables'!$B$39,+'5.Variables'!$E57,+IF(M$18='5.Variables'!$B$62,+'5.Variables'!$E71,+IF(M$18='5.Variables'!$B$76,+'5.Variables'!$E85,+IF(M$18='5.Variables'!$B$90,+'5.Variables'!$E99,+IF(M$18='5.Variables'!$B$104,+'5.Variables'!$E113,0))))))</f>
        <v>11.51</v>
      </c>
      <c r="N106" s="599">
        <f>IF(N$18='5.Variables'!$B$16,+'5.Variables'!$E33,+IF(N$18='5.Variables'!$B$39,+'5.Variables'!$E57,+IF(N$18='5.Variables'!$B$62,+'5.Variables'!$E71,+IF(N$18='5.Variables'!$B$76,+'5.Variables'!$E85,+IF(N$18='5.Variables'!$B$90,+'5.Variables'!$E99,+IF(N$18='5.Variables'!$B$104,+'5.Variables'!$E113,0))))))</f>
        <v>0</v>
      </c>
      <c r="O106" s="928">
        <v>0</v>
      </c>
      <c r="P106" s="200"/>
      <c r="Q106" s="469">
        <f t="shared" si="9"/>
        <v>7749837.0757895354</v>
      </c>
      <c r="R106" s="216"/>
      <c r="S106" s="200"/>
      <c r="T106" s="200"/>
      <c r="U106" s="200"/>
      <c r="V106" s="200"/>
      <c r="W106" s="200"/>
      <c r="X106" s="200"/>
      <c r="Y106" s="200"/>
      <c r="Z106" s="200"/>
      <c r="AA106" s="200"/>
      <c r="AB106" s="200"/>
      <c r="AC106" s="200"/>
      <c r="AD106" s="200"/>
      <c r="AE106" s="200"/>
      <c r="AF106" s="200"/>
      <c r="AG106" s="200"/>
      <c r="AH106" s="200"/>
      <c r="AI106" s="200"/>
      <c r="AJ106" s="200"/>
      <c r="AK106" s="200"/>
      <c r="AL106" s="200"/>
    </row>
    <row r="107" spans="1:38">
      <c r="A107" s="435">
        <f t="shared" si="10"/>
        <v>88</v>
      </c>
      <c r="B107" s="871" t="str">
        <f>CONCATENATE('3. Consumption by Rate Class'!B112,"-",'3. Consumption by Rate Class'!C112)</f>
        <v>2020-April</v>
      </c>
      <c r="C107" s="870">
        <v>6650741.9199999999</v>
      </c>
      <c r="D107" s="934">
        <v>0</v>
      </c>
      <c r="E107" s="935">
        <v>0</v>
      </c>
      <c r="F107" s="941">
        <v>-51103.5</v>
      </c>
      <c r="G107" s="875"/>
      <c r="H107" s="875"/>
      <c r="I107" s="469">
        <f t="shared" si="8"/>
        <v>6599638.4199999999</v>
      </c>
      <c r="J107" s="599">
        <f>IF(J$18='5.Variables'!$B$16,+'5.Variables'!$F34,+IF(J$18='5.Variables'!$B$39,+'5.Variables'!$F57,+IF(J$18='5.Variables'!$B$62,+'5.Variables'!$F71,+IF(J$18='5.Variables'!$B$76,+'5.Variables'!$F85,+IF(J$18='5.Variables'!$B$90,+'5.Variables'!$F99,+IF(J$18='5.Variables'!$B$104,+'5.Variables'!$F113,0))))))</f>
        <v>391.1</v>
      </c>
      <c r="K107" s="599">
        <f>IF(K$18='5.Variables'!$B$16,+'5.Variables'!$F33,+IF(K$18='5.Variables'!$B$39,+'5.Variables'!$F57,+IF(K$18='5.Variables'!$B$62,+'5.Variables'!$F71,+IF(K$18='5.Variables'!$B$76,+'5.Variables'!$F85,+IF(K$18='5.Variables'!$B$90,+'5.Variables'!$F99,+IF(K$18='5.Variables'!$B$104,+'5.Variables'!$F113,0))))))</f>
        <v>0</v>
      </c>
      <c r="L107" s="599">
        <f>IF(L$18='5.Variables'!$B$16,+'5.Variables'!$F33,+IF(L$18='5.Variables'!$B$39,+'5.Variables'!$F57,+IF(L$18='5.Variables'!$B$62,+'5.Variables'!$F71,+IF(L$18='5.Variables'!$B$76,+'5.Variables'!$F85,+IF(L$18='5.Variables'!$B$90,+'5.Variables'!$F99,+IF(L$18='5.Variables'!$B$104,+'5.Variables'!$F113,0))))))</f>
        <v>30</v>
      </c>
      <c r="M107" s="599">
        <f>IF(M$18='5.Variables'!$B$16,+'5.Variables'!$F33,+IF(M$18='5.Variables'!$B$39,+'5.Variables'!$F57,+IF(M$18='5.Variables'!$B$62,+'5.Variables'!$F71,+IF(M$18='5.Variables'!$B$76,+'5.Variables'!$F85,+IF(M$18='5.Variables'!$B$90,+'5.Variables'!$F99,+IF(M$18='5.Variables'!$B$104,+'5.Variables'!$F113,0))))))</f>
        <v>13.28</v>
      </c>
      <c r="N107" s="599">
        <f>IF(N$18='5.Variables'!$B$16,+'5.Variables'!$F33,+IF(N$18='5.Variables'!$B$39,+'5.Variables'!$F57,+IF(N$18='5.Variables'!$B$62,+'5.Variables'!$F71,+IF(N$18='5.Variables'!$B$76,+'5.Variables'!$F85,+IF(N$18='5.Variables'!$B$90,+'5.Variables'!$F99,+IF(N$18='5.Variables'!$B$104,+'5.Variables'!$F113,0))))))</f>
        <v>0</v>
      </c>
      <c r="O107" s="928">
        <v>0</v>
      </c>
      <c r="P107" s="200"/>
      <c r="Q107" s="469">
        <f t="shared" si="9"/>
        <v>7099178.2877630387</v>
      </c>
      <c r="R107" s="216"/>
      <c r="S107" s="200"/>
      <c r="T107" s="200"/>
      <c r="U107" s="200"/>
      <c r="V107" s="200"/>
      <c r="W107" s="200"/>
      <c r="X107" s="200"/>
      <c r="Y107" s="200"/>
      <c r="Z107" s="200"/>
      <c r="AA107" s="200"/>
      <c r="AB107" s="200"/>
      <c r="AC107" s="200"/>
      <c r="AD107" s="200"/>
      <c r="AE107" s="200"/>
      <c r="AF107" s="200"/>
      <c r="AG107" s="200"/>
      <c r="AH107" s="200"/>
      <c r="AI107" s="200"/>
      <c r="AJ107" s="200"/>
      <c r="AK107" s="200"/>
      <c r="AL107" s="200"/>
    </row>
    <row r="108" spans="1:38">
      <c r="A108" s="435">
        <f t="shared" si="10"/>
        <v>89</v>
      </c>
      <c r="B108" s="871" t="str">
        <f>CONCATENATE('3. Consumption by Rate Class'!B113,"-",'3. Consumption by Rate Class'!C113)</f>
        <v>2020-May</v>
      </c>
      <c r="C108" s="870">
        <v>6606129.2800000003</v>
      </c>
      <c r="D108" s="934">
        <v>0</v>
      </c>
      <c r="E108" s="935">
        <v>0</v>
      </c>
      <c r="F108" s="941">
        <v>-45952.160000000003</v>
      </c>
      <c r="G108" s="875"/>
      <c r="H108" s="875"/>
      <c r="I108" s="469">
        <f t="shared" si="8"/>
        <v>6560177.1200000001</v>
      </c>
      <c r="J108" s="599">
        <f>IF(J$18='5.Variables'!$B$16,+'5.Variables'!$G34,+IF(J$18='5.Variables'!$B$39,+'5.Variables'!$G57,+IF(J$18='5.Variables'!$B$62,+'5.Variables'!$G71,+IF(J$18='5.Variables'!$B$76,+'5.Variables'!$G85,+IF(J$18='5.Variables'!$B$90,+'5.Variables'!$G99,+IF(J$18='5.Variables'!$B$104,+'5.Variables'!$G113,0))))))</f>
        <v>193.3</v>
      </c>
      <c r="K108" s="599">
        <f>IF(K$18='5.Variables'!$B$16,+'5.Variables'!$G33,+IF(K$18='5.Variables'!$B$39,+'5.Variables'!$G57,+IF(K$18='5.Variables'!$B$62,+'5.Variables'!$G71,+IF(K$18='5.Variables'!$B$76,+'5.Variables'!$G85,+IF(K$18='5.Variables'!$B$90,+'5.Variables'!$G99,+IF(K$18='5.Variables'!$B$104,+'5.Variables'!$G113,0))))))</f>
        <v>25.7</v>
      </c>
      <c r="L108" s="599">
        <f>IF(L$18='5.Variables'!$B$16,+'5.Variables'!$G33,+IF(L$18='5.Variables'!$B$39,+'5.Variables'!$G57,+IF(L$18='5.Variables'!$B$62,+'5.Variables'!$G71,+IF(L$18='5.Variables'!$B$76,+'5.Variables'!$G85,+IF(L$18='5.Variables'!$B$90,+'5.Variables'!$G99,+IF(L$18='5.Variables'!$B$104,+'5.Variables'!$G113,0))))))</f>
        <v>31</v>
      </c>
      <c r="M108" s="599">
        <f>IF(M$18='5.Variables'!$B$16,+'5.Variables'!$G33,+IF(M$18='5.Variables'!$B$39,+'5.Variables'!$G57,+IF(M$18='5.Variables'!$B$62,+'5.Variables'!$G71,+IF(M$18='5.Variables'!$B$76,+'5.Variables'!$G85,+IF(M$18='5.Variables'!$B$90,+'5.Variables'!$G99,+IF(M$18='5.Variables'!$B$104,+'5.Variables'!$G113,0))))))</f>
        <v>14.52</v>
      </c>
      <c r="N108" s="599">
        <f>IF(N$18='5.Variables'!$B$16,+'5.Variables'!$G33,+IF(N$18='5.Variables'!$B$39,+'5.Variables'!$G57,+IF(N$18='5.Variables'!$B$62,+'5.Variables'!$G71,+IF(N$18='5.Variables'!$B$76,+'5.Variables'!$G85,+IF(N$18='5.Variables'!$B$90,+'5.Variables'!$G99,+IF(N$18='5.Variables'!$B$104,+'5.Variables'!$G113,0))))))</f>
        <v>0</v>
      </c>
      <c r="O108" s="928">
        <v>0</v>
      </c>
      <c r="P108" s="200"/>
      <c r="Q108" s="469">
        <f t="shared" si="9"/>
        <v>7071236.7919726763</v>
      </c>
      <c r="R108" s="216"/>
      <c r="S108" s="200"/>
      <c r="T108" s="200"/>
      <c r="U108" s="200"/>
      <c r="V108" s="200"/>
      <c r="W108" s="200"/>
      <c r="X108" s="200"/>
      <c r="Y108" s="200"/>
      <c r="Z108" s="200"/>
      <c r="AA108" s="200"/>
      <c r="AB108" s="200"/>
      <c r="AC108" s="200"/>
      <c r="AD108" s="200"/>
      <c r="AE108" s="200"/>
      <c r="AF108" s="200"/>
      <c r="AG108" s="200"/>
      <c r="AH108" s="200"/>
      <c r="AI108" s="200"/>
      <c r="AJ108" s="200"/>
      <c r="AK108" s="200"/>
      <c r="AL108" s="200"/>
    </row>
    <row r="109" spans="1:38">
      <c r="A109" s="435">
        <f t="shared" si="10"/>
        <v>90</v>
      </c>
      <c r="B109" s="871" t="str">
        <f>CONCATENATE('3. Consumption by Rate Class'!B114,"-",'3. Consumption by Rate Class'!C114)</f>
        <v>2020-June</v>
      </c>
      <c r="C109" s="870">
        <v>6998019.1600000001</v>
      </c>
      <c r="D109" s="934">
        <v>0</v>
      </c>
      <c r="E109" s="935">
        <v>0</v>
      </c>
      <c r="F109" s="941">
        <v>-40555.279999999999</v>
      </c>
      <c r="G109" s="875"/>
      <c r="H109" s="875"/>
      <c r="I109" s="469">
        <f t="shared" si="8"/>
        <v>6957463.8799999999</v>
      </c>
      <c r="J109" s="599">
        <f>IF(J$18='5.Variables'!$B$16,+'5.Variables'!$H34,+IF(J$18='5.Variables'!$B$39,+'5.Variables'!$H57,+IF(J$18='5.Variables'!$B$62,+'5.Variables'!$H71,+IF(J$18='5.Variables'!$B$76,+'5.Variables'!$H85,+IF(J$18='5.Variables'!$B$90,+'5.Variables'!$H99,+IF(J$18='5.Variables'!$B$104,+'5.Variables'!$H113,0))))))</f>
        <v>44.7</v>
      </c>
      <c r="K109" s="599">
        <f>IF(K$18='5.Variables'!$B$16,+'5.Variables'!$H33,+IF(K$18='5.Variables'!$B$39,+'5.Variables'!$H57,+IF(K$18='5.Variables'!$B$62,+'5.Variables'!$H71,+IF(K$18='5.Variables'!$B$76,+'5.Variables'!$H85,+IF(K$18='5.Variables'!$B$90,+'5.Variables'!$H99,+IF(K$18='5.Variables'!$B$104,+'5.Variables'!$H113,0))))))</f>
        <v>70.400000000000006</v>
      </c>
      <c r="L109" s="599">
        <f>IF(L$18='5.Variables'!$B$16,+'5.Variables'!$H33,+IF(L$18='5.Variables'!$B$39,+'5.Variables'!$H57,+IF(L$18='5.Variables'!$B$62,+'5.Variables'!$H71,+IF(L$18='5.Variables'!$B$76,+'5.Variables'!$H85,+IF(L$18='5.Variables'!$B$90,+'5.Variables'!$H99,+IF(L$18='5.Variables'!$B$104,+'5.Variables'!$H113,0))))))</f>
        <v>30</v>
      </c>
      <c r="M109" s="599">
        <f>IF(M$18='5.Variables'!$B$16,+'5.Variables'!$H33,+IF(M$18='5.Variables'!$B$39,+'5.Variables'!$H57,+IF(M$18='5.Variables'!$B$62,+'5.Variables'!$H71,+IF(M$18='5.Variables'!$B$76,+'5.Variables'!$H85,+IF(M$18='5.Variables'!$B$90,+'5.Variables'!$H99,+IF(M$18='5.Variables'!$B$104,+'5.Variables'!$H113,0))))))</f>
        <v>15.35</v>
      </c>
      <c r="N109" s="599">
        <f>IF(N$18='5.Variables'!$B$16,+'5.Variables'!$H33,+IF(N$18='5.Variables'!$B$39,+'5.Variables'!$H57,+IF(N$18='5.Variables'!$B$62,+'5.Variables'!$H71,+IF(N$18='5.Variables'!$B$76,+'5.Variables'!$H85,+IF(N$18='5.Variables'!$B$90,+'5.Variables'!$H99,+IF(N$18='5.Variables'!$B$104,+'5.Variables'!$H113,0))))))</f>
        <v>0</v>
      </c>
      <c r="O109" s="928">
        <v>0</v>
      </c>
      <c r="P109" s="200"/>
      <c r="Q109" s="469">
        <f t="shared" si="9"/>
        <v>7147231.8581886506</v>
      </c>
      <c r="R109" s="216"/>
      <c r="S109" s="200"/>
      <c r="T109" s="200"/>
      <c r="U109" s="200"/>
      <c r="V109" s="200"/>
      <c r="W109" s="200"/>
      <c r="X109" s="200"/>
      <c r="Y109" s="200"/>
      <c r="Z109" s="200"/>
      <c r="AA109" s="200"/>
      <c r="AB109" s="200"/>
      <c r="AC109" s="200"/>
      <c r="AD109" s="200"/>
      <c r="AE109" s="200"/>
      <c r="AF109" s="200"/>
      <c r="AG109" s="200"/>
      <c r="AH109" s="200"/>
      <c r="AI109" s="200"/>
      <c r="AJ109" s="200"/>
      <c r="AK109" s="200"/>
      <c r="AL109" s="200"/>
    </row>
    <row r="110" spans="1:38">
      <c r="A110" s="435">
        <f t="shared" si="10"/>
        <v>91</v>
      </c>
      <c r="B110" s="871" t="str">
        <f>CONCATENATE('3. Consumption by Rate Class'!B115,"-",'3. Consumption by Rate Class'!C115)</f>
        <v>2020-July</v>
      </c>
      <c r="C110" s="870">
        <v>8297464.1799999997</v>
      </c>
      <c r="D110" s="934">
        <v>0</v>
      </c>
      <c r="E110" s="935">
        <v>0</v>
      </c>
      <c r="F110" s="941">
        <v>-44071.020000000004</v>
      </c>
      <c r="G110" s="875"/>
      <c r="H110" s="875"/>
      <c r="I110" s="469">
        <f t="shared" si="8"/>
        <v>8253393.1600000001</v>
      </c>
      <c r="J110" s="599">
        <f>IF(J$18='5.Variables'!$B$16,+'5.Variables'!$I34,+IF(J$18='5.Variables'!$B$39,+'5.Variables'!$I57,+IF(J$18='5.Variables'!$B$62,+'5.Variables'!$I71,+IF(J$18='5.Variables'!$B$76,+'5.Variables'!$I85,+IF(J$18='5.Variables'!$B$90,+'5.Variables'!$I99,+IF(J$18='5.Variables'!$B$104,+'5.Variables'!$I113,0))))))</f>
        <v>0</v>
      </c>
      <c r="K110" s="599">
        <f>IF(K$18='5.Variables'!$B$16,+'5.Variables'!$I33,+IF(K$18='5.Variables'!$B$39,+'5.Variables'!$I57,+IF(K$18='5.Variables'!$B$62,+'5.Variables'!$I71,+IF(K$18='5.Variables'!$B$76,+'5.Variables'!$I85,+IF(K$18='5.Variables'!$B$90,+'5.Variables'!$I99,+IF(K$18='5.Variables'!$B$104,+'5.Variables'!$I113,0))))))</f>
        <v>185.8</v>
      </c>
      <c r="L110" s="599">
        <f>IF(L$18='5.Variables'!$B$16,+'5.Variables'!$I33,+IF(L$18='5.Variables'!$B$39,+'5.Variables'!$I57,+IF(L$18='5.Variables'!$B$62,+'5.Variables'!$I71,+IF(L$18='5.Variables'!$B$76,+'5.Variables'!$I85,+IF(L$18='5.Variables'!$B$90,+'5.Variables'!$I99,+IF(L$18='5.Variables'!$B$104,+'5.Variables'!$I113,0))))))</f>
        <v>31</v>
      </c>
      <c r="M110" s="599">
        <f>IF(M$18='5.Variables'!$B$16,+'5.Variables'!$I33,+IF(M$18='5.Variables'!$B$39,+'5.Variables'!$I57,+IF(M$18='5.Variables'!$B$62,+'5.Variables'!$I71,+IF(M$18='5.Variables'!$B$76,+'5.Variables'!$I85,+IF(M$18='5.Variables'!$B$90,+'5.Variables'!$I99,+IF(M$18='5.Variables'!$B$104,+'5.Variables'!$I113,0))))))</f>
        <v>15.15</v>
      </c>
      <c r="N110" s="599">
        <f>IF(N$18='5.Variables'!$B$16,+'5.Variables'!$I33,+IF(N$18='5.Variables'!$B$39,+'5.Variables'!$I57,+IF(N$18='5.Variables'!$B$62,+'5.Variables'!$I71,+IF(N$18='5.Variables'!$B$76,+'5.Variables'!$I85,+IF(N$18='5.Variables'!$B$90,+'5.Variables'!$I99,+IF(N$18='5.Variables'!$B$104,+'5.Variables'!$I113,0))))))</f>
        <v>0</v>
      </c>
      <c r="O110" s="928">
        <v>0</v>
      </c>
      <c r="P110" s="200"/>
      <c r="Q110" s="469">
        <f t="shared" si="9"/>
        <v>8918365.9716128614</v>
      </c>
      <c r="R110" s="216"/>
      <c r="S110" s="200"/>
      <c r="T110" s="200"/>
      <c r="U110" s="200"/>
      <c r="V110" s="200"/>
      <c r="W110" s="200"/>
      <c r="X110" s="200"/>
      <c r="Y110" s="200"/>
      <c r="Z110" s="200"/>
      <c r="AA110" s="200"/>
      <c r="AB110" s="200"/>
      <c r="AC110" s="200"/>
      <c r="AD110" s="200"/>
      <c r="AE110" s="200"/>
      <c r="AF110" s="200"/>
      <c r="AG110" s="200"/>
      <c r="AH110" s="200"/>
      <c r="AI110" s="200"/>
      <c r="AJ110" s="200"/>
      <c r="AK110" s="200"/>
      <c r="AL110" s="200"/>
    </row>
    <row r="111" spans="1:38">
      <c r="A111" s="435">
        <f t="shared" si="10"/>
        <v>92</v>
      </c>
      <c r="B111" s="871" t="str">
        <f>CONCATENATE('3. Consumption by Rate Class'!B116,"-",'3. Consumption by Rate Class'!C116)</f>
        <v>2020-August</v>
      </c>
      <c r="C111" s="870">
        <v>7399412.2599999998</v>
      </c>
      <c r="D111" s="934">
        <v>0</v>
      </c>
      <c r="E111" s="935">
        <v>0</v>
      </c>
      <c r="F111" s="941">
        <v>-50408.47</v>
      </c>
      <c r="G111" s="875"/>
      <c r="H111" s="875"/>
      <c r="I111" s="469">
        <f t="shared" si="8"/>
        <v>7349003.79</v>
      </c>
      <c r="J111" s="599">
        <f>IF(J$18='5.Variables'!$B$16,+'5.Variables'!$J34,+IF(J$18='5.Variables'!$B$39,+'5.Variables'!$J57,+IF(J$18='5.Variables'!$B$62,+'5.Variables'!$J71,+IF(J$18='5.Variables'!$B$76,+'5.Variables'!$J85,+IF(J$18='5.Variables'!$B$90,+'5.Variables'!$J99,+IF(J$18='5.Variables'!$B$104,+'5.Variables'!$J113,0))))))</f>
        <v>25.5</v>
      </c>
      <c r="K111" s="599">
        <f>IF(K$18='5.Variables'!$B$16,+'5.Variables'!$J33,+IF(K$18='5.Variables'!$B$39,+'5.Variables'!$J57,+IF(K$18='5.Variables'!$B$62,+'5.Variables'!$J71,+IF(K$18='5.Variables'!$B$76,+'5.Variables'!$J85,+IF(K$18='5.Variables'!$B$90,+'5.Variables'!$J99,+IF(K$18='5.Variables'!$B$104,+'5.Variables'!$J113,0))))))</f>
        <v>70.400000000000006</v>
      </c>
      <c r="L111" s="599">
        <f>IF(L$18='5.Variables'!$B$16,+'5.Variables'!$J33,+IF(L$18='5.Variables'!$B$39,+'5.Variables'!$J57,+IF(L$18='5.Variables'!$B$62,+'5.Variables'!$J71,+IF(L$18='5.Variables'!$B$76,+'5.Variables'!$J85,+IF(L$18='5.Variables'!$B$90,+'5.Variables'!$J99,+IF(L$18='5.Variables'!$B$104,+'5.Variables'!$J113,0))))))</f>
        <v>31</v>
      </c>
      <c r="M111" s="599">
        <f>IF(M$18='5.Variables'!$B$16,+'5.Variables'!$J33,+IF(M$18='5.Variables'!$B$39,+'5.Variables'!$J57,+IF(M$18='5.Variables'!$B$62,+'5.Variables'!$J71,+IF(M$18='5.Variables'!$B$76,+'5.Variables'!$J85,+IF(M$18='5.Variables'!$B$90,+'5.Variables'!$J99,+IF(M$18='5.Variables'!$B$104,+'5.Variables'!$J113,0))))))</f>
        <v>14.03</v>
      </c>
      <c r="N111" s="599">
        <f>IF(N$18='5.Variables'!$B$16,+'5.Variables'!$J33,+IF(N$18='5.Variables'!$B$39,+'5.Variables'!$J57,+IF(N$18='5.Variables'!$B$62,+'5.Variables'!$J71,+IF(N$18='5.Variables'!$B$76,+'5.Variables'!$J85,+IF(N$18='5.Variables'!$B$90,+'5.Variables'!$J99,+IF(N$18='5.Variables'!$B$104,+'5.Variables'!$J113,0))))))</f>
        <v>0</v>
      </c>
      <c r="O111" s="928">
        <v>0</v>
      </c>
      <c r="P111" s="200"/>
      <c r="Q111" s="469">
        <f t="shared" si="9"/>
        <v>7227059.4351963969</v>
      </c>
      <c r="R111" s="216"/>
      <c r="S111" s="200"/>
      <c r="T111" s="200"/>
      <c r="U111" s="200"/>
      <c r="V111" s="200"/>
      <c r="W111" s="200"/>
      <c r="X111" s="200"/>
      <c r="Y111" s="200"/>
      <c r="Z111" s="200"/>
      <c r="AA111" s="200"/>
      <c r="AB111" s="200"/>
      <c r="AC111" s="200"/>
      <c r="AD111" s="200"/>
      <c r="AE111" s="200"/>
      <c r="AF111" s="200"/>
      <c r="AG111" s="200"/>
      <c r="AH111" s="200"/>
      <c r="AI111" s="200"/>
      <c r="AJ111" s="200"/>
      <c r="AK111" s="200"/>
      <c r="AL111" s="200"/>
    </row>
    <row r="112" spans="1:38">
      <c r="A112" s="435">
        <f t="shared" si="10"/>
        <v>93</v>
      </c>
      <c r="B112" s="871" t="str">
        <f>CONCATENATE('3. Consumption by Rate Class'!B117,"-",'3. Consumption by Rate Class'!C117)</f>
        <v>2020-September</v>
      </c>
      <c r="C112" s="870">
        <v>6443093.9500000002</v>
      </c>
      <c r="D112" s="934">
        <v>0</v>
      </c>
      <c r="E112" s="935">
        <v>0</v>
      </c>
      <c r="F112" s="941">
        <v>-54712.43</v>
      </c>
      <c r="G112" s="875"/>
      <c r="H112" s="875"/>
      <c r="I112" s="469">
        <f t="shared" si="8"/>
        <v>6388381.5200000005</v>
      </c>
      <c r="J112" s="599">
        <f>IF(J$18='5.Variables'!$B$16,+'5.Variables'!$K34,+IF(J$18='5.Variables'!$B$39,+'5.Variables'!$K57,+IF(J$18='5.Variables'!$B$62,+'5.Variables'!$K71,+IF(J$18='5.Variables'!$B$76,+'5.Variables'!$K85,+IF(J$18='5.Variables'!$B$90,+'5.Variables'!$K99,+IF(J$18='5.Variables'!$B$104,+'5.Variables'!$K113,0))))))</f>
        <v>129</v>
      </c>
      <c r="K112" s="599">
        <f>IF(K$18='5.Variables'!$B$16,+'5.Variables'!$K33,+IF(K$18='5.Variables'!$B$39,+'5.Variables'!$K57,+IF(K$18='5.Variables'!$B$62,+'5.Variables'!$K71,+IF(K$18='5.Variables'!$B$76,+'5.Variables'!$K85,+IF(K$18='5.Variables'!$B$90,+'5.Variables'!$K99,+IF(K$18='5.Variables'!$B$104,+'5.Variables'!$K113,0))))))</f>
        <v>9</v>
      </c>
      <c r="L112" s="599">
        <f>IF(L$18='5.Variables'!$B$16,+'5.Variables'!$K33,+IF(L$18='5.Variables'!$B$39,+'5.Variables'!$K57,+IF(L$18='5.Variables'!$B$62,+'5.Variables'!$K71,+IF(L$18='5.Variables'!$B$76,+'5.Variables'!$K85,+IF(L$18='5.Variables'!$B$90,+'5.Variables'!$K99,+IF(L$18='5.Variables'!$B$104,+'5.Variables'!$K113,0))))))</f>
        <v>30</v>
      </c>
      <c r="M112" s="599">
        <f>IF(M$18='5.Variables'!$B$16,+'5.Variables'!$K33,+IF(M$18='5.Variables'!$B$39,+'5.Variables'!$K57,+IF(M$18='5.Variables'!$B$62,+'5.Variables'!$K71,+IF(M$18='5.Variables'!$B$76,+'5.Variables'!$K85,+IF(M$18='5.Variables'!$B$90,+'5.Variables'!$K99,+IF(M$18='5.Variables'!$B$104,+'5.Variables'!$K113,0))))))</f>
        <v>12.29</v>
      </c>
      <c r="N112" s="599">
        <f>IF(N$18='5.Variables'!$B$16,+'5.Variables'!$K33,+IF(N$18='5.Variables'!$B$39,+'5.Variables'!$K57,+IF(N$18='5.Variables'!$B$62,+'5.Variables'!$K71,+IF(N$18='5.Variables'!$B$76,+'5.Variables'!$K85,+IF(N$18='5.Variables'!$B$90,+'5.Variables'!$K99,+IF(N$18='5.Variables'!$B$104,+'5.Variables'!$K113,0))))))</f>
        <v>0</v>
      </c>
      <c r="O112" s="928">
        <v>0</v>
      </c>
      <c r="P112" s="200"/>
      <c r="Q112" s="469">
        <f t="shared" si="9"/>
        <v>6417022.326542546</v>
      </c>
      <c r="R112" s="216"/>
      <c r="S112" s="200"/>
      <c r="T112" s="200"/>
      <c r="U112" s="200"/>
      <c r="V112" s="200"/>
      <c r="W112" s="200"/>
      <c r="X112" s="200"/>
      <c r="Y112" s="200"/>
      <c r="Z112" s="200"/>
      <c r="AA112" s="200"/>
      <c r="AB112" s="200"/>
      <c r="AC112" s="200"/>
      <c r="AD112" s="200"/>
      <c r="AE112" s="200"/>
      <c r="AF112" s="200"/>
      <c r="AG112" s="200"/>
      <c r="AH112" s="200"/>
      <c r="AI112" s="200"/>
      <c r="AJ112" s="200"/>
      <c r="AK112" s="200"/>
      <c r="AL112" s="200"/>
    </row>
    <row r="113" spans="1:38">
      <c r="A113" s="435">
        <f t="shared" si="10"/>
        <v>94</v>
      </c>
      <c r="B113" s="871" t="str">
        <f>CONCATENATE('3. Consumption by Rate Class'!B118,"-",'3. Consumption by Rate Class'!C118)</f>
        <v>2020-October</v>
      </c>
      <c r="C113" s="870">
        <v>6888181.25</v>
      </c>
      <c r="D113" s="934">
        <v>0</v>
      </c>
      <c r="E113" s="935">
        <v>0</v>
      </c>
      <c r="F113" s="941">
        <v>-63552.340000000004</v>
      </c>
      <c r="G113" s="875"/>
      <c r="H113" s="875"/>
      <c r="I113" s="469">
        <f t="shared" si="8"/>
        <v>6824628.9100000001</v>
      </c>
      <c r="J113" s="599">
        <f>IF(J$18='5.Variables'!$B$16,+'5.Variables'!$L34,+IF(J$18='5.Variables'!$B$39,+'5.Variables'!$L57,+IF(J$18='5.Variables'!$B$62,+'5.Variables'!$L71,+IF(J$18='5.Variables'!$B$76,+'5.Variables'!$L85,+IF(J$18='5.Variables'!$B$90,+'5.Variables'!$L99,+IF(J$18='5.Variables'!$B$104,+'5.Variables'!$L113,0))))))</f>
        <v>327.39999999999998</v>
      </c>
      <c r="K113" s="599">
        <f>IF(K$18='5.Variables'!$B$16,+'5.Variables'!$L33,+IF(K$18='5.Variables'!$B$39,+'5.Variables'!$L57,+IF(K$18='5.Variables'!$B$62,+'5.Variables'!$L71,+IF(K$18='5.Variables'!$B$76,+'5.Variables'!$L85,+IF(K$18='5.Variables'!$B$90,+'5.Variables'!$L99,+IF(K$18='5.Variables'!$B$104,+'5.Variables'!$L113,0))))))</f>
        <v>0</v>
      </c>
      <c r="L113" s="599">
        <f>IF(L$18='5.Variables'!$B$16,+'5.Variables'!$L33,+IF(L$18='5.Variables'!$B$39,+'5.Variables'!$L57,+IF(L$18='5.Variables'!$B$62,+'5.Variables'!$L71,+IF(L$18='5.Variables'!$B$76,+'5.Variables'!$L85,+IF(L$18='5.Variables'!$B$90,+'5.Variables'!$L99,+IF(L$18='5.Variables'!$B$104,+'5.Variables'!$L113,0))))))</f>
        <v>31</v>
      </c>
      <c r="M113" s="599">
        <f>IF(M$18='5.Variables'!$B$16,+'5.Variables'!$L33,+IF(M$18='5.Variables'!$B$39,+'5.Variables'!$L57,+IF(M$18='5.Variables'!$B$62,+'5.Variables'!$L71,+IF(M$18='5.Variables'!$B$76,+'5.Variables'!$L85,+IF(M$18='5.Variables'!$B$90,+'5.Variables'!$L99,+IF(M$18='5.Variables'!$B$104,+'5.Variables'!$L113,0))))))</f>
        <v>10.51</v>
      </c>
      <c r="N113" s="599">
        <f>IF(N$18='5.Variables'!$B$16,+'5.Variables'!$L33,+IF(N$18='5.Variables'!$B$39,+'5.Variables'!$L57,+IF(N$18='5.Variables'!$B$62,+'5.Variables'!$L71,+IF(N$18='5.Variables'!$B$76,+'5.Variables'!$L85,+IF(N$18='5.Variables'!$B$90,+'5.Variables'!$L99,+IF(N$18='5.Variables'!$B$104,+'5.Variables'!$L113,0))))))</f>
        <v>0</v>
      </c>
      <c r="O113" s="928">
        <v>0</v>
      </c>
      <c r="P113" s="200"/>
      <c r="Q113" s="469">
        <f t="shared" si="9"/>
        <v>7016003.0680486122</v>
      </c>
      <c r="R113" s="216"/>
      <c r="S113" s="200"/>
      <c r="T113" s="200"/>
      <c r="U113" s="200"/>
      <c r="V113" s="200"/>
      <c r="W113" s="200"/>
      <c r="X113" s="200"/>
      <c r="Y113" s="200"/>
      <c r="Z113" s="200"/>
      <c r="AA113" s="200"/>
      <c r="AB113" s="200"/>
      <c r="AC113" s="200"/>
      <c r="AD113" s="200"/>
      <c r="AE113" s="200"/>
      <c r="AF113" s="200"/>
      <c r="AG113" s="200"/>
      <c r="AH113" s="200"/>
      <c r="AI113" s="200"/>
      <c r="AJ113" s="200"/>
      <c r="AK113" s="200"/>
      <c r="AL113" s="200"/>
    </row>
    <row r="114" spans="1:38">
      <c r="A114" s="435">
        <f t="shared" si="10"/>
        <v>95</v>
      </c>
      <c r="B114" s="871" t="str">
        <f>CONCATENATE('3. Consumption by Rate Class'!B119,"-",'3. Consumption by Rate Class'!C119)</f>
        <v>2020-November</v>
      </c>
      <c r="C114" s="870">
        <v>6992757.2999999998</v>
      </c>
      <c r="D114" s="934">
        <v>0</v>
      </c>
      <c r="E114" s="935">
        <v>0</v>
      </c>
      <c r="F114" s="941">
        <v>-63599.780000000006</v>
      </c>
      <c r="G114" s="875"/>
      <c r="H114" s="875"/>
      <c r="I114" s="469">
        <f t="shared" si="8"/>
        <v>6929157.5199999996</v>
      </c>
      <c r="J114" s="599">
        <f>IF(J$18='5.Variables'!$B$16,+'5.Variables'!$M34,+IF(J$18='5.Variables'!$B$39,+'5.Variables'!$M57,+IF(J$18='5.Variables'!$B$62,+'5.Variables'!$M71,+IF(J$18='5.Variables'!$B$76,+'5.Variables'!$M85,+IF(J$18='5.Variables'!$B$90,+'5.Variables'!$M99,+IF(J$18='5.Variables'!$B$104,+'5.Variables'!$M113,0))))))</f>
        <v>429.9</v>
      </c>
      <c r="K114" s="599">
        <f>IF(K$18='5.Variables'!$B$16,+'5.Variables'!$M33,+IF(K$18='5.Variables'!$B$39,+'5.Variables'!$M57,+IF(K$18='5.Variables'!$B$62,+'5.Variables'!$M71,+IF(K$18='5.Variables'!$B$76,+'5.Variables'!$M85,+IF(K$18='5.Variables'!$B$90,+'5.Variables'!$M99,+IF(K$18='5.Variables'!$B$104,+'5.Variables'!$M113,0))))))</f>
        <v>0</v>
      </c>
      <c r="L114" s="599">
        <f>IF(L$18='5.Variables'!$B$16,+'5.Variables'!$M33,+IF(L$18='5.Variables'!$B$39,+'5.Variables'!$M57,+IF(L$18='5.Variables'!$B$62,+'5.Variables'!$M71,+IF(L$18='5.Variables'!$B$76,+'5.Variables'!$M85,+IF(L$18='5.Variables'!$B$90,+'5.Variables'!$M99,+IF(L$18='5.Variables'!$B$104,+'5.Variables'!$M113,0))))))</f>
        <v>30</v>
      </c>
      <c r="M114" s="599">
        <f>IF(M$18='5.Variables'!$B$16,+'5.Variables'!$M33,+IF(M$18='5.Variables'!$B$39,+'5.Variables'!$M57,+IF(M$18='5.Variables'!$B$62,+'5.Variables'!$M71,+IF(M$18='5.Variables'!$B$76,+'5.Variables'!$M85,+IF(M$18='5.Variables'!$B$90,+'5.Variables'!$M99,+IF(M$18='5.Variables'!$B$104,+'5.Variables'!$M113,0))))))</f>
        <v>9.2799999999999994</v>
      </c>
      <c r="N114" s="599">
        <f>IF(N$18='5.Variables'!$B$16,+'5.Variables'!$M33,+IF(N$18='5.Variables'!$B$39,+'5.Variables'!$M57,+IF(N$18='5.Variables'!$B$62,+'5.Variables'!$M71,+IF(N$18='5.Variables'!$B$76,+'5.Variables'!$M85,+IF(N$18='5.Variables'!$B$90,+'5.Variables'!$M99,+IF(N$18='5.Variables'!$B$104,+'5.Variables'!$M113,0))))))</f>
        <v>0</v>
      </c>
      <c r="O114" s="928">
        <v>0</v>
      </c>
      <c r="P114" s="200"/>
      <c r="Q114" s="469">
        <f t="shared" si="9"/>
        <v>7142591.9245356005</v>
      </c>
      <c r="R114" s="216"/>
      <c r="S114" s="200"/>
      <c r="T114" s="200"/>
      <c r="U114" s="200"/>
      <c r="V114" s="200"/>
      <c r="W114" s="200"/>
      <c r="X114" s="200"/>
      <c r="Y114" s="200"/>
      <c r="Z114" s="200"/>
      <c r="AA114" s="200"/>
      <c r="AB114" s="200"/>
      <c r="AC114" s="200"/>
      <c r="AD114" s="200"/>
      <c r="AE114" s="200"/>
      <c r="AF114" s="200"/>
      <c r="AG114" s="200"/>
      <c r="AH114" s="200"/>
      <c r="AI114" s="200"/>
      <c r="AJ114" s="200"/>
      <c r="AK114" s="200"/>
      <c r="AL114" s="200"/>
    </row>
    <row r="115" spans="1:38">
      <c r="A115" s="435">
        <f t="shared" si="10"/>
        <v>96</v>
      </c>
      <c r="B115" s="451" t="str">
        <f>CONCATENATE('3. Consumption by Rate Class'!B120,"-",'3. Consumption by Rate Class'!C120)</f>
        <v>2020-December</v>
      </c>
      <c r="C115" s="584">
        <v>7964534.6639999999</v>
      </c>
      <c r="D115" s="940">
        <v>0</v>
      </c>
      <c r="E115" s="939">
        <v>0</v>
      </c>
      <c r="F115" s="939">
        <v>-63795.97</v>
      </c>
      <c r="G115" s="880"/>
      <c r="H115" s="880"/>
      <c r="I115" s="881">
        <f t="shared" si="8"/>
        <v>7900738.6940000001</v>
      </c>
      <c r="J115" s="599">
        <f>IF(J$18='5.Variables'!$B$16,+'5.Variables'!$N34,+IF(J$18='5.Variables'!$B$39,+'5.Variables'!$N57,+IF(J$18='5.Variables'!$B$62,+'5.Variables'!$N71,+IF(J$18='5.Variables'!$B$76,+'5.Variables'!$N85,+IF(J$18='5.Variables'!$B$90,+'5.Variables'!$N99,+IF(J$18='5.Variables'!$B$104,+'5.Variables'!$N113,0))))))</f>
        <v>647</v>
      </c>
      <c r="K115" s="599">
        <f>IF(K$18='5.Variables'!$B$16,+'5.Variables'!$N33,+IF(K$18='5.Variables'!$B$39,+'5.Variables'!$N57,+IF(K$18='5.Variables'!$B$62,+'5.Variables'!$N71,+IF(K$18='5.Variables'!$B$76,+'5.Variables'!$N85,+IF(K$18='5.Variables'!$B$90,+'5.Variables'!$N99,+IF(K$18='5.Variables'!$B$104,+'5.Variables'!$N113,0))))))</f>
        <v>0</v>
      </c>
      <c r="L115" s="599">
        <f>IF(L$18='5.Variables'!$B$16,+'5.Variables'!$N33,+IF(L$18='5.Variables'!$B$39,+'5.Variables'!$N57,+IF(L$18='5.Variables'!$B$62,+'5.Variables'!$N71,+IF(L$18='5.Variables'!$B$76,+'5.Variables'!$N85,+IF(L$18='5.Variables'!$B$90,+'5.Variables'!$N99,+IF(L$18='5.Variables'!$B$104,+'5.Variables'!$N113,0))))))</f>
        <v>31</v>
      </c>
      <c r="M115" s="599">
        <f>IF(M$18='5.Variables'!$B$16,+'5.Variables'!$N33,+IF(M$18='5.Variables'!$B$39,+'5.Variables'!$N57,+IF(M$18='5.Variables'!$B$62,+'5.Variables'!$N71,+IF(M$18='5.Variables'!$B$76,+'5.Variables'!$N85,+IF(M$18='5.Variables'!$B$90,+'5.Variables'!$N99,+IF(M$18='5.Variables'!$B$104,+'5.Variables'!$N113,0))))))</f>
        <v>8.4700000000000006</v>
      </c>
      <c r="N115" s="599">
        <f>IF(N$18='5.Variables'!$B$16,+'5.Variables'!$N33,+IF(N$18='5.Variables'!$B$39,+'5.Variables'!$N57,+IF(N$18='5.Variables'!$B$62,+'5.Variables'!$N71,+IF(N$18='5.Variables'!$B$76,+'5.Variables'!$N85,+IF(N$18='5.Variables'!$B$90,+'5.Variables'!$N99,+IF(N$18='5.Variables'!$B$104,+'5.Variables'!$N113,0))))))</f>
        <v>0</v>
      </c>
      <c r="O115" s="928">
        <v>0</v>
      </c>
      <c r="P115" s="200"/>
      <c r="Q115" s="469">
        <f t="shared" si="9"/>
        <v>7953169.5303675197</v>
      </c>
      <c r="R115" s="216">
        <f>SUM(Q104:Q115)</f>
        <v>89937807.730157182</v>
      </c>
      <c r="S115" s="200"/>
      <c r="T115" s="200"/>
      <c r="U115" s="200"/>
      <c r="V115" s="200"/>
      <c r="W115" s="200"/>
      <c r="X115" s="200"/>
      <c r="Y115" s="200"/>
      <c r="Z115" s="200"/>
      <c r="AA115" s="200"/>
      <c r="AB115" s="200"/>
      <c r="AC115" s="200"/>
      <c r="AD115" s="200"/>
      <c r="AE115" s="200"/>
      <c r="AF115" s="200"/>
      <c r="AG115" s="200"/>
      <c r="AH115" s="200"/>
      <c r="AI115" s="200"/>
      <c r="AJ115" s="200"/>
      <c r="AK115" s="200"/>
      <c r="AL115" s="200"/>
    </row>
    <row r="116" spans="1:38">
      <c r="A116" s="435">
        <f t="shared" si="10"/>
        <v>97</v>
      </c>
      <c r="B116" s="871" t="str">
        <f>CONCATENATE('3. Consumption by Rate Class'!B121,"-",'3. Consumption by Rate Class'!C121)</f>
        <v>2021-January</v>
      </c>
      <c r="C116" s="870">
        <v>8145028.5599999996</v>
      </c>
      <c r="D116" s="934">
        <v>0</v>
      </c>
      <c r="E116" s="935">
        <v>0</v>
      </c>
      <c r="F116" s="941">
        <v>-56867.42</v>
      </c>
      <c r="G116" s="875"/>
      <c r="H116" s="875"/>
      <c r="I116" s="469">
        <f t="shared" si="8"/>
        <v>8088161.1399999997</v>
      </c>
      <c r="J116" s="599">
        <f>IF(J$18='5.Variables'!$B$16,+'5.Variables'!$C35,+IF(J$18='5.Variables'!$B$39,+'5.Variables'!$C58,+IF(J$18='5.Variables'!$B$62,+'5.Variables'!$C72,+IF(J$18='5.Variables'!$B$76,+'5.Variables'!$C86,+IF(J$18='5.Variables'!$B$90,+'5.Variables'!$C100,+IF(J$18='5.Variables'!$B$104,+'5.Variables'!$C114,0))))))</f>
        <v>755.2</v>
      </c>
      <c r="K116" s="599">
        <f>IF(K$18='5.Variables'!$B$16,+'5.Variables'!$C34,+IF(K$18='5.Variables'!$B$39,+'5.Variables'!$C58,+IF(K$18='5.Variables'!$B$62,+'5.Variables'!$C72,+IF(K$18='5.Variables'!$B$76,+'5.Variables'!$C86,+IF(K$18='5.Variables'!$B$90,+'5.Variables'!$C100,+IF(K$18='5.Variables'!$B$104,+'5.Variables'!$C114,0))))))</f>
        <v>0</v>
      </c>
      <c r="L116" s="599">
        <f>IF(L$18='5.Variables'!$B$16,+'5.Variables'!$C34,+IF(L$18='5.Variables'!$B$39,+'5.Variables'!$C58,+IF(L$18='5.Variables'!$B$62,+'5.Variables'!$C72,+IF(L$18='5.Variables'!$B$76,+'5.Variables'!$C86,+IF(L$18='5.Variables'!$B$90,+'5.Variables'!$C100,+IF(L$18='5.Variables'!$B$104,+'5.Variables'!$C114,0))))))</f>
        <v>31</v>
      </c>
      <c r="M116" s="599">
        <f>IF(M$18='5.Variables'!$B$16,+'5.Variables'!$C34,+IF(M$18='5.Variables'!$B$39,+'5.Variables'!$C58,+IF(M$18='5.Variables'!$B$62,+'5.Variables'!$C72,+IF(M$18='5.Variables'!$B$76,+'5.Variables'!$C86,+IF(M$18='5.Variables'!$B$90,+'5.Variables'!$C100,+IF(M$18='5.Variables'!$B$104,+'5.Variables'!$C114,0))))))</f>
        <v>9.09</v>
      </c>
      <c r="N116" s="599">
        <f>IF(N$18='5.Variables'!$B$16,+'5.Variables'!$C34,+IF(N$18='5.Variables'!$B$39,+'5.Variables'!$C58,+IF(N$18='5.Variables'!$B$62,+'5.Variables'!$C72,+IF(N$18='5.Variables'!$B$76,+'5.Variables'!$C86,+IF(N$18='5.Variables'!$B$90,+'5.Variables'!$C100,+IF(N$18='5.Variables'!$B$104,+'5.Variables'!$C114,0))))))</f>
        <v>0</v>
      </c>
      <c r="O116" s="928">
        <v>0</v>
      </c>
      <c r="P116" s="200"/>
      <c r="Q116" s="469">
        <f t="shared" si="9"/>
        <v>8295021.2717403425</v>
      </c>
      <c r="R116" s="216"/>
      <c r="S116" s="200"/>
      <c r="T116" s="200"/>
      <c r="U116" s="200"/>
      <c r="V116" s="200"/>
      <c r="W116" s="200"/>
      <c r="X116" s="200"/>
      <c r="Y116" s="200"/>
      <c r="Z116" s="200"/>
      <c r="AA116" s="200"/>
      <c r="AB116" s="200"/>
      <c r="AC116" s="200"/>
      <c r="AD116" s="200"/>
      <c r="AE116" s="200"/>
      <c r="AF116" s="200"/>
      <c r="AG116" s="200"/>
      <c r="AH116" s="200"/>
      <c r="AI116" s="200"/>
      <c r="AJ116" s="200"/>
      <c r="AK116" s="200"/>
      <c r="AL116" s="200"/>
    </row>
    <row r="117" spans="1:38">
      <c r="A117" s="435">
        <f t="shared" si="10"/>
        <v>98</v>
      </c>
      <c r="B117" s="871" t="str">
        <f>CONCATENATE('3. Consumption by Rate Class'!B122,"-",'3. Consumption by Rate Class'!C122)</f>
        <v>2021-February</v>
      </c>
      <c r="C117" s="870">
        <v>7544944.4699999997</v>
      </c>
      <c r="D117" s="934">
        <v>0</v>
      </c>
      <c r="E117" s="935">
        <v>0</v>
      </c>
      <c r="F117" s="941">
        <v>119083.88999999998</v>
      </c>
      <c r="G117" s="875"/>
      <c r="H117" s="875"/>
      <c r="I117" s="469">
        <f t="shared" si="8"/>
        <v>7664028.3599999994</v>
      </c>
      <c r="J117" s="599">
        <f>IF(J$18='5.Variables'!$B$16,+'5.Variables'!$D35,+IF(J$18='5.Variables'!$B$39,+'5.Variables'!$D58,+IF(J$18='5.Variables'!$B$62,+'5.Variables'!$D72,+IF(J$18='5.Variables'!$B$76,+'5.Variables'!$D86,+IF(J$18='5.Variables'!$B$90,+'5.Variables'!$D100,+IF(J$18='5.Variables'!$B$104,+'5.Variables'!$D114,0))))))</f>
        <v>683.5</v>
      </c>
      <c r="K117" s="599">
        <f>IF(K$18='5.Variables'!$B$16,+'5.Variables'!$D34,+IF(K$18='5.Variables'!$B$39,+'5.Variables'!$D58,+IF(K$18='5.Variables'!$B$62,+'5.Variables'!$D72,+IF(K$18='5.Variables'!$B$76,+'5.Variables'!$D86,+IF(K$18='5.Variables'!$B$90,+'5.Variables'!$D100,+IF(K$18='5.Variables'!$B$104,+'5.Variables'!$D114,0))))))</f>
        <v>0</v>
      </c>
      <c r="L117" s="599">
        <f>IF(L$18='5.Variables'!$B$16,+'5.Variables'!$D34,+IF(L$18='5.Variables'!$B$39,+'5.Variables'!$D58,+IF(L$18='5.Variables'!$B$62,+'5.Variables'!$D72,+IF(L$18='5.Variables'!$B$76,+'5.Variables'!$D86,+IF(L$18='5.Variables'!$B$90,+'5.Variables'!$D100,+IF(L$18='5.Variables'!$B$104,+'5.Variables'!$D114,0))))))</f>
        <v>28</v>
      </c>
      <c r="M117" s="599">
        <f>IF(M$18='5.Variables'!$B$16,+'5.Variables'!$D34,+IF(M$18='5.Variables'!$B$39,+'5.Variables'!$D58,+IF(M$18='5.Variables'!$B$62,+'5.Variables'!$D72,+IF(M$18='5.Variables'!$B$76,+'5.Variables'!$D86,+IF(M$18='5.Variables'!$B$90,+'5.Variables'!$D100,+IF(M$18='5.Variables'!$B$104,+'5.Variables'!$D114,0))))))</f>
        <v>10.19</v>
      </c>
      <c r="N117" s="599">
        <f>IF(N$18='5.Variables'!$B$16,+'5.Variables'!$D34,+IF(N$18='5.Variables'!$B$39,+'5.Variables'!$D58,+IF(N$18='5.Variables'!$B$62,+'5.Variables'!$D72,+IF(N$18='5.Variables'!$B$76,+'5.Variables'!$D86,+IF(N$18='5.Variables'!$B$90,+'5.Variables'!$D100,+IF(N$18='5.Variables'!$B$104,+'5.Variables'!$D114,0))))))</f>
        <v>0</v>
      </c>
      <c r="O117" s="928">
        <v>0</v>
      </c>
      <c r="P117" s="200"/>
      <c r="Q117" s="469">
        <f t="shared" si="9"/>
        <v>7607287.4822793221</v>
      </c>
      <c r="R117" s="216"/>
      <c r="S117" s="200"/>
      <c r="T117" s="200"/>
      <c r="U117" s="200"/>
      <c r="V117" s="200"/>
      <c r="W117" s="200"/>
      <c r="X117" s="200"/>
      <c r="Y117" s="200"/>
      <c r="Z117" s="200"/>
      <c r="AA117" s="200"/>
      <c r="AB117" s="200"/>
      <c r="AC117" s="200"/>
      <c r="AD117" s="200"/>
      <c r="AE117" s="200"/>
      <c r="AF117" s="200"/>
      <c r="AG117" s="200"/>
      <c r="AH117" s="200"/>
      <c r="AI117" s="200"/>
      <c r="AJ117" s="200"/>
      <c r="AK117" s="200"/>
      <c r="AL117" s="200"/>
    </row>
    <row r="118" spans="1:38">
      <c r="A118" s="435">
        <f t="shared" si="10"/>
        <v>99</v>
      </c>
      <c r="B118" s="871" t="str">
        <f>CONCATENATE('3. Consumption by Rate Class'!B123,"-",'3. Consumption by Rate Class'!C123)</f>
        <v>2021-March</v>
      </c>
      <c r="C118" s="870">
        <v>7801976.04</v>
      </c>
      <c r="D118" s="934">
        <v>0</v>
      </c>
      <c r="E118" s="935">
        <v>0</v>
      </c>
      <c r="F118" s="941">
        <v>-2409.260000000002</v>
      </c>
      <c r="G118" s="875"/>
      <c r="H118" s="875"/>
      <c r="I118" s="469">
        <f t="shared" si="8"/>
        <v>7799566.7800000003</v>
      </c>
      <c r="J118" s="599">
        <f>IF(J$18='5.Variables'!$B$16,+'5.Variables'!$E35,+IF(J$18='5.Variables'!$B$39,+'5.Variables'!$E58,+IF(J$18='5.Variables'!$B$62,+'5.Variables'!$E72,+IF(J$18='5.Variables'!$B$76,+'5.Variables'!$E86,+IF(J$18='5.Variables'!$B$90,+'5.Variables'!$E100,+IF(J$18='5.Variables'!$B$104,+'5.Variables'!$E114,0))))))</f>
        <v>577.29999999999995</v>
      </c>
      <c r="K118" s="599">
        <f>IF(K$18='5.Variables'!$B$16,+'5.Variables'!$E34,+IF(K$18='5.Variables'!$B$39,+'5.Variables'!$E58,+IF(K$18='5.Variables'!$B$62,+'5.Variables'!$E72,+IF(K$18='5.Variables'!$B$76,+'5.Variables'!$E86,+IF(K$18='5.Variables'!$B$90,+'5.Variables'!$E100,+IF(K$18='5.Variables'!$B$104,+'5.Variables'!$E114,0))))))</f>
        <v>0</v>
      </c>
      <c r="L118" s="599">
        <f>IF(L$18='5.Variables'!$B$16,+'5.Variables'!$E34,+IF(L$18='5.Variables'!$B$39,+'5.Variables'!$E58,+IF(L$18='5.Variables'!$B$62,+'5.Variables'!$E72,+IF(L$18='5.Variables'!$B$76,+'5.Variables'!$E86,+IF(L$18='5.Variables'!$B$90,+'5.Variables'!$E100,+IF(L$18='5.Variables'!$B$104,+'5.Variables'!$E114,0))))))</f>
        <v>31</v>
      </c>
      <c r="M118" s="599">
        <f>IF(M$18='5.Variables'!$B$16,+'5.Variables'!$E34,+IF(M$18='5.Variables'!$B$39,+'5.Variables'!$E58,+IF(M$18='5.Variables'!$B$62,+'5.Variables'!$E72,+IF(M$18='5.Variables'!$B$76,+'5.Variables'!$E86,+IF(M$18='5.Variables'!$B$90,+'5.Variables'!$E100,+IF(M$18='5.Variables'!$B$104,+'5.Variables'!$E114,0))))))</f>
        <v>11.51</v>
      </c>
      <c r="N118" s="599">
        <f>IF(N$18='5.Variables'!$B$16,+'5.Variables'!$E34,+IF(N$18='5.Variables'!$B$39,+'5.Variables'!$E58,+IF(N$18='5.Variables'!$B$62,+'5.Variables'!$E72,+IF(N$18='5.Variables'!$B$76,+'5.Variables'!$E86,+IF(N$18='5.Variables'!$B$90,+'5.Variables'!$E100,+IF(N$18='5.Variables'!$B$104,+'5.Variables'!$E114,0))))))</f>
        <v>0</v>
      </c>
      <c r="O118" s="928">
        <v>0</v>
      </c>
      <c r="P118" s="200"/>
      <c r="Q118" s="469">
        <f t="shared" si="9"/>
        <v>7797448.2385115493</v>
      </c>
      <c r="R118" s="216"/>
      <c r="S118" s="200"/>
      <c r="T118" s="200"/>
      <c r="U118" s="200"/>
      <c r="V118" s="200"/>
      <c r="W118" s="200"/>
      <c r="X118" s="200"/>
      <c r="Y118" s="200"/>
      <c r="Z118" s="200"/>
      <c r="AA118" s="200"/>
      <c r="AB118" s="200"/>
      <c r="AC118" s="200"/>
      <c r="AD118" s="200"/>
      <c r="AE118" s="200"/>
      <c r="AF118" s="200"/>
      <c r="AG118" s="200"/>
      <c r="AH118" s="200"/>
      <c r="AI118" s="200"/>
      <c r="AJ118" s="200"/>
      <c r="AK118" s="200"/>
      <c r="AL118" s="200"/>
    </row>
    <row r="119" spans="1:38">
      <c r="A119" s="435">
        <f t="shared" si="10"/>
        <v>100</v>
      </c>
      <c r="B119" s="871" t="str">
        <f>CONCATENATE('3. Consumption by Rate Class'!B124,"-",'3. Consumption by Rate Class'!C124)</f>
        <v>2021-April</v>
      </c>
      <c r="C119" s="870">
        <v>6419758.7800000003</v>
      </c>
      <c r="D119" s="934">
        <v>0</v>
      </c>
      <c r="E119" s="935">
        <v>0</v>
      </c>
      <c r="F119" s="941">
        <v>-1799.5</v>
      </c>
      <c r="G119" s="875"/>
      <c r="H119" s="875"/>
      <c r="I119" s="469">
        <f t="shared" si="8"/>
        <v>6417959.2800000003</v>
      </c>
      <c r="J119" s="599">
        <f>IF(J$18='5.Variables'!$B$16,+'5.Variables'!$F35,+IF(J$18='5.Variables'!$B$39,+'5.Variables'!$F58,+IF(J$18='5.Variables'!$B$62,+'5.Variables'!$F72,+IF(J$18='5.Variables'!$B$76,+'5.Variables'!$F86,+IF(J$18='5.Variables'!$B$90,+'5.Variables'!$F100,+IF(J$18='5.Variables'!$B$104,+'5.Variables'!$F114,0))))))</f>
        <v>295.3</v>
      </c>
      <c r="K119" s="599">
        <f>IF(K$18='5.Variables'!$B$16,+'5.Variables'!$F34,+IF(K$18='5.Variables'!$B$39,+'5.Variables'!$F58,+IF(K$18='5.Variables'!$B$62,+'5.Variables'!$F72,+IF(K$18='5.Variables'!$B$76,+'5.Variables'!$F86,+IF(K$18='5.Variables'!$B$90,+'5.Variables'!$F100,+IF(K$18='5.Variables'!$B$104,+'5.Variables'!$F114,0))))))</f>
        <v>0</v>
      </c>
      <c r="L119" s="599">
        <f>IF(L$18='5.Variables'!$B$16,+'5.Variables'!$F34,+IF(L$18='5.Variables'!$B$39,+'5.Variables'!$F58,+IF(L$18='5.Variables'!$B$62,+'5.Variables'!$F72,+IF(L$18='5.Variables'!$B$76,+'5.Variables'!$F86,+IF(L$18='5.Variables'!$B$90,+'5.Variables'!$F100,+IF(L$18='5.Variables'!$B$104,+'5.Variables'!$F114,0))))))</f>
        <v>30</v>
      </c>
      <c r="M119" s="599">
        <f>IF(M$18='5.Variables'!$B$16,+'5.Variables'!$F34,+IF(M$18='5.Variables'!$B$39,+'5.Variables'!$F58,+IF(M$18='5.Variables'!$B$62,+'5.Variables'!$F72,+IF(M$18='5.Variables'!$B$76,+'5.Variables'!$F86,+IF(M$18='5.Variables'!$B$90,+'5.Variables'!$F100,+IF(M$18='5.Variables'!$B$104,+'5.Variables'!$F114,0))))))</f>
        <v>13.28</v>
      </c>
      <c r="N119" s="599">
        <f>IF(N$18='5.Variables'!$B$16,+'5.Variables'!$F34,+IF(N$18='5.Variables'!$B$39,+'5.Variables'!$F58,+IF(N$18='5.Variables'!$B$62,+'5.Variables'!$F72,+IF(N$18='5.Variables'!$B$76,+'5.Variables'!$F86,+IF(N$18='5.Variables'!$B$90,+'5.Variables'!$F100,+IF(N$18='5.Variables'!$B$104,+'5.Variables'!$F114,0))))))</f>
        <v>0</v>
      </c>
      <c r="O119" s="928">
        <v>0</v>
      </c>
      <c r="P119" s="200"/>
      <c r="Q119" s="469">
        <f t="shared" si="9"/>
        <v>6806796.916688107</v>
      </c>
      <c r="R119" s="216"/>
      <c r="S119" s="200"/>
      <c r="T119" s="200"/>
      <c r="U119" s="200"/>
      <c r="V119" s="200"/>
      <c r="W119" s="200"/>
      <c r="X119" s="200"/>
      <c r="Y119" s="200"/>
      <c r="Z119" s="200"/>
      <c r="AA119" s="200"/>
      <c r="AB119" s="200"/>
      <c r="AC119" s="200"/>
      <c r="AD119" s="200"/>
      <c r="AE119" s="200"/>
      <c r="AF119" s="200"/>
      <c r="AG119" s="200"/>
      <c r="AH119" s="200"/>
      <c r="AI119" s="200"/>
      <c r="AJ119" s="200"/>
      <c r="AK119" s="200"/>
      <c r="AL119" s="200"/>
    </row>
    <row r="120" spans="1:38">
      <c r="A120" s="435">
        <f t="shared" si="10"/>
        <v>101</v>
      </c>
      <c r="B120" s="871" t="str">
        <f>CONCATENATE('3. Consumption by Rate Class'!B125,"-",'3. Consumption by Rate Class'!C125)</f>
        <v>2021-May</v>
      </c>
      <c r="C120" s="870">
        <v>6758591.7699999996</v>
      </c>
      <c r="D120" s="934">
        <v>0</v>
      </c>
      <c r="E120" s="935">
        <v>0</v>
      </c>
      <c r="F120" s="941">
        <v>-1619.1599999999999</v>
      </c>
      <c r="G120" s="875"/>
      <c r="H120" s="875"/>
      <c r="I120" s="469">
        <f t="shared" si="8"/>
        <v>6756972.6099999994</v>
      </c>
      <c r="J120" s="599">
        <f>IF(J$18='5.Variables'!$B$16,+'5.Variables'!$G35,+IF(J$18='5.Variables'!$B$39,+'5.Variables'!$G58,+IF(J$18='5.Variables'!$B$62,+'5.Variables'!$G72,+IF(J$18='5.Variables'!$B$76,+'5.Variables'!$G86,+IF(J$18='5.Variables'!$B$90,+'5.Variables'!$G100,+IF(J$18='5.Variables'!$B$104,+'5.Variables'!$G114,0))))))</f>
        <v>173.9</v>
      </c>
      <c r="K120" s="599">
        <f>IF(K$18='5.Variables'!$B$16,+'5.Variables'!$G34,+IF(K$18='5.Variables'!$B$39,+'5.Variables'!$G58,+IF(K$18='5.Variables'!$B$62,+'5.Variables'!$G72,+IF(K$18='5.Variables'!$B$76,+'5.Variables'!$G86,+IF(K$18='5.Variables'!$B$90,+'5.Variables'!$G100,+IF(K$18='5.Variables'!$B$104,+'5.Variables'!$G114,0))))))</f>
        <v>24.4</v>
      </c>
      <c r="L120" s="599">
        <f>IF(L$18='5.Variables'!$B$16,+'5.Variables'!$G34,+IF(L$18='5.Variables'!$B$39,+'5.Variables'!$G58,+IF(L$18='5.Variables'!$B$62,+'5.Variables'!$G72,+IF(L$18='5.Variables'!$B$76,+'5.Variables'!$G86,+IF(L$18='5.Variables'!$B$90,+'5.Variables'!$G100,+IF(L$18='5.Variables'!$B$104,+'5.Variables'!$G114,0))))))</f>
        <v>31</v>
      </c>
      <c r="M120" s="599">
        <f>IF(M$18='5.Variables'!$B$16,+'5.Variables'!$G34,+IF(M$18='5.Variables'!$B$39,+'5.Variables'!$G58,+IF(M$18='5.Variables'!$B$62,+'5.Variables'!$G72,+IF(M$18='5.Variables'!$B$76,+'5.Variables'!$G86,+IF(M$18='5.Variables'!$B$90,+'5.Variables'!$G100,+IF(M$18='5.Variables'!$B$104,+'5.Variables'!$G114,0))))))</f>
        <v>14.52</v>
      </c>
      <c r="N120" s="599">
        <f>IF(N$18='5.Variables'!$B$16,+'5.Variables'!$G34,+IF(N$18='5.Variables'!$B$39,+'5.Variables'!$G58,+IF(N$18='5.Variables'!$B$62,+'5.Variables'!$G72,+IF(N$18='5.Variables'!$B$76,+'5.Variables'!$G86,+IF(N$18='5.Variables'!$B$90,+'5.Variables'!$G100,+IF(N$18='5.Variables'!$B$104,+'5.Variables'!$G114,0))))))</f>
        <v>0</v>
      </c>
      <c r="O120" s="928">
        <v>0</v>
      </c>
      <c r="P120" s="200"/>
      <c r="Q120" s="469">
        <f t="shared" si="9"/>
        <v>6992335.0503826719</v>
      </c>
      <c r="R120" s="216"/>
      <c r="S120" s="200"/>
      <c r="T120" s="200"/>
      <c r="U120" s="200"/>
      <c r="V120" s="200"/>
      <c r="W120" s="200"/>
      <c r="X120" s="200"/>
      <c r="Y120" s="200"/>
      <c r="Z120" s="200"/>
      <c r="AA120" s="200"/>
      <c r="AB120" s="200"/>
      <c r="AC120" s="200"/>
      <c r="AD120" s="200"/>
      <c r="AE120" s="200"/>
      <c r="AF120" s="200"/>
      <c r="AG120" s="200"/>
      <c r="AH120" s="200"/>
      <c r="AI120" s="200"/>
      <c r="AJ120" s="200"/>
      <c r="AK120" s="200"/>
      <c r="AL120" s="200"/>
    </row>
    <row r="121" spans="1:38">
      <c r="A121" s="435">
        <f t="shared" si="10"/>
        <v>102</v>
      </c>
      <c r="B121" s="871" t="str">
        <f>CONCATENATE('3. Consumption by Rate Class'!B126,"-",'3. Consumption by Rate Class'!C126)</f>
        <v>2021-June</v>
      </c>
      <c r="C121" s="870">
        <v>7259419.1200000001</v>
      </c>
      <c r="D121" s="934">
        <v>0</v>
      </c>
      <c r="E121" s="935">
        <v>0</v>
      </c>
      <c r="F121" s="941">
        <v>0</v>
      </c>
      <c r="G121" s="875"/>
      <c r="H121" s="875"/>
      <c r="I121" s="469">
        <f t="shared" si="8"/>
        <v>7259419.1200000001</v>
      </c>
      <c r="J121" s="599">
        <f>IF(J$18='5.Variables'!$B$16,+'5.Variables'!$H35,+IF(J$18='5.Variables'!$B$39,+'5.Variables'!$H58,+IF(J$18='5.Variables'!$B$62,+'5.Variables'!$H72,+IF(J$18='5.Variables'!$B$76,+'5.Variables'!$H86,+IF(J$18='5.Variables'!$B$90,+'5.Variables'!$H100,+IF(J$18='5.Variables'!$B$104,+'5.Variables'!$H114,0))))))</f>
        <v>13.8</v>
      </c>
      <c r="K121" s="599">
        <f>IF(K$18='5.Variables'!$B$16,+'5.Variables'!$H34,+IF(K$18='5.Variables'!$B$39,+'5.Variables'!$H58,+IF(K$18='5.Variables'!$B$62,+'5.Variables'!$H72,+IF(K$18='5.Variables'!$B$76,+'5.Variables'!$H86,+IF(K$18='5.Variables'!$B$90,+'5.Variables'!$H100,+IF(K$18='5.Variables'!$B$104,+'5.Variables'!$H114,0))))))</f>
        <v>89.8</v>
      </c>
      <c r="L121" s="599">
        <f>IF(L$18='5.Variables'!$B$16,+'5.Variables'!$H34,+IF(L$18='5.Variables'!$B$39,+'5.Variables'!$H58,+IF(L$18='5.Variables'!$B$62,+'5.Variables'!$H72,+IF(L$18='5.Variables'!$B$76,+'5.Variables'!$H86,+IF(L$18='5.Variables'!$B$90,+'5.Variables'!$H100,+IF(L$18='5.Variables'!$B$104,+'5.Variables'!$H114,0))))))</f>
        <v>30</v>
      </c>
      <c r="M121" s="599">
        <f>IF(M$18='5.Variables'!$B$16,+'5.Variables'!$H34,+IF(M$18='5.Variables'!$B$39,+'5.Variables'!$H58,+IF(M$18='5.Variables'!$B$62,+'5.Variables'!$H72,+IF(M$18='5.Variables'!$B$76,+'5.Variables'!$H86,+IF(M$18='5.Variables'!$B$90,+'5.Variables'!$H100,+IF(M$18='5.Variables'!$B$104,+'5.Variables'!$H114,0))))))</f>
        <v>15.35</v>
      </c>
      <c r="N121" s="599">
        <f>IF(N$18='5.Variables'!$B$16,+'5.Variables'!$H34,+IF(N$18='5.Variables'!$B$39,+'5.Variables'!$H58,+IF(N$18='5.Variables'!$B$62,+'5.Variables'!$H72,+IF(N$18='5.Variables'!$B$76,+'5.Variables'!$H86,+IF(N$18='5.Variables'!$B$90,+'5.Variables'!$H100,+IF(N$18='5.Variables'!$B$104,+'5.Variables'!$H114,0))))))</f>
        <v>0</v>
      </c>
      <c r="O121" s="928">
        <v>0</v>
      </c>
      <c r="P121" s="200"/>
      <c r="Q121" s="469">
        <f t="shared" si="9"/>
        <v>7346805.1060288185</v>
      </c>
      <c r="R121" s="216"/>
      <c r="S121" s="200"/>
      <c r="T121" s="200"/>
      <c r="U121" s="200"/>
      <c r="V121" s="200"/>
      <c r="W121" s="200"/>
      <c r="X121" s="200"/>
      <c r="Y121" s="200"/>
      <c r="Z121" s="200"/>
      <c r="AA121" s="200"/>
      <c r="AB121" s="200"/>
      <c r="AC121" s="200"/>
      <c r="AD121" s="200"/>
      <c r="AE121" s="200"/>
      <c r="AF121" s="200"/>
      <c r="AG121" s="200"/>
      <c r="AH121" s="200"/>
      <c r="AI121" s="200"/>
      <c r="AJ121" s="200"/>
      <c r="AK121" s="200"/>
      <c r="AL121" s="200"/>
    </row>
    <row r="122" spans="1:38">
      <c r="A122" s="435">
        <f t="shared" si="10"/>
        <v>103</v>
      </c>
      <c r="B122" s="871" t="str">
        <f>CONCATENATE('3. Consumption by Rate Class'!B127,"-",'3. Consumption by Rate Class'!C127)</f>
        <v>2021-July</v>
      </c>
      <c r="C122" s="870">
        <v>7436255.2999999998</v>
      </c>
      <c r="D122" s="934">
        <v>0</v>
      </c>
      <c r="E122" s="935">
        <v>0</v>
      </c>
      <c r="F122" s="941">
        <v>0</v>
      </c>
      <c r="G122" s="875"/>
      <c r="H122" s="875"/>
      <c r="I122" s="469">
        <f t="shared" si="8"/>
        <v>7436255.2999999998</v>
      </c>
      <c r="J122" s="599">
        <f>IF(J$18='5.Variables'!$B$16,+'5.Variables'!$I35,+IF(J$18='5.Variables'!$B$39,+'5.Variables'!$I58,+IF(J$18='5.Variables'!$B$62,+'5.Variables'!$I72,+IF(J$18='5.Variables'!$B$76,+'5.Variables'!$I86,+IF(J$18='5.Variables'!$B$90,+'5.Variables'!$I100,+IF(J$18='5.Variables'!$B$104,+'5.Variables'!$I114,0))))))</f>
        <v>16.100000000000001</v>
      </c>
      <c r="K122" s="599">
        <f>IF(K$18='5.Variables'!$B$16,+'5.Variables'!$I34,+IF(K$18='5.Variables'!$B$39,+'5.Variables'!$I58,+IF(K$18='5.Variables'!$B$62,+'5.Variables'!$I72,+IF(K$18='5.Variables'!$B$76,+'5.Variables'!$I86,+IF(K$18='5.Variables'!$B$90,+'5.Variables'!$I100,+IF(K$18='5.Variables'!$B$104,+'5.Variables'!$I114,0))))))</f>
        <v>64.5</v>
      </c>
      <c r="L122" s="599">
        <f>IF(L$18='5.Variables'!$B$16,+'5.Variables'!$I34,+IF(L$18='5.Variables'!$B$39,+'5.Variables'!$I58,+IF(L$18='5.Variables'!$B$62,+'5.Variables'!$I72,+IF(L$18='5.Variables'!$B$76,+'5.Variables'!$I86,+IF(L$18='5.Variables'!$B$90,+'5.Variables'!$I100,+IF(L$18='5.Variables'!$B$104,+'5.Variables'!$I114,0))))))</f>
        <v>31</v>
      </c>
      <c r="M122" s="599">
        <f>IF(M$18='5.Variables'!$B$16,+'5.Variables'!$I34,+IF(M$18='5.Variables'!$B$39,+'5.Variables'!$I58,+IF(M$18='5.Variables'!$B$62,+'5.Variables'!$I72,+IF(M$18='5.Variables'!$B$76,+'5.Variables'!$I86,+IF(M$18='5.Variables'!$B$90,+'5.Variables'!$I100,+IF(M$18='5.Variables'!$B$104,+'5.Variables'!$I114,0))))))</f>
        <v>15.15</v>
      </c>
      <c r="N122" s="599">
        <f>IF(N$18='5.Variables'!$B$16,+'5.Variables'!$I34,+IF(N$18='5.Variables'!$B$39,+'5.Variables'!$I58,+IF(N$18='5.Variables'!$B$62,+'5.Variables'!$I72,+IF(N$18='5.Variables'!$B$76,+'5.Variables'!$I86,+IF(N$18='5.Variables'!$B$90,+'5.Variables'!$I100,+IF(N$18='5.Variables'!$B$104,+'5.Variables'!$I114,0))))))</f>
        <v>0</v>
      </c>
      <c r="O122" s="928">
        <v>0</v>
      </c>
      <c r="P122" s="200"/>
      <c r="Q122" s="469">
        <f t="shared" si="9"/>
        <v>7129995.8730199123</v>
      </c>
      <c r="R122" s="216"/>
      <c r="S122" s="200"/>
      <c r="T122" s="200"/>
      <c r="U122" s="200"/>
      <c r="V122" s="200"/>
      <c r="W122" s="200"/>
      <c r="X122" s="200"/>
      <c r="Y122" s="200"/>
      <c r="Z122" s="200"/>
      <c r="AA122" s="200"/>
      <c r="AB122" s="200"/>
      <c r="AC122" s="200"/>
      <c r="AD122" s="200"/>
      <c r="AE122" s="200"/>
      <c r="AF122" s="200"/>
      <c r="AG122" s="200"/>
      <c r="AH122" s="200"/>
      <c r="AI122" s="200"/>
      <c r="AJ122" s="200"/>
      <c r="AK122" s="200"/>
      <c r="AL122" s="200"/>
    </row>
    <row r="123" spans="1:38">
      <c r="A123" s="435">
        <f t="shared" si="10"/>
        <v>104</v>
      </c>
      <c r="B123" s="871" t="str">
        <f>CONCATENATE('3. Consumption by Rate Class'!B128,"-",'3. Consumption by Rate Class'!C128)</f>
        <v>2021-August</v>
      </c>
      <c r="C123" s="870">
        <v>8162059.2199999997</v>
      </c>
      <c r="D123" s="934">
        <v>0</v>
      </c>
      <c r="E123" s="935">
        <v>0</v>
      </c>
      <c r="F123" s="941">
        <v>0</v>
      </c>
      <c r="G123" s="875"/>
      <c r="H123" s="875"/>
      <c r="I123" s="469">
        <f t="shared" si="8"/>
        <v>8162059.2199999997</v>
      </c>
      <c r="J123" s="599">
        <f>IF(J$18='5.Variables'!$B$16,+'5.Variables'!$J35,+IF(J$18='5.Variables'!$B$39,+'5.Variables'!$J58,+IF(J$18='5.Variables'!$B$62,+'5.Variables'!$J72,+IF(J$18='5.Variables'!$B$76,+'5.Variables'!$J86,+IF(J$18='5.Variables'!$B$90,+'5.Variables'!$J100,+IF(J$18='5.Variables'!$B$104,+'5.Variables'!$J114,0))))))</f>
        <v>4.4000000000000004</v>
      </c>
      <c r="K123" s="599">
        <f>IF(K$18='5.Variables'!$B$16,+'5.Variables'!$J34,+IF(K$18='5.Variables'!$B$39,+'5.Variables'!$J58,+IF(K$18='5.Variables'!$B$62,+'5.Variables'!$J72,+IF(K$18='5.Variables'!$B$76,+'5.Variables'!$J86,+IF(K$18='5.Variables'!$B$90,+'5.Variables'!$J100,+IF(K$18='5.Variables'!$B$104,+'5.Variables'!$J114,0))))))</f>
        <v>136</v>
      </c>
      <c r="L123" s="599">
        <f>IF(L$18='5.Variables'!$B$16,+'5.Variables'!$J34,+IF(L$18='5.Variables'!$B$39,+'5.Variables'!$J58,+IF(L$18='5.Variables'!$B$62,+'5.Variables'!$J72,+IF(L$18='5.Variables'!$B$76,+'5.Variables'!$J86,+IF(L$18='5.Variables'!$B$90,+'5.Variables'!$J100,+IF(L$18='5.Variables'!$B$104,+'5.Variables'!$J114,0))))))</f>
        <v>31</v>
      </c>
      <c r="M123" s="599">
        <f>IF(M$18='5.Variables'!$B$16,+'5.Variables'!$J34,+IF(M$18='5.Variables'!$B$39,+'5.Variables'!$J58,+IF(M$18='5.Variables'!$B$62,+'5.Variables'!$J72,+IF(M$18='5.Variables'!$B$76,+'5.Variables'!$J86,+IF(M$18='5.Variables'!$B$90,+'5.Variables'!$J100,+IF(M$18='5.Variables'!$B$104,+'5.Variables'!$J114,0))))))</f>
        <v>14.03</v>
      </c>
      <c r="N123" s="599">
        <f>IF(N$18='5.Variables'!$B$16,+'5.Variables'!$J34,+IF(N$18='5.Variables'!$B$39,+'5.Variables'!$J58,+IF(N$18='5.Variables'!$B$62,+'5.Variables'!$J72,+IF(N$18='5.Variables'!$B$76,+'5.Variables'!$J86,+IF(N$18='5.Variables'!$B$90,+'5.Variables'!$J100,+IF(N$18='5.Variables'!$B$104,+'5.Variables'!$J114,0))))))</f>
        <v>0</v>
      </c>
      <c r="O123" s="928">
        <v>0</v>
      </c>
      <c r="P123" s="200"/>
      <c r="Q123" s="469">
        <f t="shared" si="9"/>
        <v>8156400.754404421</v>
      </c>
      <c r="R123" s="216"/>
      <c r="S123" s="200"/>
      <c r="T123" s="200"/>
      <c r="U123" s="200"/>
      <c r="V123" s="200"/>
      <c r="W123" s="200"/>
      <c r="X123" s="200"/>
      <c r="Y123" s="200"/>
      <c r="Z123" s="200"/>
      <c r="AA123" s="200"/>
      <c r="AB123" s="200"/>
      <c r="AC123" s="200"/>
      <c r="AD123" s="200"/>
      <c r="AE123" s="200"/>
      <c r="AF123" s="200"/>
      <c r="AG123" s="200"/>
      <c r="AH123" s="200"/>
      <c r="AI123" s="200"/>
      <c r="AJ123" s="200"/>
      <c r="AK123" s="200"/>
      <c r="AL123" s="200"/>
    </row>
    <row r="124" spans="1:38">
      <c r="A124" s="435">
        <f t="shared" si="10"/>
        <v>105</v>
      </c>
      <c r="B124" s="871" t="str">
        <f>CONCATENATE('3. Consumption by Rate Class'!B129,"-",'3. Consumption by Rate Class'!C129)</f>
        <v>2021-September</v>
      </c>
      <c r="C124" s="870">
        <v>6440145.0599999996</v>
      </c>
      <c r="D124" s="934">
        <v>0</v>
      </c>
      <c r="E124" s="935">
        <v>0</v>
      </c>
      <c r="F124" s="941">
        <v>0</v>
      </c>
      <c r="G124" s="875"/>
      <c r="H124" s="875"/>
      <c r="I124" s="469">
        <f t="shared" si="8"/>
        <v>6440145.0599999996</v>
      </c>
      <c r="J124" s="599">
        <f>IF(J$18='5.Variables'!$B$16,+'5.Variables'!$K35,+IF(J$18='5.Variables'!$B$39,+'5.Variables'!$K58,+IF(J$18='5.Variables'!$B$62,+'5.Variables'!$K72,+IF(J$18='5.Variables'!$B$76,+'5.Variables'!$K86,+IF(J$18='5.Variables'!$B$90,+'5.Variables'!$K100,+IF(J$18='5.Variables'!$B$104,+'5.Variables'!$K114,0))))))</f>
        <v>69.5</v>
      </c>
      <c r="K124" s="599">
        <f>IF(K$18='5.Variables'!$B$16,+'5.Variables'!$K34,+IF(K$18='5.Variables'!$B$39,+'5.Variables'!$K58,+IF(K$18='5.Variables'!$B$62,+'5.Variables'!$K72,+IF(K$18='5.Variables'!$B$76,+'5.Variables'!$K86,+IF(K$18='5.Variables'!$B$90,+'5.Variables'!$K100,+IF(K$18='5.Variables'!$B$104,+'5.Variables'!$K114,0))))))</f>
        <v>4.7</v>
      </c>
      <c r="L124" s="599">
        <f>IF(L$18='5.Variables'!$B$16,+'5.Variables'!$K34,+IF(L$18='5.Variables'!$B$39,+'5.Variables'!$K58,+IF(L$18='5.Variables'!$B$62,+'5.Variables'!$K72,+IF(L$18='5.Variables'!$B$76,+'5.Variables'!$K86,+IF(L$18='5.Variables'!$B$90,+'5.Variables'!$K100,+IF(L$18='5.Variables'!$B$104,+'5.Variables'!$K114,0))))))</f>
        <v>30</v>
      </c>
      <c r="M124" s="599">
        <f>IF(M$18='5.Variables'!$B$16,+'5.Variables'!$K34,+IF(M$18='5.Variables'!$B$39,+'5.Variables'!$K58,+IF(M$18='5.Variables'!$B$62,+'5.Variables'!$K72,+IF(M$18='5.Variables'!$B$76,+'5.Variables'!$K86,+IF(M$18='5.Variables'!$B$90,+'5.Variables'!$K100,+IF(M$18='5.Variables'!$B$104,+'5.Variables'!$K114,0))))))</f>
        <v>12.29</v>
      </c>
      <c r="N124" s="599">
        <f>IF(N$18='5.Variables'!$B$16,+'5.Variables'!$K34,+IF(N$18='5.Variables'!$B$39,+'5.Variables'!$K58,+IF(N$18='5.Variables'!$B$62,+'5.Variables'!$K72,+IF(N$18='5.Variables'!$B$76,+'5.Variables'!$K86,+IF(N$18='5.Variables'!$B$90,+'5.Variables'!$K100,+IF(N$18='5.Variables'!$B$104,+'5.Variables'!$K114,0))))))</f>
        <v>0</v>
      </c>
      <c r="O124" s="928">
        <v>0</v>
      </c>
      <c r="P124" s="200"/>
      <c r="Q124" s="469">
        <f t="shared" si="9"/>
        <v>6170290.123971791</v>
      </c>
      <c r="R124" s="216"/>
      <c r="S124" s="200"/>
      <c r="T124" s="200"/>
      <c r="U124" s="200"/>
      <c r="V124" s="200"/>
      <c r="W124" s="200"/>
      <c r="X124" s="200"/>
      <c r="Y124" s="200"/>
      <c r="Z124" s="200"/>
      <c r="AA124" s="200"/>
      <c r="AB124" s="200"/>
      <c r="AC124" s="200"/>
      <c r="AD124" s="200"/>
      <c r="AE124" s="200"/>
      <c r="AF124" s="200"/>
      <c r="AG124" s="200"/>
      <c r="AH124" s="200"/>
      <c r="AI124" s="200"/>
      <c r="AJ124" s="200"/>
      <c r="AK124" s="200"/>
      <c r="AL124" s="200"/>
    </row>
    <row r="125" spans="1:38">
      <c r="A125" s="435">
        <f t="shared" si="10"/>
        <v>106</v>
      </c>
      <c r="B125" s="871" t="str">
        <f>CONCATENATE('3. Consumption by Rate Class'!B130,"-",'3. Consumption by Rate Class'!C130)</f>
        <v>2021-October</v>
      </c>
      <c r="C125" s="870">
        <v>6683692.8200000003</v>
      </c>
      <c r="D125" s="934">
        <v>0</v>
      </c>
      <c r="E125" s="935">
        <v>0</v>
      </c>
      <c r="F125" s="941">
        <v>0</v>
      </c>
      <c r="G125" s="875"/>
      <c r="H125" s="875"/>
      <c r="I125" s="469">
        <f t="shared" si="8"/>
        <v>6683692.8200000003</v>
      </c>
      <c r="J125" s="599">
        <f>IF(J$18='5.Variables'!$B$16,+'5.Variables'!$L35,+IF(J$18='5.Variables'!$B$39,+'5.Variables'!$L58,+IF(J$18='5.Variables'!$B$62,+'5.Variables'!$L72,+IF(J$18='5.Variables'!$B$76,+'5.Variables'!$L86,+IF(J$18='5.Variables'!$B$90,+'5.Variables'!$L100,+IF(J$18='5.Variables'!$B$104,+'5.Variables'!$L114,0))))))</f>
        <v>196.1</v>
      </c>
      <c r="K125" s="599">
        <f>IF(K$18='5.Variables'!$B$16,+'5.Variables'!$L34,+IF(K$18='5.Variables'!$B$39,+'5.Variables'!$L58,+IF(K$18='5.Variables'!$B$62,+'5.Variables'!$L72,+IF(K$18='5.Variables'!$B$76,+'5.Variables'!$L86,+IF(K$18='5.Variables'!$B$90,+'5.Variables'!$L100,+IF(K$18='5.Variables'!$B$104,+'5.Variables'!$L114,0))))))</f>
        <v>0.7</v>
      </c>
      <c r="L125" s="599">
        <f>IF(L$18='5.Variables'!$B$16,+'5.Variables'!$L34,+IF(L$18='5.Variables'!$B$39,+'5.Variables'!$L58,+IF(L$18='5.Variables'!$B$62,+'5.Variables'!$L72,+IF(L$18='5.Variables'!$B$76,+'5.Variables'!$L86,+IF(L$18='5.Variables'!$B$90,+'5.Variables'!$L100,+IF(L$18='5.Variables'!$B$104,+'5.Variables'!$L114,0))))))</f>
        <v>31</v>
      </c>
      <c r="M125" s="599">
        <f>IF(M$18='5.Variables'!$B$16,+'5.Variables'!$L34,+IF(M$18='5.Variables'!$B$39,+'5.Variables'!$L58,+IF(M$18='5.Variables'!$B$62,+'5.Variables'!$L72,+IF(M$18='5.Variables'!$B$76,+'5.Variables'!$L86,+IF(M$18='5.Variables'!$B$90,+'5.Variables'!$L100,+IF(M$18='5.Variables'!$B$104,+'5.Variables'!$L114,0))))))</f>
        <v>10.51</v>
      </c>
      <c r="N125" s="599">
        <f>IF(N$18='5.Variables'!$B$16,+'5.Variables'!$L34,+IF(N$18='5.Variables'!$B$39,+'5.Variables'!$L58,+IF(N$18='5.Variables'!$B$62,+'5.Variables'!$L72,+IF(N$18='5.Variables'!$B$76,+'5.Variables'!$L86,+IF(N$18='5.Variables'!$B$90,+'5.Variables'!$L100,+IF(N$18='5.Variables'!$B$104,+'5.Variables'!$L114,0))))))</f>
        <v>0</v>
      </c>
      <c r="O125" s="928">
        <v>0</v>
      </c>
      <c r="P125" s="200"/>
      <c r="Q125" s="469">
        <f t="shared" si="9"/>
        <v>6625879.6983926622</v>
      </c>
      <c r="R125" s="216"/>
      <c r="S125" s="200"/>
      <c r="T125" s="200"/>
      <c r="U125" s="200"/>
      <c r="V125" s="200"/>
      <c r="W125" s="200"/>
      <c r="X125" s="200"/>
      <c r="Y125" s="200"/>
      <c r="Z125" s="200"/>
      <c r="AA125" s="200"/>
      <c r="AB125" s="200"/>
      <c r="AC125" s="200"/>
      <c r="AD125" s="200"/>
      <c r="AE125" s="200"/>
      <c r="AF125" s="200"/>
      <c r="AG125" s="200"/>
      <c r="AH125" s="200"/>
      <c r="AI125" s="200"/>
      <c r="AJ125" s="200"/>
      <c r="AK125" s="200"/>
      <c r="AL125" s="200"/>
    </row>
    <row r="126" spans="1:38">
      <c r="A126" s="435">
        <f t="shared" si="10"/>
        <v>107</v>
      </c>
      <c r="B126" s="871" t="str">
        <f>CONCATENATE('3. Consumption by Rate Class'!B131,"-",'3. Consumption by Rate Class'!C131)</f>
        <v>2021-November</v>
      </c>
      <c r="C126" s="870">
        <v>7132445.2641586075</v>
      </c>
      <c r="D126" s="934">
        <v>0</v>
      </c>
      <c r="E126" s="935">
        <v>0</v>
      </c>
      <c r="F126" s="941">
        <v>0</v>
      </c>
      <c r="G126" s="875"/>
      <c r="H126" s="875"/>
      <c r="I126" s="469">
        <f t="shared" si="8"/>
        <v>7132445.2641586075</v>
      </c>
      <c r="J126" s="599">
        <f>IF(J$18='5.Variables'!$B$16,+'5.Variables'!$M35,+IF(J$18='5.Variables'!$B$39,+'5.Variables'!$M58,+IF(J$18='5.Variables'!$B$62,+'5.Variables'!$M72,+IF(J$18='5.Variables'!$B$76,+'5.Variables'!$M86,+IF(J$18='5.Variables'!$B$90,+'5.Variables'!$M100,+IF(J$18='5.Variables'!$B$104,+'5.Variables'!$M114,0))))))</f>
        <v>509.3</v>
      </c>
      <c r="K126" s="599">
        <f>IF(K$18='5.Variables'!$B$16,+'5.Variables'!$M34,+IF(K$18='5.Variables'!$B$39,+'5.Variables'!$M58,+IF(K$18='5.Variables'!$B$62,+'5.Variables'!$M72,+IF(K$18='5.Variables'!$B$76,+'5.Variables'!$M86,+IF(K$18='5.Variables'!$B$90,+'5.Variables'!$M100,+IF(K$18='5.Variables'!$B$104,+'5.Variables'!$M114,0))))))</f>
        <v>0</v>
      </c>
      <c r="L126" s="599">
        <f>IF(L$18='5.Variables'!$B$16,+'5.Variables'!$M34,+IF(L$18='5.Variables'!$B$39,+'5.Variables'!$M58,+IF(L$18='5.Variables'!$B$62,+'5.Variables'!$M72,+IF(L$18='5.Variables'!$B$76,+'5.Variables'!$M86,+IF(L$18='5.Variables'!$B$90,+'5.Variables'!$M100,+IF(L$18='5.Variables'!$B$104,+'5.Variables'!$M114,0))))))</f>
        <v>30</v>
      </c>
      <c r="M126" s="599">
        <f>IF(M$18='5.Variables'!$B$16,+'5.Variables'!$M34,+IF(M$18='5.Variables'!$B$39,+'5.Variables'!$M58,+IF(M$18='5.Variables'!$B$62,+'5.Variables'!$M72,+IF(M$18='5.Variables'!$B$76,+'5.Variables'!$M86,+IF(M$18='5.Variables'!$B$90,+'5.Variables'!$M100,+IF(M$18='5.Variables'!$B$104,+'5.Variables'!$M114,0))))))</f>
        <v>9.2799999999999994</v>
      </c>
      <c r="N126" s="599">
        <f>IF(N$18='5.Variables'!$B$16,+'5.Variables'!$M34,+IF(N$18='5.Variables'!$B$39,+'5.Variables'!$M58,+IF(N$18='5.Variables'!$B$62,+'5.Variables'!$M72,+IF(N$18='5.Variables'!$B$76,+'5.Variables'!$M86,+IF(N$18='5.Variables'!$B$90,+'5.Variables'!$M100,+IF(N$18='5.Variables'!$B$104,+'5.Variables'!$M114,0))))))</f>
        <v>0</v>
      </c>
      <c r="O126" s="928">
        <v>0</v>
      </c>
      <c r="P126" s="200"/>
      <c r="Q126" s="469">
        <f t="shared" si="9"/>
        <v>7384920.53480021</v>
      </c>
      <c r="R126" s="216"/>
      <c r="S126" s="200"/>
      <c r="T126" s="200"/>
      <c r="U126" s="200"/>
      <c r="V126" s="200"/>
      <c r="W126" s="200"/>
      <c r="X126" s="200"/>
      <c r="Y126" s="200"/>
      <c r="Z126" s="200"/>
      <c r="AA126" s="200"/>
      <c r="AB126" s="200"/>
      <c r="AC126" s="200"/>
      <c r="AD126" s="200"/>
      <c r="AE126" s="200"/>
      <c r="AF126" s="200"/>
      <c r="AG126" s="200"/>
      <c r="AH126" s="200"/>
      <c r="AI126" s="200"/>
      <c r="AJ126" s="200"/>
      <c r="AK126" s="200"/>
      <c r="AL126" s="200"/>
    </row>
    <row r="127" spans="1:38">
      <c r="A127" s="435">
        <f t="shared" si="10"/>
        <v>108</v>
      </c>
      <c r="B127" s="451" t="str">
        <f>CONCATENATE('3. Consumption by Rate Class'!B132,"-",'3. Consumption by Rate Class'!C132)</f>
        <v>2021-December</v>
      </c>
      <c r="C127" s="584">
        <v>7987864.7000000002</v>
      </c>
      <c r="D127" s="940">
        <v>0</v>
      </c>
      <c r="E127" s="939">
        <v>0</v>
      </c>
      <c r="F127" s="939">
        <v>0</v>
      </c>
      <c r="G127" s="880"/>
      <c r="H127" s="880"/>
      <c r="I127" s="881">
        <f t="shared" si="8"/>
        <v>7987864.7000000002</v>
      </c>
      <c r="J127" s="599">
        <f>IF(J$18='5.Variables'!$B$16,+'5.Variables'!$N35,+IF(J$18='5.Variables'!$B$39,+'5.Variables'!$N58,+IF(J$18='5.Variables'!$B$62,+'5.Variables'!$N72,+IF(J$18='5.Variables'!$B$76,+'5.Variables'!$N86,+IF(J$18='5.Variables'!$B$90,+'5.Variables'!$N100,+IF(J$18='5.Variables'!$B$104,+'5.Variables'!$N114,0))))))</f>
        <v>692.7</v>
      </c>
      <c r="K127" s="599">
        <f>IF(K$18='5.Variables'!$B$16,+'5.Variables'!$N34,+IF(K$18='5.Variables'!$B$39,+'5.Variables'!$N58,+IF(K$18='5.Variables'!$B$62,+'5.Variables'!$N72,+IF(K$18='5.Variables'!$B$76,+'5.Variables'!$N86,+IF(K$18='5.Variables'!$B$90,+'5.Variables'!$N100,+IF(K$18='5.Variables'!$B$104,+'5.Variables'!$N114,0))))))</f>
        <v>0</v>
      </c>
      <c r="L127" s="599">
        <f>IF(L$18='5.Variables'!$B$16,+'5.Variables'!$N34,+IF(L$18='5.Variables'!$B$39,+'5.Variables'!$N58,+IF(L$18='5.Variables'!$B$62,+'5.Variables'!$N72,+IF(L$18='5.Variables'!$B$76,+'5.Variables'!$N86,+IF(L$18='5.Variables'!$B$90,+'5.Variables'!$N100,+IF(L$18='5.Variables'!$B$104,+'5.Variables'!$N114,0))))))</f>
        <v>31</v>
      </c>
      <c r="M127" s="599">
        <f>IF(M$18='5.Variables'!$B$16,+'5.Variables'!$N34,+IF(M$18='5.Variables'!$B$39,+'5.Variables'!$N58,+IF(M$18='5.Variables'!$B$62,+'5.Variables'!$N72,+IF(M$18='5.Variables'!$B$76,+'5.Variables'!$N86,+IF(M$18='5.Variables'!$B$90,+'5.Variables'!$N100,+IF(M$18='5.Variables'!$B$104,+'5.Variables'!$N114,0))))))</f>
        <v>8.4700000000000006</v>
      </c>
      <c r="N127" s="599">
        <f>IF(N$18='5.Variables'!$B$16,+'5.Variables'!$N34,+IF(N$18='5.Variables'!$B$39,+'5.Variables'!$N58,+IF(N$18='5.Variables'!$B$62,+'5.Variables'!$N72,+IF(N$18='5.Variables'!$B$76,+'5.Variables'!$N86,+IF(N$18='5.Variables'!$B$90,+'5.Variables'!$N100,+IF(N$18='5.Variables'!$B$104,+'5.Variables'!$N114,0))))))</f>
        <v>0</v>
      </c>
      <c r="O127" s="928">
        <v>0</v>
      </c>
      <c r="P127" s="200"/>
      <c r="Q127" s="469">
        <f t="shared" si="9"/>
        <v>8092645.8211621372</v>
      </c>
      <c r="R127" s="216">
        <f>SUM(Q116:Q127)</f>
        <v>88405826.871381938</v>
      </c>
      <c r="S127" s="200"/>
      <c r="T127" s="200"/>
      <c r="U127" s="200"/>
      <c r="V127" s="200"/>
      <c r="W127" s="200"/>
      <c r="X127" s="200"/>
      <c r="Y127" s="200"/>
      <c r="Z127" s="200"/>
      <c r="AA127" s="200"/>
      <c r="AB127" s="200"/>
      <c r="AC127" s="200"/>
      <c r="AD127" s="200"/>
      <c r="AE127" s="200"/>
      <c r="AF127" s="200"/>
      <c r="AG127" s="200"/>
      <c r="AH127" s="200"/>
      <c r="AI127" s="200"/>
      <c r="AJ127" s="200"/>
      <c r="AK127" s="200"/>
      <c r="AL127" s="200"/>
    </row>
    <row r="128" spans="1:38">
      <c r="A128" s="435">
        <f t="shared" si="10"/>
        <v>109</v>
      </c>
      <c r="B128" s="871" t="str">
        <f>CONCATENATE('3. Consumption by Rate Class'!B133,"-",'3. Consumption by Rate Class'!C133)</f>
        <v>2022-January</v>
      </c>
      <c r="C128" s="870">
        <v>9189014.803733075</v>
      </c>
      <c r="D128" s="934">
        <v>0</v>
      </c>
      <c r="E128" s="935">
        <v>0</v>
      </c>
      <c r="F128" s="941">
        <v>0</v>
      </c>
      <c r="G128" s="875"/>
      <c r="H128" s="875"/>
      <c r="I128" s="469">
        <f t="shared" si="8"/>
        <v>9189014.803733075</v>
      </c>
      <c r="J128" s="599">
        <f>IF(J$18='5.Variables'!$B$16,+'5.Variables'!$C36,+IF(J$18='5.Variables'!$B$39,+'5.Variables'!$C59,+IF(J$18='5.Variables'!$B$62,+'5.Variables'!$C73,+IF(J$18='5.Variables'!$B$76,+'5.Variables'!$C87,+IF(J$18='5.Variables'!$B$90,+'5.Variables'!$C101,+IF(J$18='5.Variables'!$B$104,+'5.Variables'!$C115,0))))))</f>
        <v>1015.7</v>
      </c>
      <c r="K128" s="599">
        <f>IF(K$18='5.Variables'!$B$16,+'5.Variables'!$C35,+IF(K$18='5.Variables'!$B$39,+'5.Variables'!$C59,+IF(K$18='5.Variables'!$B$62,+'5.Variables'!$C73,+IF(K$18='5.Variables'!$B$76,+'5.Variables'!$C87,+IF(K$18='5.Variables'!$B$90,+'5.Variables'!$C101,+IF(K$18='5.Variables'!$B$104,+'5.Variables'!$C115,0))))))</f>
        <v>0</v>
      </c>
      <c r="L128" s="599">
        <f>IF(L$18='5.Variables'!$B$16,+'5.Variables'!$C35,+IF(L$18='5.Variables'!$B$39,+'5.Variables'!$C59,+IF(L$18='5.Variables'!$B$62,+'5.Variables'!$C73,+IF(L$18='5.Variables'!$B$76,+'5.Variables'!$C87,+IF(L$18='5.Variables'!$B$90,+'5.Variables'!$C101,+IF(L$18='5.Variables'!$B$104,+'5.Variables'!$C115,0))))))</f>
        <v>31</v>
      </c>
      <c r="M128" s="599">
        <f>IF(M$18='5.Variables'!$B$16,+'5.Variables'!$C35,+IF(M$18='5.Variables'!$B$39,+'5.Variables'!$C59,+IF(M$18='5.Variables'!$B$62,+'5.Variables'!$C73,+IF(M$18='5.Variables'!$B$76,+'5.Variables'!$C87,+IF(M$18='5.Variables'!$B$90,+'5.Variables'!$C101,+IF(M$18='5.Variables'!$B$104,+'5.Variables'!$C115,0))))))</f>
        <v>9.09</v>
      </c>
      <c r="N128" s="599">
        <f>IF(N$18='5.Variables'!$B$16,+'5.Variables'!$C35,+IF(N$18='5.Variables'!$B$39,+'5.Variables'!$C59,+IF(N$18='5.Variables'!$B$62,+'5.Variables'!$C73,+IF(N$18='5.Variables'!$B$76,+'5.Variables'!$C87,+IF(N$18='5.Variables'!$B$90,+'5.Variables'!$C101,+IF(N$18='5.Variables'!$B$104,+'5.Variables'!$C115,0))))))</f>
        <v>0</v>
      </c>
      <c r="O128" s="928">
        <v>0</v>
      </c>
      <c r="P128" s="200"/>
      <c r="Q128" s="469">
        <f t="shared" si="9"/>
        <v>9090066.6492457669</v>
      </c>
      <c r="R128" s="216"/>
      <c r="S128" s="200"/>
      <c r="T128" s="200"/>
      <c r="U128" s="200"/>
      <c r="V128" s="200"/>
      <c r="W128" s="200"/>
      <c r="X128" s="200"/>
      <c r="Y128" s="200"/>
      <c r="Z128" s="200"/>
      <c r="AA128" s="200"/>
      <c r="AB128" s="200"/>
      <c r="AC128" s="200"/>
      <c r="AD128" s="200"/>
      <c r="AE128" s="200"/>
      <c r="AF128" s="200"/>
      <c r="AG128" s="200"/>
      <c r="AH128" s="200"/>
      <c r="AI128" s="200"/>
      <c r="AJ128" s="200"/>
      <c r="AK128" s="200"/>
      <c r="AL128" s="200"/>
    </row>
    <row r="129" spans="1:38">
      <c r="A129" s="435">
        <f t="shared" si="10"/>
        <v>110</v>
      </c>
      <c r="B129" s="871" t="str">
        <f>CONCATENATE('3. Consumption by Rate Class'!B134,"-",'3. Consumption by Rate Class'!C134)</f>
        <v>2022-February</v>
      </c>
      <c r="C129" s="870">
        <v>7949161.3421856873</v>
      </c>
      <c r="D129" s="934">
        <v>0</v>
      </c>
      <c r="E129" s="935">
        <v>0</v>
      </c>
      <c r="F129" s="941">
        <v>0</v>
      </c>
      <c r="G129" s="875"/>
      <c r="H129" s="875"/>
      <c r="I129" s="469">
        <f t="shared" si="8"/>
        <v>7949161.3421856873</v>
      </c>
      <c r="J129" s="599">
        <f>IF(J$18='5.Variables'!$B$16,+'5.Variables'!$D36,+IF(J$18='5.Variables'!$B$39,+'5.Variables'!$D59,+IF(J$18='5.Variables'!$B$62,+'5.Variables'!$D73,+IF(J$18='5.Variables'!$B$76,+'5.Variables'!$D87,+IF(J$18='5.Variables'!$B$90,+'5.Variables'!$D101,+IF(J$18='5.Variables'!$B$104,+'5.Variables'!$D115,0))))))</f>
        <v>722.8</v>
      </c>
      <c r="K129" s="599">
        <f>IF(K$18='5.Variables'!$B$16,+'5.Variables'!$D35,+IF(K$18='5.Variables'!$B$39,+'5.Variables'!$D59,+IF(K$18='5.Variables'!$B$62,+'5.Variables'!$D73,+IF(K$18='5.Variables'!$B$76,+'5.Variables'!$D87,+IF(K$18='5.Variables'!$B$90,+'5.Variables'!$D101,+IF(K$18='5.Variables'!$B$104,+'5.Variables'!$D115,0))))))</f>
        <v>0</v>
      </c>
      <c r="L129" s="599">
        <f>IF(L$18='5.Variables'!$B$16,+'5.Variables'!$D35,+IF(L$18='5.Variables'!$B$39,+'5.Variables'!$D59,+IF(L$18='5.Variables'!$B$62,+'5.Variables'!$D73,+IF(L$18='5.Variables'!$B$76,+'5.Variables'!$D87,+IF(L$18='5.Variables'!$B$90,+'5.Variables'!$D101,+IF(L$18='5.Variables'!$B$104,+'5.Variables'!$D115,0))))))</f>
        <v>28</v>
      </c>
      <c r="M129" s="599">
        <f>IF(M$18='5.Variables'!$B$16,+'5.Variables'!$D35,+IF(M$18='5.Variables'!$B$39,+'5.Variables'!$D59,+IF(M$18='5.Variables'!$B$62,+'5.Variables'!$D73,+IF(M$18='5.Variables'!$B$76,+'5.Variables'!$D87,+IF(M$18='5.Variables'!$B$90,+'5.Variables'!$D101,+IF(M$18='5.Variables'!$B$104,+'5.Variables'!$D115,0))))))</f>
        <v>10.19</v>
      </c>
      <c r="N129" s="599">
        <f>IF(N$18='5.Variables'!$B$16,+'5.Variables'!$D35,+IF(N$18='5.Variables'!$B$39,+'5.Variables'!$D59,+IF(N$18='5.Variables'!$B$62,+'5.Variables'!$D73,+IF(N$18='5.Variables'!$B$76,+'5.Variables'!$D87,+IF(N$18='5.Variables'!$B$90,+'5.Variables'!$D101,+IF(N$18='5.Variables'!$B$104,+'5.Variables'!$D115,0))))))</f>
        <v>0</v>
      </c>
      <c r="O129" s="928">
        <v>0</v>
      </c>
      <c r="P129" s="200"/>
      <c r="Q129" s="469">
        <f t="shared" si="9"/>
        <v>7727230.9883674728</v>
      </c>
      <c r="R129" s="216"/>
      <c r="S129" s="200"/>
      <c r="T129" s="200"/>
      <c r="U129" s="200"/>
      <c r="V129" s="200"/>
      <c r="W129" s="200"/>
      <c r="X129" s="200"/>
      <c r="Y129" s="200"/>
      <c r="Z129" s="200"/>
      <c r="AA129" s="200"/>
      <c r="AB129" s="200"/>
      <c r="AC129" s="200"/>
      <c r="AD129" s="200"/>
      <c r="AE129" s="200"/>
      <c r="AF129" s="200"/>
      <c r="AG129" s="200"/>
      <c r="AH129" s="200"/>
      <c r="AI129" s="200"/>
      <c r="AJ129" s="200"/>
      <c r="AK129" s="200"/>
      <c r="AL129" s="200"/>
    </row>
    <row r="130" spans="1:38">
      <c r="A130" s="435">
        <f t="shared" si="10"/>
        <v>111</v>
      </c>
      <c r="B130" s="871" t="str">
        <f>CONCATENATE('3. Consumption by Rate Class'!B135,"-",'3. Consumption by Rate Class'!C135)</f>
        <v>2022-March</v>
      </c>
      <c r="C130" s="870">
        <v>8021381.7514506765</v>
      </c>
      <c r="D130" s="934">
        <v>0</v>
      </c>
      <c r="E130" s="935">
        <v>0</v>
      </c>
      <c r="F130" s="941">
        <v>0</v>
      </c>
      <c r="G130" s="875"/>
      <c r="H130" s="875"/>
      <c r="I130" s="469">
        <f t="shared" si="8"/>
        <v>8021381.7514506765</v>
      </c>
      <c r="J130" s="599">
        <f>IF(J$18='5.Variables'!$B$16,+'5.Variables'!$E36,+IF(J$18='5.Variables'!$B$39,+'5.Variables'!$E59,+IF(J$18='5.Variables'!$B$62,+'5.Variables'!$E73,+IF(J$18='5.Variables'!$B$76,+'5.Variables'!$E87,+IF(J$18='5.Variables'!$B$90,+'5.Variables'!$E101,+IF(J$18='5.Variables'!$B$104,+'5.Variables'!$E115,0))))))</f>
        <v>610.70000000000005</v>
      </c>
      <c r="K130" s="599">
        <f>IF(K$18='5.Variables'!$B$16,+'5.Variables'!$E35,+IF(K$18='5.Variables'!$B$39,+'5.Variables'!$E59,+IF(K$18='5.Variables'!$B$62,+'5.Variables'!$E73,+IF(K$18='5.Variables'!$B$76,+'5.Variables'!$E87,+IF(K$18='5.Variables'!$B$90,+'5.Variables'!$E101,+IF(K$18='5.Variables'!$B$104,+'5.Variables'!$E115,0))))))</f>
        <v>0</v>
      </c>
      <c r="L130" s="599">
        <f>IF(L$18='5.Variables'!$B$16,+'5.Variables'!$E35,+IF(L$18='5.Variables'!$B$39,+'5.Variables'!$E59,+IF(L$18='5.Variables'!$B$62,+'5.Variables'!$E73,+IF(L$18='5.Variables'!$B$76,+'5.Variables'!$E87,+IF(L$18='5.Variables'!$B$90,+'5.Variables'!$E101,+IF(L$18='5.Variables'!$B$104,+'5.Variables'!$E115,0))))))</f>
        <v>31</v>
      </c>
      <c r="M130" s="599">
        <f>IF(M$18='5.Variables'!$B$16,+'5.Variables'!$E35,+IF(M$18='5.Variables'!$B$39,+'5.Variables'!$E59,+IF(M$18='5.Variables'!$B$62,+'5.Variables'!$E73,+IF(M$18='5.Variables'!$B$76,+'5.Variables'!$E87,+IF(M$18='5.Variables'!$B$90,+'5.Variables'!$E101,+IF(M$18='5.Variables'!$B$104,+'5.Variables'!$E115,0))))))</f>
        <v>11.51</v>
      </c>
      <c r="N130" s="599">
        <f>IF(N$18='5.Variables'!$B$16,+'5.Variables'!$E35,+IF(N$18='5.Variables'!$B$39,+'5.Variables'!$E59,+IF(N$18='5.Variables'!$B$62,+'5.Variables'!$E73,+IF(N$18='5.Variables'!$B$76,+'5.Variables'!$E87,+IF(N$18='5.Variables'!$B$90,+'5.Variables'!$E101,+IF(N$18='5.Variables'!$B$104,+'5.Variables'!$E115,0))))))</f>
        <v>0</v>
      </c>
      <c r="O130" s="928">
        <v>0</v>
      </c>
      <c r="P130" s="200"/>
      <c r="Q130" s="469">
        <f t="shared" si="9"/>
        <v>7899384.9586984254</v>
      </c>
      <c r="R130" s="216"/>
      <c r="S130" s="200"/>
      <c r="T130" s="200"/>
      <c r="U130" s="200"/>
      <c r="V130" s="200"/>
      <c r="W130" s="200"/>
      <c r="X130" s="200"/>
      <c r="Y130" s="200"/>
      <c r="Z130" s="200"/>
      <c r="AA130" s="200"/>
      <c r="AB130" s="200"/>
      <c r="AC130" s="200"/>
      <c r="AD130" s="200"/>
      <c r="AE130" s="200"/>
      <c r="AF130" s="200"/>
      <c r="AG130" s="200"/>
      <c r="AH130" s="200"/>
      <c r="AI130" s="200"/>
      <c r="AJ130" s="200"/>
      <c r="AK130" s="200"/>
      <c r="AL130" s="200"/>
    </row>
    <row r="131" spans="1:38">
      <c r="A131" s="435">
        <f t="shared" si="10"/>
        <v>112</v>
      </c>
      <c r="B131" s="871" t="str">
        <f>CONCATENATE('3. Consumption by Rate Class'!B136,"-",'3. Consumption by Rate Class'!C136)</f>
        <v>2022-April</v>
      </c>
      <c r="C131" s="929">
        <v>6795597.5807736944</v>
      </c>
      <c r="D131" s="934">
        <v>0</v>
      </c>
      <c r="E131" s="935">
        <v>0</v>
      </c>
      <c r="F131" s="941">
        <v>0</v>
      </c>
      <c r="G131" s="875"/>
      <c r="H131" s="875"/>
      <c r="I131" s="469">
        <f t="shared" si="8"/>
        <v>6795597.5807736944</v>
      </c>
      <c r="J131" s="599">
        <f>IF(J$18='5.Variables'!$B$16,+'5.Variables'!$F36,+IF(J$18='5.Variables'!$B$39,+'5.Variables'!$F59,+IF(J$18='5.Variables'!$B$62,+'5.Variables'!$F73,+IF(J$18='5.Variables'!$B$76,+'5.Variables'!$F87,+IF(J$18='5.Variables'!$B$90,+'5.Variables'!$F101,+IF(J$18='5.Variables'!$B$104,+'5.Variables'!$F115,0))))))</f>
        <v>363.6</v>
      </c>
      <c r="K131" s="599">
        <f>IF(K$18='5.Variables'!$B$16,+'5.Variables'!$F35,+IF(K$18='5.Variables'!$B$39,+'5.Variables'!$F59,+IF(K$18='5.Variables'!$B$62,+'5.Variables'!$F73,+IF(K$18='5.Variables'!$B$76,+'5.Variables'!$F87,+IF(K$18='5.Variables'!$B$90,+'5.Variables'!$F101,+IF(K$18='5.Variables'!$B$104,+'5.Variables'!$F115,0))))))</f>
        <v>0</v>
      </c>
      <c r="L131" s="599">
        <f>IF(L$18='5.Variables'!$B$16,+'5.Variables'!$F35,+IF(L$18='5.Variables'!$B$39,+'5.Variables'!$F59,+IF(L$18='5.Variables'!$B$62,+'5.Variables'!$F73,+IF(L$18='5.Variables'!$B$76,+'5.Variables'!$F87,+IF(L$18='5.Variables'!$B$90,+'5.Variables'!$F101,+IF(L$18='5.Variables'!$B$104,+'5.Variables'!$F115,0))))))</f>
        <v>30</v>
      </c>
      <c r="M131" s="599">
        <f>IF(M$18='5.Variables'!$B$16,+'5.Variables'!$F35,+IF(M$18='5.Variables'!$B$39,+'5.Variables'!$F59,+IF(M$18='5.Variables'!$B$62,+'5.Variables'!$F73,+IF(M$18='5.Variables'!$B$76,+'5.Variables'!$F87,+IF(M$18='5.Variables'!$B$90,+'5.Variables'!$F101,+IF(M$18='5.Variables'!$B$104,+'5.Variables'!$F115,0))))))</f>
        <v>13.28</v>
      </c>
      <c r="N131" s="599">
        <f>IF(N$18='5.Variables'!$B$16,+'5.Variables'!$F35,+IF(N$18='5.Variables'!$B$39,+'5.Variables'!$F59,+IF(N$18='5.Variables'!$B$62,+'5.Variables'!$F73,+IF(N$18='5.Variables'!$B$76,+'5.Variables'!$F87,+IF(N$18='5.Variables'!$B$90,+'5.Variables'!$F101,+IF(N$18='5.Variables'!$B$104,+'5.Variables'!$F115,0))))))</f>
        <v>0</v>
      </c>
      <c r="O131" s="928">
        <v>0</v>
      </c>
      <c r="P131" s="200"/>
      <c r="Q131" s="469">
        <f t="shared" si="9"/>
        <v>7015248.353477437</v>
      </c>
      <c r="R131" s="216"/>
      <c r="S131" s="200"/>
      <c r="T131" s="200"/>
      <c r="U131" s="200"/>
      <c r="V131" s="200"/>
      <c r="W131" s="200"/>
      <c r="X131" s="200"/>
      <c r="Y131" s="200"/>
      <c r="Z131" s="200"/>
      <c r="AA131" s="200"/>
      <c r="AB131" s="200"/>
      <c r="AC131" s="200"/>
      <c r="AD131" s="200"/>
      <c r="AE131" s="200"/>
      <c r="AF131" s="200"/>
      <c r="AG131" s="200"/>
      <c r="AH131" s="200"/>
      <c r="AI131" s="200"/>
      <c r="AJ131" s="200"/>
      <c r="AK131" s="200"/>
      <c r="AL131" s="200"/>
    </row>
    <row r="132" spans="1:38">
      <c r="A132" s="435">
        <f t="shared" si="10"/>
        <v>113</v>
      </c>
      <c r="B132" s="871" t="str">
        <f>CONCATENATE('3. Consumption by Rate Class'!B137,"-",'3. Consumption by Rate Class'!C137)</f>
        <v>2022-May</v>
      </c>
      <c r="C132" s="929">
        <v>6859525.9973500967</v>
      </c>
      <c r="D132" s="934">
        <v>0</v>
      </c>
      <c r="E132" s="935">
        <v>0</v>
      </c>
      <c r="F132" s="941">
        <v>0</v>
      </c>
      <c r="G132" s="875"/>
      <c r="H132" s="875"/>
      <c r="I132" s="469">
        <f t="shared" si="8"/>
        <v>6859525.9973500967</v>
      </c>
      <c r="J132" s="599">
        <f>IF(J$18='5.Variables'!$B$16,+'5.Variables'!$G36,+IF(J$18='5.Variables'!$B$39,+'5.Variables'!$G59,+IF(J$18='5.Variables'!$B$62,+'5.Variables'!$G73,+IF(J$18='5.Variables'!$B$76,+'5.Variables'!$G87,+IF(J$18='5.Variables'!$B$90,+'5.Variables'!$G101,+IF(J$18='5.Variables'!$B$104,+'5.Variables'!$G115,0))))))</f>
        <v>115.2</v>
      </c>
      <c r="K132" s="599">
        <f>IF(K$18='5.Variables'!$B$16,+'5.Variables'!$G35,+IF(K$18='5.Variables'!$B$39,+'5.Variables'!$G59,+IF(K$18='5.Variables'!$B$62,+'5.Variables'!$G73,+IF(K$18='5.Variables'!$B$76,+'5.Variables'!$G87,+IF(K$18='5.Variables'!$B$90,+'5.Variables'!$G101,+IF(K$18='5.Variables'!$B$104,+'5.Variables'!$G115,0))))))</f>
        <v>25.9</v>
      </c>
      <c r="L132" s="599">
        <f>IF(L$18='5.Variables'!$B$16,+'5.Variables'!$G35,+IF(L$18='5.Variables'!$B$39,+'5.Variables'!$G59,+IF(L$18='5.Variables'!$B$62,+'5.Variables'!$G73,+IF(L$18='5.Variables'!$B$76,+'5.Variables'!$G87,+IF(L$18='5.Variables'!$B$90,+'5.Variables'!$G101,+IF(L$18='5.Variables'!$B$104,+'5.Variables'!$G115,0))))))</f>
        <v>31</v>
      </c>
      <c r="M132" s="599">
        <f>IF(M$18='5.Variables'!$B$16,+'5.Variables'!$G35,+IF(M$18='5.Variables'!$B$39,+'5.Variables'!$G59,+IF(M$18='5.Variables'!$B$62,+'5.Variables'!$G73,+IF(M$18='5.Variables'!$B$76,+'5.Variables'!$G87,+IF(M$18='5.Variables'!$B$90,+'5.Variables'!$G101,+IF(M$18='5.Variables'!$B$104,+'5.Variables'!$G115,0))))))</f>
        <v>14.52</v>
      </c>
      <c r="N132" s="599">
        <f>IF(N$18='5.Variables'!$B$16,+'5.Variables'!$G35,+IF(N$18='5.Variables'!$B$39,+'5.Variables'!$G59,+IF(N$18='5.Variables'!$B$62,+'5.Variables'!$G73,+IF(N$18='5.Variables'!$B$76,+'5.Variables'!$G87,+IF(N$18='5.Variables'!$B$90,+'5.Variables'!$G101,+IF(N$18='5.Variables'!$B$104,+'5.Variables'!$G115,0))))))</f>
        <v>0</v>
      </c>
      <c r="O132" s="928">
        <v>0</v>
      </c>
      <c r="P132" s="200"/>
      <c r="Q132" s="469">
        <f t="shared" si="9"/>
        <v>6835905.4690551879</v>
      </c>
      <c r="R132" s="216"/>
      <c r="S132" s="200"/>
      <c r="T132" s="200"/>
      <c r="U132" s="200"/>
      <c r="V132" s="200"/>
      <c r="W132" s="200"/>
      <c r="X132" s="200"/>
      <c r="Y132" s="200"/>
      <c r="Z132" s="200"/>
      <c r="AA132" s="200"/>
      <c r="AB132" s="200"/>
      <c r="AC132" s="200"/>
      <c r="AD132" s="200"/>
      <c r="AE132" s="200"/>
      <c r="AF132" s="200"/>
      <c r="AG132" s="200"/>
      <c r="AH132" s="200"/>
      <c r="AI132" s="200"/>
      <c r="AJ132" s="200"/>
      <c r="AK132" s="200"/>
      <c r="AL132" s="200"/>
    </row>
    <row r="133" spans="1:38">
      <c r="A133" s="435">
        <f t="shared" si="10"/>
        <v>114</v>
      </c>
      <c r="B133" s="871" t="str">
        <f>CONCATENATE('3. Consumption by Rate Class'!B138,"-",'3. Consumption by Rate Class'!C138)</f>
        <v>2022-June</v>
      </c>
      <c r="C133" s="929">
        <v>6997619.0194003861</v>
      </c>
      <c r="D133" s="934">
        <v>0</v>
      </c>
      <c r="E133" s="935">
        <v>0</v>
      </c>
      <c r="F133" s="941">
        <v>0</v>
      </c>
      <c r="G133" s="875"/>
      <c r="H133" s="875"/>
      <c r="I133" s="469">
        <f t="shared" si="8"/>
        <v>6997619.0194003861</v>
      </c>
      <c r="J133" s="599">
        <f>IF(J$18='5.Variables'!$B$16,+'5.Variables'!$H36,+IF(J$18='5.Variables'!$B$39,+'5.Variables'!$H59,+IF(J$18='5.Variables'!$B$62,+'5.Variables'!$H73,+IF(J$18='5.Variables'!$B$76,+'5.Variables'!$H87,+IF(J$18='5.Variables'!$B$90,+'5.Variables'!$H101,+IF(J$18='5.Variables'!$B$104,+'5.Variables'!$H115,0))))))</f>
        <v>30.9</v>
      </c>
      <c r="K133" s="599">
        <f>IF(K$18='5.Variables'!$B$16,+'5.Variables'!$H35,+IF(K$18='5.Variables'!$B$39,+'5.Variables'!$H59,+IF(K$18='5.Variables'!$B$62,+'5.Variables'!$H73,+IF(K$18='5.Variables'!$B$76,+'5.Variables'!$H87,+IF(K$18='5.Variables'!$B$90,+'5.Variables'!$H101,+IF(K$18='5.Variables'!$B$104,+'5.Variables'!$H115,0))))))</f>
        <v>28.7</v>
      </c>
      <c r="L133" s="599">
        <f>IF(L$18='5.Variables'!$B$16,+'5.Variables'!$H35,+IF(L$18='5.Variables'!$B$39,+'5.Variables'!$H59,+IF(L$18='5.Variables'!$B$62,+'5.Variables'!$H73,+IF(L$18='5.Variables'!$B$76,+'5.Variables'!$H87,+IF(L$18='5.Variables'!$B$90,+'5.Variables'!$H101,+IF(L$18='5.Variables'!$B$104,+'5.Variables'!$H115,0))))))</f>
        <v>30</v>
      </c>
      <c r="M133" s="599">
        <f>IF(M$18='5.Variables'!$B$16,+'5.Variables'!$H35,+IF(M$18='5.Variables'!$B$39,+'5.Variables'!$H59,+IF(M$18='5.Variables'!$B$62,+'5.Variables'!$H73,+IF(M$18='5.Variables'!$B$76,+'5.Variables'!$H87,+IF(M$18='5.Variables'!$B$90,+'5.Variables'!$H101,+IF(M$18='5.Variables'!$B$104,+'5.Variables'!$H115,0))))))</f>
        <v>15.35</v>
      </c>
      <c r="N133" s="599">
        <f>IF(N$18='5.Variables'!$B$16,+'5.Variables'!$H35,+IF(N$18='5.Variables'!$B$39,+'5.Variables'!$H59,+IF(N$18='5.Variables'!$B$62,+'5.Variables'!$H73,+IF(N$18='5.Variables'!$B$76,+'5.Variables'!$H87,+IF(N$18='5.Variables'!$B$90,+'5.Variables'!$H101,+IF(N$18='5.Variables'!$B$104,+'5.Variables'!$H115,0))))))</f>
        <v>0</v>
      </c>
      <c r="O133" s="928">
        <v>0</v>
      </c>
      <c r="P133" s="200"/>
      <c r="Q133" s="469">
        <f t="shared" si="9"/>
        <v>6473423.8315856885</v>
      </c>
      <c r="R133" s="216"/>
      <c r="S133" s="200"/>
      <c r="T133" s="200"/>
      <c r="U133" s="200"/>
      <c r="V133" s="200"/>
      <c r="W133" s="200"/>
      <c r="X133" s="200"/>
      <c r="Y133" s="200"/>
      <c r="Z133" s="200"/>
      <c r="AA133" s="200"/>
      <c r="AB133" s="200"/>
      <c r="AC133" s="200"/>
      <c r="AD133" s="200"/>
      <c r="AE133" s="200"/>
      <c r="AF133" s="200"/>
      <c r="AG133" s="200"/>
      <c r="AH133" s="200"/>
      <c r="AI133" s="200"/>
      <c r="AJ133" s="200"/>
      <c r="AK133" s="200"/>
      <c r="AL133" s="200"/>
    </row>
    <row r="134" spans="1:38">
      <c r="A134" s="435">
        <f t="shared" si="10"/>
        <v>115</v>
      </c>
      <c r="B134" s="871" t="str">
        <f>CONCATENATE('3. Consumption by Rate Class'!B139,"-",'3. Consumption by Rate Class'!C139)</f>
        <v>2022-July</v>
      </c>
      <c r="C134" s="911">
        <v>7706954.047040619</v>
      </c>
      <c r="D134" s="163">
        <v>0</v>
      </c>
      <c r="E134" s="163">
        <v>0</v>
      </c>
      <c r="F134" s="941">
        <v>0</v>
      </c>
      <c r="G134" s="875"/>
      <c r="H134" s="875"/>
      <c r="I134" s="469">
        <f t="shared" si="8"/>
        <v>7706954.047040619</v>
      </c>
      <c r="J134" s="599">
        <f>IF(J$18='5.Variables'!$B$16,+'5.Variables'!$I36,+IF(J$18='5.Variables'!$B$39,+'5.Variables'!$I59,+IF(J$18='5.Variables'!$B$62,+'5.Variables'!$I73,+IF(J$18='5.Variables'!$B$76,+'5.Variables'!$I87,+IF(J$18='5.Variables'!$B$90,+'5.Variables'!$I101,+IF(J$18='5.Variables'!$B$104,+'5.Variables'!$I115,0))))))</f>
        <v>0.5</v>
      </c>
      <c r="K134" s="599">
        <f>IF(K$18='5.Variables'!$B$16,+'5.Variables'!$I35,+IF(K$18='5.Variables'!$B$39,+'5.Variables'!$I59,+IF(K$18='5.Variables'!$B$62,+'5.Variables'!$I73,+IF(K$18='5.Variables'!$B$76,+'5.Variables'!$I87,+IF(K$18='5.Variables'!$B$90,+'5.Variables'!$I101,+IF(K$18='5.Variables'!$B$104,+'5.Variables'!$I115,0))))))</f>
        <v>92.9</v>
      </c>
      <c r="L134" s="599">
        <f>IF(L$18='5.Variables'!$B$16,+'5.Variables'!$I35,+IF(L$18='5.Variables'!$B$39,+'5.Variables'!$I59,+IF(L$18='5.Variables'!$B$62,+'5.Variables'!$I73,+IF(L$18='5.Variables'!$B$76,+'5.Variables'!$I87,+IF(L$18='5.Variables'!$B$90,+'5.Variables'!$I101,+IF(L$18='5.Variables'!$B$104,+'5.Variables'!$I115,0))))))</f>
        <v>31</v>
      </c>
      <c r="M134" s="599">
        <f>IF(M$18='5.Variables'!$B$16,+'5.Variables'!$I35,+IF(M$18='5.Variables'!$B$39,+'5.Variables'!$I59,+IF(M$18='5.Variables'!$B$62,+'5.Variables'!$I73,+IF(M$18='5.Variables'!$B$76,+'5.Variables'!$I87,+IF(M$18='5.Variables'!$B$90,+'5.Variables'!$I101,+IF(M$18='5.Variables'!$B$104,+'5.Variables'!$I115,0))))))</f>
        <v>15.15</v>
      </c>
      <c r="N134" s="599">
        <f>IF(N$18='5.Variables'!$B$16,+'5.Variables'!$I35,+IF(N$18='5.Variables'!$B$39,+'5.Variables'!$I59,+IF(N$18='5.Variables'!$B$62,+'5.Variables'!$I73,+IF(N$18='5.Variables'!$B$76,+'5.Variables'!$I87,+IF(N$18='5.Variables'!$B$90,+'5.Variables'!$I101,+IF(N$18='5.Variables'!$B$104,+'5.Variables'!$I115,0))))))</f>
        <v>0</v>
      </c>
      <c r="O134" s="928">
        <v>0</v>
      </c>
      <c r="P134" s="200"/>
      <c r="Q134" s="469">
        <f t="shared" si="9"/>
        <v>7512600.7547118515</v>
      </c>
      <c r="R134" s="216"/>
      <c r="S134" s="200"/>
      <c r="T134" s="200"/>
      <c r="U134" s="200"/>
      <c r="V134" s="200"/>
      <c r="W134" s="200"/>
      <c r="X134" s="200"/>
      <c r="Y134" s="200"/>
      <c r="Z134" s="200"/>
      <c r="AA134" s="200"/>
      <c r="AB134" s="200"/>
      <c r="AC134" s="200"/>
      <c r="AD134" s="200"/>
      <c r="AE134" s="200"/>
      <c r="AF134" s="200"/>
      <c r="AG134" s="200"/>
      <c r="AH134" s="200"/>
      <c r="AI134" s="200"/>
      <c r="AJ134" s="200"/>
      <c r="AK134" s="200"/>
      <c r="AL134" s="200"/>
    </row>
    <row r="135" spans="1:38">
      <c r="A135" s="435">
        <f t="shared" si="10"/>
        <v>116</v>
      </c>
      <c r="B135" s="871" t="str">
        <f>CONCATENATE('3. Consumption by Rate Class'!B140,"-",'3. Consumption by Rate Class'!C140)</f>
        <v>2022-August</v>
      </c>
      <c r="C135" s="911">
        <v>7668844.6221856866</v>
      </c>
      <c r="D135" s="163">
        <v>0</v>
      </c>
      <c r="E135" s="163">
        <v>0</v>
      </c>
      <c r="F135" s="941">
        <v>0</v>
      </c>
      <c r="G135" s="875"/>
      <c r="H135" s="875"/>
      <c r="I135" s="469">
        <f t="shared" si="8"/>
        <v>7668844.6221856866</v>
      </c>
      <c r="J135" s="599">
        <f>IF(J$18='5.Variables'!$B$16,+'5.Variables'!$J36,+IF(J$18='5.Variables'!$B$39,+'5.Variables'!$J59,+IF(J$18='5.Variables'!$B$62,+'5.Variables'!$J73,+IF(J$18='5.Variables'!$B$76,+'5.Variables'!$J87,+IF(J$18='5.Variables'!$B$90,+'5.Variables'!$J101,+IF(J$18='5.Variables'!$B$104,+'5.Variables'!$J115,0))))))</f>
        <v>5</v>
      </c>
      <c r="K135" s="599">
        <f>IF(K$18='5.Variables'!$B$16,+'5.Variables'!$J35,+IF(K$18='5.Variables'!$B$39,+'5.Variables'!$J59,+IF(K$18='5.Variables'!$B$62,+'5.Variables'!$J73,+IF(K$18='5.Variables'!$B$76,+'5.Variables'!$J87,+IF(K$18='5.Variables'!$B$90,+'5.Variables'!$J101,+IF(K$18='5.Variables'!$B$104,+'5.Variables'!$J115,0))))))</f>
        <v>84.2</v>
      </c>
      <c r="L135" s="599">
        <f>IF(L$18='5.Variables'!$B$16,+'5.Variables'!$J35,+IF(L$18='5.Variables'!$B$39,+'5.Variables'!$J59,+IF(L$18='5.Variables'!$B$62,+'5.Variables'!$J73,+IF(L$18='5.Variables'!$B$76,+'5.Variables'!$J87,+IF(L$18='5.Variables'!$B$90,+'5.Variables'!$J101,+IF(L$18='5.Variables'!$B$104,+'5.Variables'!$J115,0))))))</f>
        <v>31</v>
      </c>
      <c r="M135" s="599">
        <f>IF(M$18='5.Variables'!$B$16,+'5.Variables'!$J35,+IF(M$18='5.Variables'!$B$39,+'5.Variables'!$J59,+IF(M$18='5.Variables'!$B$62,+'5.Variables'!$J73,+IF(M$18='5.Variables'!$B$76,+'5.Variables'!$J87,+IF(M$18='5.Variables'!$B$90,+'5.Variables'!$J101,+IF(M$18='5.Variables'!$B$104,+'5.Variables'!$J115,0))))))</f>
        <v>14.03</v>
      </c>
      <c r="N135" s="599">
        <f>IF(N$18='5.Variables'!$B$16,+'5.Variables'!$J35,+IF(N$18='5.Variables'!$B$39,+'5.Variables'!$J59,+IF(N$18='5.Variables'!$B$62,+'5.Variables'!$J73,+IF(N$18='5.Variables'!$B$76,+'5.Variables'!$J87,+IF(N$18='5.Variables'!$B$90,+'5.Variables'!$J101,+IF(N$18='5.Variables'!$B$104,+'5.Variables'!$J115,0))))))</f>
        <v>0</v>
      </c>
      <c r="O135" s="928">
        <v>0</v>
      </c>
      <c r="P135" s="200"/>
      <c r="Q135" s="469">
        <f t="shared" si="9"/>
        <v>7373542.1254832316</v>
      </c>
      <c r="R135" s="216"/>
      <c r="S135" s="200"/>
      <c r="T135" s="200"/>
      <c r="U135" s="200"/>
      <c r="V135" s="200"/>
      <c r="W135" s="200"/>
      <c r="X135" s="200"/>
      <c r="Y135" s="200"/>
      <c r="Z135" s="200"/>
      <c r="AA135" s="200"/>
      <c r="AB135" s="200"/>
      <c r="AC135" s="200"/>
      <c r="AD135" s="200"/>
      <c r="AE135" s="200"/>
      <c r="AF135" s="200"/>
      <c r="AG135" s="200"/>
      <c r="AH135" s="200"/>
      <c r="AI135" s="200"/>
      <c r="AJ135" s="200"/>
      <c r="AK135" s="200"/>
      <c r="AL135" s="200"/>
    </row>
    <row r="136" spans="1:38">
      <c r="A136" s="435">
        <f t="shared" si="10"/>
        <v>117</v>
      </c>
      <c r="B136" s="871" t="str">
        <f>CONCATENATE('3. Consumption by Rate Class'!B141,"-",'3. Consumption by Rate Class'!C141)</f>
        <v>2022-September</v>
      </c>
      <c r="C136" s="911">
        <v>6630881.2966924561</v>
      </c>
      <c r="D136" s="163">
        <v>0</v>
      </c>
      <c r="E136" s="163">
        <v>0</v>
      </c>
      <c r="F136" s="941">
        <v>0</v>
      </c>
      <c r="G136" s="875"/>
      <c r="H136" s="875"/>
      <c r="I136" s="469">
        <f t="shared" si="8"/>
        <v>6630881.2966924561</v>
      </c>
      <c r="J136" s="599">
        <f>IF(J$18='5.Variables'!$B$16,+'5.Variables'!$K36,+IF(J$18='5.Variables'!$B$39,+'5.Variables'!$K59,+IF(J$18='5.Variables'!$B$62,+'5.Variables'!$K73,+IF(J$18='5.Variables'!$B$76,+'5.Variables'!$K87,+IF(J$18='5.Variables'!$B$90,+'5.Variables'!$K101,+IF(J$18='5.Variables'!$B$104,+'5.Variables'!$K115,0))))))</f>
        <v>107.1</v>
      </c>
      <c r="K136" s="599">
        <f>IF(K$18='5.Variables'!$B$16,+'5.Variables'!$K35,+IF(K$18='5.Variables'!$B$39,+'5.Variables'!$K59,+IF(K$18='5.Variables'!$B$62,+'5.Variables'!$K73,+IF(K$18='5.Variables'!$B$76,+'5.Variables'!$K87,+IF(K$18='5.Variables'!$B$90,+'5.Variables'!$K101,+IF(K$18='5.Variables'!$B$104,+'5.Variables'!$K115,0))))))</f>
        <v>11.9</v>
      </c>
      <c r="L136" s="599">
        <f>IF(L$18='5.Variables'!$B$16,+'5.Variables'!$K35,+IF(L$18='5.Variables'!$B$39,+'5.Variables'!$K59,+IF(L$18='5.Variables'!$B$62,+'5.Variables'!$K73,+IF(L$18='5.Variables'!$B$76,+'5.Variables'!$K87,+IF(L$18='5.Variables'!$B$90,+'5.Variables'!$K101,+IF(L$18='5.Variables'!$B$104,+'5.Variables'!$K115,0))))))</f>
        <v>30</v>
      </c>
      <c r="M136" s="599">
        <f>IF(M$18='5.Variables'!$B$16,+'5.Variables'!$K35,+IF(M$18='5.Variables'!$B$39,+'5.Variables'!$K59,+IF(M$18='5.Variables'!$B$62,+'5.Variables'!$K73,+IF(M$18='5.Variables'!$B$76,+'5.Variables'!$K87,+IF(M$18='5.Variables'!$B$90,+'5.Variables'!$K101,+IF(M$18='5.Variables'!$B$104,+'5.Variables'!$K115,0))))))</f>
        <v>12.29</v>
      </c>
      <c r="N136" s="599">
        <f>IF(N$18='5.Variables'!$B$16,+'5.Variables'!$K35,+IF(N$18='5.Variables'!$B$39,+'5.Variables'!$K59,+IF(N$18='5.Variables'!$B$62,+'5.Variables'!$K73,+IF(N$18='5.Variables'!$B$76,+'5.Variables'!$K87,+IF(N$18='5.Variables'!$B$90,+'5.Variables'!$K101,+IF(N$18='5.Variables'!$B$104,+'5.Variables'!$K115,0))))))</f>
        <v>0</v>
      </c>
      <c r="O136" s="928">
        <v>0</v>
      </c>
      <c r="P136" s="200"/>
      <c r="Q136" s="469">
        <f t="shared" si="9"/>
        <v>6394114.0904525844</v>
      </c>
      <c r="R136" s="216"/>
      <c r="S136" s="200"/>
      <c r="T136" s="200"/>
      <c r="U136" s="200"/>
      <c r="V136" s="200"/>
      <c r="W136" s="200"/>
      <c r="X136" s="200"/>
      <c r="Y136" s="200"/>
      <c r="Z136" s="200"/>
      <c r="AA136" s="200"/>
      <c r="AB136" s="200"/>
      <c r="AC136" s="200"/>
      <c r="AD136" s="200"/>
      <c r="AE136" s="200"/>
      <c r="AF136" s="200"/>
      <c r="AG136" s="200"/>
      <c r="AH136" s="200"/>
      <c r="AI136" s="200"/>
      <c r="AJ136" s="200"/>
      <c r="AK136" s="200"/>
      <c r="AL136" s="200"/>
    </row>
    <row r="137" spans="1:38">
      <c r="A137" s="435">
        <f t="shared" si="10"/>
        <v>118</v>
      </c>
      <c r="B137" s="871" t="str">
        <f>CONCATENATE('3. Consumption by Rate Class'!B142,"-",'3. Consumption by Rate Class'!C142)</f>
        <v>2022-October</v>
      </c>
      <c r="C137" s="911">
        <v>6832597.7389555126</v>
      </c>
      <c r="D137" s="163">
        <v>0</v>
      </c>
      <c r="E137" s="163">
        <v>0</v>
      </c>
      <c r="F137" s="941">
        <v>0</v>
      </c>
      <c r="G137" s="875"/>
      <c r="H137" s="875"/>
      <c r="I137" s="469">
        <f t="shared" si="8"/>
        <v>6832597.7389555126</v>
      </c>
      <c r="J137" s="599">
        <f>IF(J$18='5.Variables'!$B$16,+'5.Variables'!$L36,+IF(J$18='5.Variables'!$B$39,+'5.Variables'!$L59,+IF(J$18='5.Variables'!$B$62,+'5.Variables'!$L73,+IF(J$18='5.Variables'!$B$76,+'5.Variables'!$L87,+IF(J$18='5.Variables'!$B$90,+'5.Variables'!$L101,+IF(J$18='5.Variables'!$B$104,+'5.Variables'!$L115,0))))))</f>
        <v>278.8</v>
      </c>
      <c r="K137" s="599">
        <f>IF(K$18='5.Variables'!$B$16,+'5.Variables'!$L35,+IF(K$18='5.Variables'!$B$39,+'5.Variables'!$L59,+IF(K$18='5.Variables'!$B$62,+'5.Variables'!$L73,+IF(K$18='5.Variables'!$B$76,+'5.Variables'!$L87,+IF(K$18='5.Variables'!$B$90,+'5.Variables'!$L101,+IF(K$18='5.Variables'!$B$104,+'5.Variables'!$L115,0))))))</f>
        <v>0</v>
      </c>
      <c r="L137" s="599">
        <f>IF(L$18='5.Variables'!$B$16,+'5.Variables'!$L35,+IF(L$18='5.Variables'!$B$39,+'5.Variables'!$L59,+IF(L$18='5.Variables'!$B$62,+'5.Variables'!$L73,+IF(L$18='5.Variables'!$B$76,+'5.Variables'!$L87,+IF(L$18='5.Variables'!$B$90,+'5.Variables'!$L101,+IF(L$18='5.Variables'!$B$104,+'5.Variables'!$L115,0))))))</f>
        <v>31</v>
      </c>
      <c r="M137" s="599">
        <f>IF(M$18='5.Variables'!$B$16,+'5.Variables'!$L35,+IF(M$18='5.Variables'!$B$39,+'5.Variables'!$L59,+IF(M$18='5.Variables'!$B$62,+'5.Variables'!$L73,+IF(M$18='5.Variables'!$B$76,+'5.Variables'!$L87,+IF(M$18='5.Variables'!$B$90,+'5.Variables'!$L101,+IF(M$18='5.Variables'!$B$104,+'5.Variables'!$L115,0))))))</f>
        <v>10.51</v>
      </c>
      <c r="N137" s="599">
        <f>IF(N$18='5.Variables'!$B$16,+'5.Variables'!$L35,+IF(N$18='5.Variables'!$B$39,+'5.Variables'!$L59,+IF(N$18='5.Variables'!$B$62,+'5.Variables'!$L73,+IF(N$18='5.Variables'!$B$76,+'5.Variables'!$L87,+IF(N$18='5.Variables'!$B$90,+'5.Variables'!$L101,+IF(N$18='5.Variables'!$B$104,+'5.Variables'!$L115,0))))))</f>
        <v>0</v>
      </c>
      <c r="O137" s="928">
        <v>0</v>
      </c>
      <c r="P137" s="200"/>
      <c r="Q137" s="469">
        <f t="shared" si="9"/>
        <v>6867675.9841838768</v>
      </c>
      <c r="R137" s="216"/>
      <c r="S137" s="200"/>
      <c r="T137" s="200"/>
      <c r="U137" s="200"/>
      <c r="V137" s="200"/>
      <c r="W137" s="200"/>
      <c r="X137" s="200"/>
      <c r="Y137" s="200"/>
      <c r="Z137" s="200"/>
      <c r="AA137" s="200"/>
      <c r="AB137" s="200"/>
      <c r="AC137" s="200"/>
      <c r="AD137" s="200"/>
      <c r="AE137" s="200"/>
      <c r="AF137" s="200"/>
      <c r="AG137" s="200"/>
      <c r="AH137" s="200"/>
      <c r="AI137" s="200"/>
      <c r="AJ137" s="200"/>
      <c r="AK137" s="200"/>
      <c r="AL137" s="200"/>
    </row>
    <row r="138" spans="1:38">
      <c r="A138" s="435">
        <f t="shared" si="10"/>
        <v>119</v>
      </c>
      <c r="B138" s="871" t="str">
        <f>CONCATENATE('3. Consumption by Rate Class'!B143,"-",'3. Consumption by Rate Class'!C143)</f>
        <v>2022-November</v>
      </c>
      <c r="C138" s="911">
        <v>7293332.3793036742</v>
      </c>
      <c r="D138" s="163">
        <v>0</v>
      </c>
      <c r="E138" s="163">
        <v>0</v>
      </c>
      <c r="F138" s="941">
        <v>0</v>
      </c>
      <c r="G138" s="875"/>
      <c r="H138" s="875"/>
      <c r="I138" s="469">
        <f t="shared" si="8"/>
        <v>7293332.3793036742</v>
      </c>
      <c r="J138" s="599">
        <f>IF(J$18='5.Variables'!$B$16,+'5.Variables'!$M36,+IF(J$18='5.Variables'!$B$39,+'5.Variables'!$M59,+IF(J$18='5.Variables'!$B$62,+'5.Variables'!$M73,+IF(J$18='5.Variables'!$B$76,+'5.Variables'!$M87,+IF(J$18='5.Variables'!$B$90,+'5.Variables'!$M101,+IF(J$18='5.Variables'!$B$104,+'5.Variables'!$M115,0))))))</f>
        <v>426.7</v>
      </c>
      <c r="K138" s="599">
        <f>IF(K$18='5.Variables'!$B$16,+'5.Variables'!$M35,+IF(K$18='5.Variables'!$B$39,+'5.Variables'!$M59,+IF(K$18='5.Variables'!$B$62,+'5.Variables'!$M73,+IF(K$18='5.Variables'!$B$76,+'5.Variables'!$M87,+IF(K$18='5.Variables'!$B$90,+'5.Variables'!$M101,+IF(K$18='5.Variables'!$B$104,+'5.Variables'!$M115,0))))))</f>
        <v>1.1000000000000001</v>
      </c>
      <c r="L138" s="599">
        <f>IF(L$18='5.Variables'!$B$16,+'5.Variables'!$M35,+IF(L$18='5.Variables'!$B$39,+'5.Variables'!$M59,+IF(L$18='5.Variables'!$B$62,+'5.Variables'!$M73,+IF(L$18='5.Variables'!$B$76,+'5.Variables'!$M87,+IF(L$18='5.Variables'!$B$90,+'5.Variables'!$M101,+IF(L$18='5.Variables'!$B$104,+'5.Variables'!$M115,0))))))</f>
        <v>30</v>
      </c>
      <c r="M138" s="599">
        <f>IF(M$18='5.Variables'!$B$16,+'5.Variables'!$M35,+IF(M$18='5.Variables'!$B$39,+'5.Variables'!$M59,+IF(M$18='5.Variables'!$B$62,+'5.Variables'!$M73,+IF(M$18='5.Variables'!$B$76,+'5.Variables'!$M87,+IF(M$18='5.Variables'!$B$90,+'5.Variables'!$M101,+IF(M$18='5.Variables'!$B$104,+'5.Variables'!$M115,0))))))</f>
        <v>9.2799999999999994</v>
      </c>
      <c r="N138" s="599">
        <f>IF(N$18='5.Variables'!$B$16,+'5.Variables'!$M35,+IF(N$18='5.Variables'!$B$39,+'5.Variables'!$M59,+IF(N$18='5.Variables'!$B$62,+'5.Variables'!$M73,+IF(N$18='5.Variables'!$B$76,+'5.Variables'!$M87,+IF(N$18='5.Variables'!$B$90,+'5.Variables'!$M101,+IF(N$18='5.Variables'!$B$104,+'5.Variables'!$M115,0))))))</f>
        <v>0</v>
      </c>
      <c r="O138" s="928">
        <v>0</v>
      </c>
      <c r="P138" s="200"/>
      <c r="Q138" s="469">
        <f t="shared" si="9"/>
        <v>7149488.8296772735</v>
      </c>
      <c r="R138" s="216"/>
      <c r="S138" s="200"/>
      <c r="T138" s="200"/>
      <c r="U138" s="200"/>
      <c r="V138" s="200"/>
      <c r="W138" s="200"/>
      <c r="X138" s="200"/>
      <c r="Y138" s="200"/>
      <c r="Z138" s="200"/>
      <c r="AA138" s="200"/>
      <c r="AB138" s="200"/>
      <c r="AC138" s="200"/>
      <c r="AD138" s="200"/>
      <c r="AE138" s="200"/>
      <c r="AF138" s="200"/>
      <c r="AG138" s="200"/>
      <c r="AH138" s="200"/>
      <c r="AI138" s="200"/>
      <c r="AJ138" s="200"/>
      <c r="AK138" s="200"/>
      <c r="AL138" s="200"/>
    </row>
    <row r="139" spans="1:38">
      <c r="A139" s="435">
        <f t="shared" si="10"/>
        <v>120</v>
      </c>
      <c r="B139" s="451" t="str">
        <f>CONCATENATE('3. Consumption by Rate Class'!B144,"-",'3. Consumption by Rate Class'!C144)</f>
        <v>2022-December</v>
      </c>
      <c r="C139" s="584">
        <v>8072934.2310831714</v>
      </c>
      <c r="D139" s="940">
        <v>0</v>
      </c>
      <c r="E139" s="939">
        <v>0</v>
      </c>
      <c r="F139" s="939">
        <v>0</v>
      </c>
      <c r="G139" s="880"/>
      <c r="H139" s="880"/>
      <c r="I139" s="881">
        <f t="shared" si="8"/>
        <v>8072934.2310831714</v>
      </c>
      <c r="J139" s="599">
        <f>IF(J$18='5.Variables'!$B$16,+'5.Variables'!$N36,+IF(J$18='5.Variables'!$B$39,+'5.Variables'!$N59,+IF(J$18='5.Variables'!$B$62,+'5.Variables'!$N73,+IF(J$18='5.Variables'!$B$76,+'5.Variables'!$N87,+IF(J$18='5.Variables'!$B$90,+'5.Variables'!$N101,+IF(J$18='5.Variables'!$B$104,+'5.Variables'!$N115,0))))))</f>
        <v>650.20000000000005</v>
      </c>
      <c r="K139" s="599">
        <f>IF(K$18='5.Variables'!$B$16,+'5.Variables'!$N35,+IF(K$18='5.Variables'!$B$39,+'5.Variables'!$N59,+IF(K$18='5.Variables'!$B$62,+'5.Variables'!$N73,+IF(K$18='5.Variables'!$B$76,+'5.Variables'!$N87,+IF(K$18='5.Variables'!$B$90,+'5.Variables'!$N101,+IF(K$18='5.Variables'!$B$104,+'5.Variables'!$N115,0))))))</f>
        <v>0</v>
      </c>
      <c r="L139" s="599">
        <f>IF(L$18='5.Variables'!$B$16,+'5.Variables'!$N35,+IF(L$18='5.Variables'!$B$39,+'5.Variables'!$N59,+IF(L$18='5.Variables'!$B$62,+'5.Variables'!$N73,+IF(L$18='5.Variables'!$B$76,+'5.Variables'!$N87,+IF(L$18='5.Variables'!$B$90,+'5.Variables'!$N101,+IF(L$18='5.Variables'!$B$104,+'5.Variables'!$N115,0))))))</f>
        <v>31</v>
      </c>
      <c r="M139" s="599">
        <f>IF(M$18='5.Variables'!$B$16,+'5.Variables'!$N35,+IF(M$18='5.Variables'!$B$39,+'5.Variables'!$N59,+IF(M$18='5.Variables'!$B$62,+'5.Variables'!$N73,+IF(M$18='5.Variables'!$B$76,+'5.Variables'!$N87,+IF(M$18='5.Variables'!$B$90,+'5.Variables'!$N101,+IF(M$18='5.Variables'!$B$104,+'5.Variables'!$N115,0))))))</f>
        <v>8.4700000000000006</v>
      </c>
      <c r="N139" s="599">
        <f>IF(N$18='5.Variables'!$B$16,+'5.Variables'!$N35,+IF(N$18='5.Variables'!$B$39,+'5.Variables'!$N59,+IF(N$18='5.Variables'!$B$62,+'5.Variables'!$N73,+IF(N$18='5.Variables'!$B$76,+'5.Variables'!$N87,+IF(N$18='5.Variables'!$B$90,+'5.Variables'!$N101,+IF(N$18='5.Variables'!$B$104,+'5.Variables'!$N115,0))))))</f>
        <v>0</v>
      </c>
      <c r="O139" s="928">
        <v>0</v>
      </c>
      <c r="P139" s="200"/>
      <c r="Q139" s="469">
        <f t="shared" si="9"/>
        <v>7962935.9227207527</v>
      </c>
      <c r="R139" s="216">
        <f>SUM(Q128:Q139)</f>
        <v>88301617.957659543</v>
      </c>
      <c r="S139" s="200"/>
      <c r="T139" s="200"/>
      <c r="U139" s="200"/>
      <c r="V139" s="200"/>
      <c r="W139" s="200"/>
      <c r="X139" s="200"/>
      <c r="Y139" s="200"/>
      <c r="Z139" s="200"/>
      <c r="AA139" s="200"/>
      <c r="AB139" s="200"/>
      <c r="AC139" s="200"/>
      <c r="AD139" s="200"/>
      <c r="AE139" s="200"/>
      <c r="AF139" s="200"/>
      <c r="AG139" s="200"/>
      <c r="AH139" s="200"/>
      <c r="AI139" s="200"/>
      <c r="AJ139" s="200"/>
      <c r="AK139" s="200"/>
      <c r="AL139" s="200"/>
    </row>
    <row r="140" spans="1:38">
      <c r="A140" s="435">
        <f t="shared" si="10"/>
        <v>121</v>
      </c>
      <c r="B140" s="871" t="str">
        <f>CONCATENATE('3. Consumption by Rate Class'!B145,"-",'3. Consumption by Rate Class'!C145)</f>
        <v>2023-January</v>
      </c>
      <c r="C140" s="591"/>
      <c r="D140" s="878"/>
      <c r="E140" s="879"/>
      <c r="F140" s="226"/>
      <c r="G140" s="226"/>
      <c r="H140" s="226"/>
      <c r="I140" s="201"/>
      <c r="J140" s="616">
        <f>IF(J$19=$B$169,+AVERAGE(J20,J32,J44,J56,J68,J80,J92,J104,J116,J128),+IF(J$19=$B$170,+(EXP((LN(+'4. Customer Growth'!$W$42)/12))*$J139),IF($J$19=$B$171,+$A140*$C$176+#REF!,0)))</f>
        <v>860.66000000000008</v>
      </c>
      <c r="K140" s="616">
        <f>IF(K$19=$B$169,+AVERAGE(K20,K32,K44,K56,K68,K80,K92,K104,K116,K128),+IF(K$19=$B$170,+(EXP((LN(+'4. Customer Growth'!$W$42)/12))*$J139),IF($K$19=$B$171,+$A140*$C$177+#REF!,0)))</f>
        <v>0</v>
      </c>
      <c r="L140" s="616">
        <f>IF(L$19=$B$169,+AVERAGE(L20,L32,L44,L56,L68,L80,L92,L104,L116,L128),+IF(L$19=$B$170,+(EXP((LN(+'4. Customer Growth'!$W$42)/12))*$J139),IF($L$19=$B$171,+$A140*$C$178+#REF!,0)))</f>
        <v>31</v>
      </c>
      <c r="M140" s="616">
        <f>IF(M$19=$B$169,+AVERAGE(M20,M32,M44,M56,M68,M80,M92,M104,M116,M128),+IF(M$19=$B$170,+(EXP((LN(+'4. Customer Growth'!$W$42)/12))*$M139),IF($M$19=$B$171,+$A140*$C$180+#REF!,0)))</f>
        <v>9.0900000000000016</v>
      </c>
      <c r="N140" s="616">
        <f>IF(N$19=$B$169,+AVERAGE(N20,N32,N44,N56,N68,N80,N92,N104,N116,N128),+IF(N$19=$B$170,+(EXP((LN(+'4. Customer Growth'!$W$42)/12))*$N139),IF($N$19=$B$171,+$A140*$C$181+#REF!,0)))</f>
        <v>0</v>
      </c>
      <c r="O140" s="928">
        <v>0</v>
      </c>
      <c r="P140" s="200"/>
      <c r="Q140" s="469">
        <f t="shared" si="9"/>
        <v>8616884.9397315998</v>
      </c>
      <c r="R140" s="216"/>
      <c r="S140" s="200"/>
      <c r="T140" s="200"/>
      <c r="U140" s="200"/>
      <c r="V140" s="200"/>
      <c r="W140" s="200"/>
      <c r="X140" s="200"/>
      <c r="Y140" s="200"/>
      <c r="Z140" s="200"/>
      <c r="AA140" s="200"/>
      <c r="AB140" s="200"/>
      <c r="AC140" s="200"/>
      <c r="AD140" s="200"/>
      <c r="AE140" s="200"/>
      <c r="AF140" s="200"/>
      <c r="AG140" s="200"/>
      <c r="AH140" s="200"/>
      <c r="AI140" s="200"/>
      <c r="AJ140" s="200"/>
      <c r="AK140" s="200"/>
      <c r="AL140" s="200"/>
    </row>
    <row r="141" spans="1:38">
      <c r="A141" s="435">
        <f t="shared" si="10"/>
        <v>122</v>
      </c>
      <c r="B141" s="871" t="str">
        <f>CONCATENATE('3. Consumption by Rate Class'!B146,"-",'3. Consumption by Rate Class'!C146)</f>
        <v>2023-February</v>
      </c>
      <c r="C141" s="591"/>
      <c r="D141" s="878"/>
      <c r="E141" s="879"/>
      <c r="F141" s="226"/>
      <c r="G141" s="226"/>
      <c r="H141" s="226"/>
      <c r="I141" s="201"/>
      <c r="J141" s="616">
        <f>IF(J$19=$B$169,+AVERAGE(J21,J33,J45,J57,J69,J81,J93,J105,J117,J129),+IF(J$19=$B$170,+(EXP((LN(+'4. Customer Growth'!$W$42)/12))*$J140),IF($J$19=$B$171,+$A141*$C$176+#REF!,0)))</f>
        <v>743.68999999999994</v>
      </c>
      <c r="K141" s="616">
        <f>IF(K$19=$B$169,+AVERAGE(K21,K33,K45,K57,K69,K81,K93,K105,K117,K129),+IF(K$19=$B$170,+(EXP((LN(+'4. Customer Growth'!$W$42)/12))*$J140),IF($K$19=$B$171,+$A141*$C$177+#REF!,0)))</f>
        <v>0</v>
      </c>
      <c r="L141" s="616">
        <f>IF(L$19=$B$169,+AVERAGE(L21,L33,L45,L57,L69,L81,L93,L105,L117,L129),+IF(L$19=$B$170,+(EXP((LN(+'4. Customer Growth'!$W$42)/12))*$J140),IF($L$19=$B$171,+$A141*$C$178+#REF!,0)))</f>
        <v>28.2</v>
      </c>
      <c r="M141" s="616">
        <f>IF(M$19=$B$169,+AVERAGE(M21,M33,M45,M57,M69,M81,M93,M105,M117,M129),+IF(M$19=$B$170,+(EXP((LN(+'4. Customer Growth'!$W$42)/12))*$M140),IF($M$19=$B$171,+$A141*$C$180+#REF!,0)))</f>
        <v>10.19</v>
      </c>
      <c r="N141" s="616">
        <f>IF(N$19=$B$169,+AVERAGE(N21,N33,N45,N57,N69,N81,N93,N105,N117,N129),+IF(N$19=$B$170,+(EXP((LN(+'4. Customer Growth'!$W$42)/12))*$N140),IF($N$19=$B$171,+$A141*$C$181+#REF!,0)))</f>
        <v>0</v>
      </c>
      <c r="O141" s="928">
        <v>0</v>
      </c>
      <c r="P141" s="200"/>
      <c r="Q141" s="469">
        <f t="shared" si="9"/>
        <v>7823622.660127542</v>
      </c>
      <c r="R141" s="216"/>
      <c r="S141" s="200"/>
      <c r="T141" s="200"/>
      <c r="U141" s="200"/>
      <c r="V141" s="200"/>
      <c r="W141" s="200"/>
      <c r="X141" s="200"/>
      <c r="Y141" s="200"/>
      <c r="Z141" s="200"/>
      <c r="AA141" s="200"/>
      <c r="AB141" s="200"/>
      <c r="AC141" s="200"/>
      <c r="AD141" s="200"/>
      <c r="AE141" s="200"/>
      <c r="AF141" s="200"/>
      <c r="AG141" s="200"/>
      <c r="AH141" s="200"/>
      <c r="AI141" s="200"/>
      <c r="AJ141" s="200"/>
      <c r="AK141" s="200"/>
      <c r="AL141" s="200"/>
    </row>
    <row r="142" spans="1:38">
      <c r="A142" s="435">
        <f t="shared" si="10"/>
        <v>123</v>
      </c>
      <c r="B142" s="871" t="str">
        <f>CONCATENATE('3. Consumption by Rate Class'!B147,"-",'3. Consumption by Rate Class'!C147)</f>
        <v>2023-March</v>
      </c>
      <c r="C142" s="591"/>
      <c r="D142" s="653"/>
      <c r="E142" s="226"/>
      <c r="F142" s="226"/>
      <c r="G142" s="226"/>
      <c r="H142" s="226"/>
      <c r="I142" s="201"/>
      <c r="J142" s="616">
        <f>IF(J$19=$B$169,+AVERAGE(J22,J34,J46,J58,J70,J82,J94,J106,J118,J130),+IF(J$19=$B$170,+(EXP((LN(+'4. Customer Growth'!$W$42)/12))*$J141),IF($J$19=$B$171,+$A142*$C$176+#REF!,0)))</f>
        <v>641.17000000000007</v>
      </c>
      <c r="K142" s="616">
        <f>IF(K$19=$B$169,+AVERAGE(K22,K34,K46,K58,K70,K82,K94,K106,K118,K130),+IF(K$19=$B$170,+(EXP((LN(+'4. Customer Growth'!$W$42)/12))*$J141),IF($K$19=$B$171,+$A142*$C$177+#REF!,0)))</f>
        <v>0</v>
      </c>
      <c r="L142" s="616">
        <f>IF(L$19=$B$169,+AVERAGE(L22,L34,L46,L58,L70,L82,L94,L106,L118,L130),+IF(L$19=$B$170,+(EXP((LN(+'4. Customer Growth'!$W$42)/12))*$J141),IF($L$19=$B$171,+$A142*$C$178+#REF!,0)))</f>
        <v>31</v>
      </c>
      <c r="M142" s="616">
        <f>IF(M$19=$B$169,+AVERAGE(M22,M34,M46,M58,M70,M82,M94,M106,M118,M130),+IF(M$19=$B$170,+(EXP((LN(+'4. Customer Growth'!$W$42)/12))*$M141),IF($M$19=$B$171,+$A142*$C$180+#REF!,0)))</f>
        <v>11.510000000000002</v>
      </c>
      <c r="N142" s="616">
        <f>IF(N$19=$B$169,+AVERAGE(N22,N34,N46,N58,N70,N82,N94,N106,N118,N130),+IF(N$19=$B$170,+(EXP((LN(+'4. Customer Growth'!$W$42)/12))*$N141),IF($N$19=$B$171,+$A142*$C$181+#REF!,0)))</f>
        <v>0</v>
      </c>
      <c r="O142" s="928">
        <v>0</v>
      </c>
      <c r="P142" s="200"/>
      <c r="Q142" s="469">
        <f t="shared" si="9"/>
        <v>7992379.3258868726</v>
      </c>
      <c r="R142" s="216"/>
      <c r="S142" s="200"/>
      <c r="T142" s="200"/>
      <c r="U142" s="200"/>
      <c r="V142" s="200"/>
      <c r="W142" s="200"/>
      <c r="X142" s="200"/>
      <c r="Y142" s="200"/>
      <c r="Z142" s="200"/>
      <c r="AA142" s="200"/>
      <c r="AB142" s="200"/>
      <c r="AC142" s="200"/>
      <c r="AD142" s="200"/>
      <c r="AE142" s="200"/>
      <c r="AF142" s="200"/>
      <c r="AG142" s="200"/>
      <c r="AH142" s="200"/>
      <c r="AI142" s="200"/>
      <c r="AJ142" s="200"/>
      <c r="AK142" s="200"/>
      <c r="AL142" s="200"/>
    </row>
    <row r="143" spans="1:38">
      <c r="A143" s="435">
        <f t="shared" si="10"/>
        <v>124</v>
      </c>
      <c r="B143" s="871" t="str">
        <f>CONCATENATE('3. Consumption by Rate Class'!B148,"-",'3. Consumption by Rate Class'!C148)</f>
        <v>2023-April</v>
      </c>
      <c r="C143" s="591"/>
      <c r="D143" s="653"/>
      <c r="E143" s="226"/>
      <c r="F143" s="226"/>
      <c r="G143" s="226"/>
      <c r="H143" s="226"/>
      <c r="I143" s="201"/>
      <c r="J143" s="616">
        <f>IF(J$19=$B$169,+AVERAGE(J23,J35,J47,J59,J71,J83,J95,J107,J119,J131),+IF(J$19=$B$170,+(EXP((LN(+'4. Customer Growth'!$W$42)/12))*$J142),IF($J$19=$B$171,+$A143*$C$176+#REF!,0)))</f>
        <v>367.87</v>
      </c>
      <c r="K143" s="616">
        <f>IF(K$19=$B$169,+AVERAGE(K23,K35,K47,K59,K71,K83,K95,K107,K119,K131),+IF(K$19=$B$170,+(EXP((LN(+'4. Customer Growth'!$W$42)/12))*$J142),IF($K$19=$B$171,+$A143*$C$177+#REF!,0)))</f>
        <v>0.12</v>
      </c>
      <c r="L143" s="616">
        <f>IF(L$19=$B$169,+AVERAGE(L23,L35,L47,L59,L71,L83,L95,L107,L119,L131),+IF(L$19=$B$170,+(EXP((LN(+'4. Customer Growth'!$W$42)/12))*$J142),IF($L$19=$B$171,+$A143*$C$178+#REF!,0)))</f>
        <v>30</v>
      </c>
      <c r="M143" s="616">
        <f>IF(M$19=$B$169,+AVERAGE(M23,M35,M47,M59,M71,M83,M95,M107,M119,M131),+IF(M$19=$B$170,+(EXP((LN(+'4. Customer Growth'!$W$42)/12))*$M142),IF($M$19=$B$171,+$A143*$C$180+#REF!,0)))</f>
        <v>13.279999999999998</v>
      </c>
      <c r="N143" s="616">
        <f>IF(N$19=$B$169,+AVERAGE(N23,N35,N47,N59,N71,N83,N95,N107,N119,N131),+IF(N$19=$B$170,+(EXP((LN(+'4. Customer Growth'!$W$42)/12))*$N142),IF($N$19=$B$171,+$A143*$C$181+#REF!,0)))</f>
        <v>0</v>
      </c>
      <c r="O143" s="928">
        <v>0</v>
      </c>
      <c r="P143" s="200"/>
      <c r="Q143" s="469">
        <f t="shared" si="9"/>
        <v>7030098.197545955</v>
      </c>
      <c r="R143" s="216"/>
      <c r="S143" s="200"/>
      <c r="T143" s="200"/>
      <c r="U143" s="200"/>
      <c r="V143" s="200"/>
      <c r="W143" s="200"/>
      <c r="X143" s="200"/>
      <c r="Y143" s="200"/>
      <c r="Z143" s="200"/>
      <c r="AA143" s="200"/>
      <c r="AB143" s="200"/>
      <c r="AC143" s="200"/>
      <c r="AD143" s="200"/>
      <c r="AE143" s="200"/>
      <c r="AF143" s="200"/>
      <c r="AG143" s="200"/>
      <c r="AH143" s="200"/>
      <c r="AI143" s="200"/>
      <c r="AJ143" s="200"/>
      <c r="AK143" s="200"/>
      <c r="AL143" s="200"/>
    </row>
    <row r="144" spans="1:38">
      <c r="A144" s="435">
        <f t="shared" si="10"/>
        <v>125</v>
      </c>
      <c r="B144" s="871" t="str">
        <f>CONCATENATE('3. Consumption by Rate Class'!B149,"-",'3. Consumption by Rate Class'!C149)</f>
        <v>2023-May</v>
      </c>
      <c r="C144" s="591"/>
      <c r="D144" s="653"/>
      <c r="E144" s="226"/>
      <c r="F144" s="226"/>
      <c r="G144" s="227"/>
      <c r="H144" s="226"/>
      <c r="I144" s="201"/>
      <c r="J144" s="616">
        <f>IF(J$19=$B$169,+AVERAGE(J24,J36,J48,J60,J72,J84,J96,J108,J120,J132),+IF(J$19=$B$170,+(EXP((LN(+'4. Customer Growth'!$W$42)/12))*$J143),IF($J$19=$B$171,+$A144*$C$176+#REF!,0)))</f>
        <v>146.9</v>
      </c>
      <c r="K144" s="616">
        <f>IF(K$19=$B$169,+AVERAGE(K24,K36,K48,K60,K72,K84,K96,K108,K120,K132),+IF(K$19=$B$170,+(EXP((LN(+'4. Customer Growth'!$W$42)/12))*$J143),IF($K$19=$B$171,+$A144*$C$177+#REF!,0)))</f>
        <v>17.89</v>
      </c>
      <c r="L144" s="616">
        <f>IF(L$19=$B$169,+AVERAGE(L24,L36,L48,L60,L72,L84,L96,L108,L120,L132),+IF(L$19=$B$170,+(EXP((LN(+'4. Customer Growth'!$W$42)/12))*$J143),IF($L$19=$B$171,+$A144*$C$178+#REF!,0)))</f>
        <v>31</v>
      </c>
      <c r="M144" s="616">
        <f>IF(M$19=$B$169,+AVERAGE(M24,M36,M48,M60,M72,M84,M96,M108,M120,M132),+IF(M$19=$B$170,+(EXP((LN(+'4. Customer Growth'!$W$42)/12))*$M143),IF($M$19=$B$171,+$A144*$C$180+#REF!,0)))</f>
        <v>14.52</v>
      </c>
      <c r="N144" s="616">
        <f>IF(N$19=$B$169,+AVERAGE(N24,N36,N48,N60,N72,N84,N96,N108,N120,N132),+IF(N$19=$B$170,+(EXP((LN(+'4. Customer Growth'!$W$42)/12))*$N143),IF($N$19=$B$171,+$A144*$C$181+#REF!,0)))</f>
        <v>0</v>
      </c>
      <c r="O144" s="928">
        <v>0</v>
      </c>
      <c r="P144" s="200"/>
      <c r="Q144" s="469">
        <f t="shared" si="9"/>
        <v>6811314.6906369524</v>
      </c>
      <c r="R144" s="216"/>
      <c r="S144" s="200"/>
      <c r="T144" s="200"/>
      <c r="U144" s="200"/>
      <c r="V144" s="200"/>
      <c r="W144" s="200"/>
      <c r="X144" s="200"/>
      <c r="Y144" s="200"/>
      <c r="Z144" s="200"/>
      <c r="AA144" s="200"/>
      <c r="AB144" s="200"/>
      <c r="AC144" s="200"/>
      <c r="AD144" s="200"/>
      <c r="AE144" s="200"/>
      <c r="AF144" s="200"/>
      <c r="AG144" s="200"/>
      <c r="AH144" s="200"/>
      <c r="AI144" s="200"/>
      <c r="AJ144" s="200"/>
      <c r="AK144" s="200"/>
      <c r="AL144" s="200"/>
    </row>
    <row r="145" spans="1:38">
      <c r="A145" s="435">
        <f t="shared" si="10"/>
        <v>126</v>
      </c>
      <c r="B145" s="871" t="str">
        <f>CONCATENATE('3. Consumption by Rate Class'!B150,"-",'3. Consumption by Rate Class'!C150)</f>
        <v>2023-June</v>
      </c>
      <c r="C145" s="591"/>
      <c r="D145" s="653"/>
      <c r="E145" s="226"/>
      <c r="F145" s="226"/>
      <c r="G145" s="226"/>
      <c r="H145" s="226"/>
      <c r="I145" s="201"/>
      <c r="J145" s="616">
        <f>IF(J$19=$B$169,+AVERAGE(J25,J37,J49,J61,J73,J85,J97,J109,J121,J133),+IF(J$19=$B$170,+(EXP((LN(+'4. Customer Growth'!$W$42)/12))*$J144),IF($J$19=$B$171,+$A145*$C$176+#REF!,0)))</f>
        <v>39.36</v>
      </c>
      <c r="K145" s="616">
        <f>IF(K$19=$B$169,+AVERAGE(K25,K37,K49,K61,K73,K85,K97,K109,K121,K133),+IF(K$19=$B$170,+(EXP((LN(+'4. Customer Growth'!$W$42)/12))*$J144),IF($K$19=$B$171,+$A145*$C$177+#REF!,0)))</f>
        <v>46.870000000000005</v>
      </c>
      <c r="L145" s="616">
        <f>IF(L$19=$B$169,+AVERAGE(L25,L37,L49,L61,L73,L85,L97,L109,L121,L133),+IF(L$19=$B$170,+(EXP((LN(+'4. Customer Growth'!$W$42)/12))*$J144),IF($L$19=$B$171,+$A145*$C$178+#REF!,0)))</f>
        <v>30</v>
      </c>
      <c r="M145" s="616">
        <f>IF(M$19=$B$169,+AVERAGE(M25,M37,M49,M61,M73,M85,M97,M109,M121,M133),+IF(M$19=$B$170,+(EXP((LN(+'4. Customer Growth'!$W$42)/12))*$M144),IF($M$19=$B$171,+$A145*$C$180+#REF!,0)))</f>
        <v>15.349999999999998</v>
      </c>
      <c r="N145" s="616">
        <f>IF(N$19=$B$169,+AVERAGE(N25,N37,N49,N61,N73,N85,N97,N109,N121,N133),+IF(N$19=$B$170,+(EXP((LN(+'4. Customer Growth'!$W$42)/12))*$N144),IF($N$19=$B$171,+$A145*$C$181+#REF!,0)))</f>
        <v>0</v>
      </c>
      <c r="O145" s="928">
        <v>0</v>
      </c>
      <c r="P145" s="200"/>
      <c r="Q145" s="469">
        <f t="shared" si="9"/>
        <v>6774491.1090808716</v>
      </c>
      <c r="R145" s="216"/>
      <c r="S145" s="200"/>
      <c r="T145" s="200"/>
      <c r="U145" s="200"/>
      <c r="V145" s="200"/>
      <c r="W145" s="228"/>
      <c r="X145" s="200"/>
      <c r="Y145" s="200"/>
      <c r="Z145" s="200"/>
      <c r="AA145" s="200"/>
      <c r="AB145" s="200"/>
      <c r="AC145" s="200"/>
      <c r="AD145" s="200"/>
      <c r="AE145" s="200"/>
      <c r="AF145" s="200"/>
      <c r="AG145" s="200"/>
      <c r="AH145" s="200"/>
      <c r="AI145" s="200"/>
      <c r="AJ145" s="200"/>
      <c r="AK145" s="200"/>
      <c r="AL145" s="200"/>
    </row>
    <row r="146" spans="1:38">
      <c r="A146" s="435">
        <f t="shared" si="10"/>
        <v>127</v>
      </c>
      <c r="B146" s="871" t="str">
        <f>CONCATENATE('3. Consumption by Rate Class'!B151,"-",'3. Consumption by Rate Class'!C151)</f>
        <v>2023-July</v>
      </c>
      <c r="C146" s="591"/>
      <c r="D146" s="653"/>
      <c r="E146" s="226"/>
      <c r="F146" s="226"/>
      <c r="G146" s="226"/>
      <c r="H146" s="226"/>
      <c r="I146" s="201"/>
      <c r="J146" s="616">
        <f>IF(J$19=$B$169,+AVERAGE(J26,J38,J50,J62,J74,J86,J98,J110,J122,J134),+IF(J$19=$B$170,+(EXP((LN(+'4. Customer Growth'!$W$42)/12))*$J145),IF($J$19=$B$171,+$A146*$C$176+#REF!,0)))</f>
        <v>5.0600000000000005</v>
      </c>
      <c r="K146" s="616">
        <f>IF(K$19=$B$169,+AVERAGE(K26,K38,K50,K62,K74,K86,K98,K110,K122,K134),+IF(K$19=$B$170,+(EXP((LN(+'4. Customer Growth'!$W$42)/12))*$J145),IF($K$19=$B$171,+$A146*$C$177+#REF!,0)))</f>
        <v>108.35000000000002</v>
      </c>
      <c r="L146" s="616">
        <f>IF(L$19=$B$169,+AVERAGE(L26,L38,L50,L62,L74,L86,L98,L110,L122,L134),+IF(L$19=$B$170,+(EXP((LN(+'4. Customer Growth'!$W$42)/12))*$J145),IF($L$19=$B$171,+$A146*$C$178+#REF!,0)))</f>
        <v>31</v>
      </c>
      <c r="M146" s="616">
        <f>IF(M$19=$B$169,+AVERAGE(M26,M38,M50,M62,M74,M86,M98,M110,M122,M134),+IF(M$19=$B$170,+(EXP((LN(+'4. Customer Growth'!$W$42)/12))*$M145),IF($M$19=$B$171,+$A146*$C$180+#REF!,0)))</f>
        <v>15.150000000000002</v>
      </c>
      <c r="N146" s="616">
        <f>IF(N$19=$B$169,+AVERAGE(N26,N38,N50,N62,N74,N86,N98,N110,N122,N134),+IF(N$19=$B$170,+(EXP((LN(+'4. Customer Growth'!$W$42)/12))*$N145),IF($N$19=$B$171,+$A146*$C$181+#REF!,0)))</f>
        <v>0</v>
      </c>
      <c r="O146" s="928">
        <v>0</v>
      </c>
      <c r="P146" s="200"/>
      <c r="Q146" s="469">
        <f t="shared" si="9"/>
        <v>7760561.4513573069</v>
      </c>
      <c r="R146" s="216"/>
      <c r="S146" s="200"/>
      <c r="T146" s="200"/>
      <c r="U146" s="200"/>
      <c r="V146" s="200"/>
      <c r="W146" s="200"/>
      <c r="X146" s="200"/>
      <c r="Y146" s="200"/>
      <c r="Z146" s="200"/>
      <c r="AA146" s="200"/>
      <c r="AB146" s="200"/>
      <c r="AC146" s="200"/>
      <c r="AD146" s="200"/>
      <c r="AE146" s="200"/>
      <c r="AF146" s="200"/>
      <c r="AG146" s="200"/>
      <c r="AH146" s="200"/>
      <c r="AI146" s="200"/>
      <c r="AJ146" s="200"/>
      <c r="AK146" s="200"/>
      <c r="AL146" s="200"/>
    </row>
    <row r="147" spans="1:38">
      <c r="A147" s="435">
        <f t="shared" si="10"/>
        <v>128</v>
      </c>
      <c r="B147" s="871" t="str">
        <f>CONCATENATE('3. Consumption by Rate Class'!B152,"-",'3. Consumption by Rate Class'!C152)</f>
        <v>2023-August</v>
      </c>
      <c r="C147" s="591"/>
      <c r="D147" s="653"/>
      <c r="E147" s="226"/>
      <c r="F147" s="226"/>
      <c r="G147" s="226"/>
      <c r="H147" s="226"/>
      <c r="I147" s="201"/>
      <c r="J147" s="616">
        <f>IF(J$19=$B$169,+AVERAGE(J27,J39,J51,J63,J75,J87,J99,J111,J123,J135),+IF(J$19=$B$170,+(EXP((LN(+'4. Customer Growth'!$W$42)/12))*$J146),IF($J$19=$B$171,+$A147*$C$176+#REF!,0)))</f>
        <v>11.349999999999998</v>
      </c>
      <c r="K147" s="616">
        <f>IF(K$19=$B$169,+AVERAGE(K27,K39,K51,K63,K75,K87,K99,K111,K123,K135),+IF(K$19=$B$170,+(EXP((LN(+'4. Customer Growth'!$W$42)/12))*$J146),IF($K$19=$B$171,+$A147*$C$177+#REF!,0)))</f>
        <v>81.679999999999993</v>
      </c>
      <c r="L147" s="616">
        <f>IF(L$19=$B$169,+AVERAGE(L27,L39,L51,L63,L75,L87,L99,L111,L123,L135),+IF(L$19=$B$170,+(EXP((LN(+'4. Customer Growth'!$W$42)/12))*$J146),IF($L$19=$B$171,+$A147*$C$178+#REF!,0)))</f>
        <v>31</v>
      </c>
      <c r="M147" s="616">
        <f>IF(M$19=$B$169,+AVERAGE(M27,M39,M51,M63,M75,M87,M99,M111,M123,M135),+IF(M$19=$B$170,+(EXP((LN(+'4. Customer Growth'!$W$42)/12))*$M146),IF($M$19=$B$171,+$A147*$C$180+#REF!,0)))</f>
        <v>14.029999999999998</v>
      </c>
      <c r="N147" s="616">
        <f>IF(N$19=$B$169,+AVERAGE(N27,N39,N51,N63,N75,N87,N99,N111,N123,N135),+IF(N$19=$B$170,+(EXP((LN(+'4. Customer Growth'!$W$42)/12))*$N146),IF($N$19=$B$171,+$A147*$C$181+#REF!,0)))</f>
        <v>0</v>
      </c>
      <c r="O147" s="928">
        <v>0</v>
      </c>
      <c r="P147" s="200"/>
      <c r="Q147" s="469">
        <f t="shared" si="9"/>
        <v>7354748.2105935747</v>
      </c>
      <c r="R147" s="216"/>
      <c r="S147" s="200"/>
      <c r="T147" s="200"/>
      <c r="U147" s="200"/>
      <c r="V147" s="200"/>
      <c r="W147" s="200"/>
      <c r="X147" s="200"/>
      <c r="Y147" s="200"/>
      <c r="Z147" s="200"/>
      <c r="AA147" s="200"/>
      <c r="AB147" s="200"/>
      <c r="AC147" s="200"/>
      <c r="AD147" s="200"/>
      <c r="AE147" s="200"/>
      <c r="AF147" s="200"/>
      <c r="AG147" s="200"/>
      <c r="AH147" s="200"/>
      <c r="AI147" s="200"/>
      <c r="AJ147" s="200"/>
      <c r="AK147" s="200"/>
      <c r="AL147" s="200"/>
    </row>
    <row r="148" spans="1:38">
      <c r="A148" s="435">
        <f t="shared" si="10"/>
        <v>129</v>
      </c>
      <c r="B148" s="871" t="str">
        <f>CONCATENATE('3. Consumption by Rate Class'!B153,"-",'3. Consumption by Rate Class'!C153)</f>
        <v>2023-September</v>
      </c>
      <c r="C148" s="591"/>
      <c r="D148" s="653"/>
      <c r="E148" s="226"/>
      <c r="F148" s="226"/>
      <c r="G148" s="226"/>
      <c r="H148" s="226"/>
      <c r="I148" s="201"/>
      <c r="J148" s="616">
        <f>IF(J$19=$B$169,+AVERAGE(J28,J40,J52,J64,J76,J88,J100,J112,J124,J136),+IF(J$19=$B$170,+(EXP((LN(+'4. Customer Growth'!$W$42)/12))*$J147),IF($J$19=$B$171,+$A148*$C$176+#REF!,0)))</f>
        <v>94.320000000000007</v>
      </c>
      <c r="K148" s="616">
        <f>IF(K$19=$B$169,+AVERAGE(K28,K40,K52,K64,K76,K88,K100,K112,K124,K136),+IF(K$19=$B$170,+(EXP((LN(+'4. Customer Growth'!$W$42)/12))*$J147),IF($K$19=$B$171,+$A148*$C$177+#REF!,0)))</f>
        <v>23.93</v>
      </c>
      <c r="L148" s="616">
        <f>IF(L$19=$B$169,+AVERAGE(L28,L40,L52,L64,L76,L88,L100,L112,L124,L136),+IF(L$19=$B$170,+(EXP((LN(+'4. Customer Growth'!$W$42)/12))*$J147),IF($L$19=$B$171,+$A148*$C$178+#REF!,0)))</f>
        <v>30</v>
      </c>
      <c r="M148" s="616">
        <f>IF(M$19=$B$169,+AVERAGE(M28,M40,M52,M64,M76,M88,M100,M112,M124,M136),+IF(M$19=$B$170,+(EXP((LN(+'4. Customer Growth'!$W$42)/12))*$M147),IF($M$19=$B$171,+$A148*$C$180+#REF!,0)))</f>
        <v>12.289999999999997</v>
      </c>
      <c r="N148" s="616">
        <f>IF(N$19=$B$169,+AVERAGE(N28,N40,N52,N64,N76,N88,N100,N112,N124,N136),+IF(N$19=$B$170,+(EXP((LN(+'4. Customer Growth'!$W$42)/12))*$N147),IF($N$19=$B$171,+$A148*$C$181+#REF!,0)))</f>
        <v>0</v>
      </c>
      <c r="O148" s="928">
        <v>0</v>
      </c>
      <c r="P148" s="200"/>
      <c r="Q148" s="469">
        <f t="shared" si="9"/>
        <v>6537345.4417770626</v>
      </c>
      <c r="R148" s="216"/>
      <c r="S148" s="200"/>
      <c r="T148" s="200"/>
      <c r="U148" s="200"/>
      <c r="V148" s="200"/>
      <c r="W148" s="200"/>
      <c r="X148" s="200"/>
      <c r="Y148" s="200"/>
      <c r="Z148" s="200"/>
      <c r="AA148" s="200"/>
      <c r="AB148" s="200"/>
      <c r="AC148" s="200"/>
      <c r="AD148" s="200"/>
      <c r="AE148" s="200"/>
      <c r="AF148" s="200"/>
      <c r="AG148" s="200"/>
      <c r="AH148" s="200"/>
      <c r="AI148" s="200"/>
      <c r="AJ148" s="200"/>
      <c r="AK148" s="200"/>
      <c r="AL148" s="200"/>
    </row>
    <row r="149" spans="1:38">
      <c r="A149" s="435">
        <f t="shared" si="10"/>
        <v>130</v>
      </c>
      <c r="B149" s="871" t="str">
        <f>CONCATENATE('3. Consumption by Rate Class'!B154,"-",'3. Consumption by Rate Class'!C154)</f>
        <v>2023-October</v>
      </c>
      <c r="C149" s="591"/>
      <c r="D149" s="653"/>
      <c r="E149" s="226"/>
      <c r="F149" s="226"/>
      <c r="G149" s="226"/>
      <c r="H149" s="226"/>
      <c r="I149" s="201"/>
      <c r="J149" s="616">
        <f>IF(J$19=$B$169,+AVERAGE(J29,J41,J53,J65,J77,J89,J101,J113,J125,J137),+IF(J$19=$B$170,+(EXP((LN(+'4. Customer Growth'!$W$42)/12))*$J148),IF($J$19=$B$171,+$A149*$C$176+#REF!,0)))</f>
        <v>276.31</v>
      </c>
      <c r="K149" s="616">
        <f>IF(K$19=$B$169,+AVERAGE(K29,K41,K53,K65,K77,K89,K101,K113,K125,K137),+IF(K$19=$B$170,+(EXP((LN(+'4. Customer Growth'!$W$42)/12))*$J148),IF($K$19=$B$171,+$A149*$C$177+#REF!,0)))</f>
        <v>0.56000000000000005</v>
      </c>
      <c r="L149" s="616">
        <f>IF(L$19=$B$169,+AVERAGE(L29,L41,L53,L65,L77,L89,L101,L113,L125,L137),+IF(L$19=$B$170,+(EXP((LN(+'4. Customer Growth'!$W$42)/12))*$J148),IF($L$19=$B$171,+$A149*$C$178+#REF!,0)))</f>
        <v>31</v>
      </c>
      <c r="M149" s="616">
        <f>IF(M$19=$B$169,+AVERAGE(M29,M41,M53,M65,M77,M89,M101,M113,M125,M137),+IF(M$19=$B$170,+(EXP((LN(+'4. Customer Growth'!$W$42)/12))*$M148),IF($M$19=$B$171,+$A149*$C$180+#REF!,0)))</f>
        <v>10.510000000000002</v>
      </c>
      <c r="N149" s="616">
        <f>IF(N$19=$B$169,+AVERAGE(N29,N41,N53,N65,N77,N89,N101,N113,N125,N137),+IF(N$19=$B$170,+(EXP((LN(+'4. Customer Growth'!$W$42)/12))*$N148),IF($N$19=$B$171,+$A149*$C$181+#REF!,0)))</f>
        <v>0</v>
      </c>
      <c r="O149" s="928">
        <v>0</v>
      </c>
      <c r="P149" s="200"/>
      <c r="Q149" s="469">
        <f t="shared" ref="Q149:Q163" si="11">$U$34+(J149*$U$35)+(K149*$U$36)+(L149*$U$37)+(M149*$U$38)</f>
        <v>6868559.6434041513</v>
      </c>
      <c r="R149" s="216"/>
      <c r="S149" s="200"/>
      <c r="T149" s="200"/>
      <c r="U149" s="200"/>
      <c r="V149" s="200"/>
      <c r="W149" s="200"/>
      <c r="X149" s="200"/>
      <c r="Y149" s="200"/>
      <c r="Z149" s="200"/>
      <c r="AA149" s="200"/>
      <c r="AB149" s="200"/>
      <c r="AC149" s="200"/>
      <c r="AD149" s="200"/>
      <c r="AE149" s="200"/>
      <c r="AF149" s="200"/>
      <c r="AG149" s="200"/>
      <c r="AH149" s="200"/>
      <c r="AI149" s="200"/>
      <c r="AJ149" s="200"/>
      <c r="AK149" s="200"/>
      <c r="AL149" s="200"/>
    </row>
    <row r="150" spans="1:38">
      <c r="A150" s="435">
        <f t="shared" ref="A150:A163" si="12">+A149+1</f>
        <v>131</v>
      </c>
      <c r="B150" s="871" t="str">
        <f>CONCATENATE('3. Consumption by Rate Class'!B155,"-",'3. Consumption by Rate Class'!C155)</f>
        <v>2023-November</v>
      </c>
      <c r="C150" s="591"/>
      <c r="D150" s="653"/>
      <c r="E150" s="226"/>
      <c r="F150" s="226"/>
      <c r="G150" s="226"/>
      <c r="H150" s="226"/>
      <c r="I150" s="201"/>
      <c r="J150" s="616">
        <f>IF(J$19=$B$169,+AVERAGE(J30,J42,J54,J66,J78,J90,J102,J114,J126,J138),+IF(J$19=$B$170,+(EXP((LN(+'4. Customer Growth'!$W$42)/12))*$J149),IF($J$19=$B$171,+$A150*$C$176+#REF!,0)))</f>
        <v>503.03999999999996</v>
      </c>
      <c r="K150" s="616">
        <f>IF(K$19=$B$169,+AVERAGE(K30,K42,K54,K66,K78,K90,K102,K114,K126,K138),+IF(K$19=$B$170,+(EXP((LN(+'4. Customer Growth'!$W$42)/12))*$J149),IF($K$19=$B$171,+$A150*$C$177+#REF!,0)))</f>
        <v>0.11000000000000001</v>
      </c>
      <c r="L150" s="616">
        <f>IF(L$19=$B$169,+AVERAGE(L30,L42,L54,L66,L78,L90,L102,L114,L126,L138),+IF(L$19=$B$170,+(EXP((LN(+'4. Customer Growth'!$W$42)/12))*$J149),IF($L$19=$B$171,+$A150*$C$178+#REF!,0)))</f>
        <v>30</v>
      </c>
      <c r="M150" s="616">
        <f>IF(M$19=$B$169,+AVERAGE(M30,M42,M54,M66,M78,M90,M102,M114,M126,M138),+IF(M$19=$B$170,+(EXP((LN(+'4. Customer Growth'!$W$42)/12))*$M149),IF($M$19=$B$171,+$A150*$C$180+#REF!,0)))</f>
        <v>9.2799999999999994</v>
      </c>
      <c r="N150" s="616">
        <f>IF(N$19=$B$169,+AVERAGE(N30,N42,N54,N66,N78,N90,N102,N114,N126,N138),+IF(N$19=$B$170,+(EXP((LN(+'4. Customer Growth'!$W$42)/12))*$N149),IF($N$19=$B$171,+$A150*$C$181+#REF!,0)))</f>
        <v>0</v>
      </c>
      <c r="O150" s="928">
        <v>0</v>
      </c>
      <c r="P150" s="200"/>
      <c r="Q150" s="469">
        <f t="shared" si="11"/>
        <v>7367481.3595086876</v>
      </c>
      <c r="R150" s="216"/>
      <c r="S150" s="200"/>
      <c r="T150" s="200"/>
      <c r="U150" s="200"/>
      <c r="V150" s="200"/>
      <c r="W150" s="200"/>
      <c r="X150" s="200"/>
      <c r="Y150" s="200"/>
      <c r="Z150" s="200"/>
      <c r="AA150" s="200"/>
      <c r="AB150" s="200"/>
      <c r="AC150" s="200"/>
      <c r="AD150" s="200"/>
      <c r="AE150" s="200"/>
      <c r="AF150" s="200"/>
      <c r="AG150" s="200"/>
      <c r="AH150" s="200"/>
      <c r="AI150" s="200"/>
      <c r="AJ150" s="200"/>
      <c r="AK150" s="200"/>
      <c r="AL150" s="200"/>
    </row>
    <row r="151" spans="1:38">
      <c r="A151" s="435">
        <f t="shared" si="12"/>
        <v>132</v>
      </c>
      <c r="B151" s="871" t="str">
        <f>CONCATENATE('3. Consumption by Rate Class'!B156,"-",'3. Consumption by Rate Class'!C156)</f>
        <v>2023-December</v>
      </c>
      <c r="C151" s="591"/>
      <c r="D151" s="653"/>
      <c r="E151" s="226"/>
      <c r="F151" s="226"/>
      <c r="G151" s="226"/>
      <c r="H151" s="226"/>
      <c r="I151" s="201"/>
      <c r="J151" s="616">
        <f>IF(J$19=$B$169,+AVERAGE(J31,J43,J55,J67,J79,J91,J103,J115,J127,J139),+IF(J$19=$B$170,+(EXP((LN(+'4. Customer Growth'!$W$42)/12))*$J150),IF($J$19=$B$171,+$A151*$C$176+#REF!,0)))</f>
        <v>715.29</v>
      </c>
      <c r="K151" s="616">
        <f>IF(K$19=$B$169,+AVERAGE(K31,K43,K55,K67,K79,K91,K103,K115,K127,K139),+IF(K$19=$B$170,+(EXP((LN(+'4. Customer Growth'!$W$42)/12))*$J150),IF($K$19=$B$171,+$A151*$C$177+#REF!,0)))</f>
        <v>0</v>
      </c>
      <c r="L151" s="616">
        <f>IF(L$19=$B$169,+AVERAGE(L31,L43,L55,L67,L79,L91,L103,L115,L127,L139),+IF(L$19=$B$170,+(EXP((LN(+'4. Customer Growth'!$W$42)/12))*$J150),IF($L$19=$B$171,+$A151*$C$178+#REF!,0)))</f>
        <v>31</v>
      </c>
      <c r="M151" s="616">
        <f>IF(M$19=$B$169,+AVERAGE(M31,M43,M55,M67,M79,M91,M103,M115,M127,M139),+IF(M$19=$B$170,+(EXP((LN(+'4. Customer Growth'!$W$42)/12))*$M150),IF($M$19=$B$171,+$A151*$C$180+#REF!,0)))</f>
        <v>8.4700000000000006</v>
      </c>
      <c r="N151" s="616">
        <f>IF(N$19=$B$169,+AVERAGE(N31,N43,N55,N67,N79,N91,N103,N115,N127,N139),+IF(N$19=$B$170,+(EXP((LN(+'4. Customer Growth'!$W$42)/12))*$N150),IF($N$19=$B$171,+$A151*$C$181+#REF!,0)))</f>
        <v>0</v>
      </c>
      <c r="O151" s="928">
        <v>0</v>
      </c>
      <c r="P151" s="200"/>
      <c r="Q151" s="469">
        <f t="shared" si="11"/>
        <v>8161590.4471807461</v>
      </c>
      <c r="R151" s="216">
        <f>SUM(Q140:Q151)</f>
        <v>89099077.476831332</v>
      </c>
      <c r="S151" s="200"/>
      <c r="T151" s="200"/>
      <c r="U151" s="200"/>
      <c r="V151" s="200"/>
      <c r="W151" s="200"/>
      <c r="X151" s="200"/>
      <c r="Y151" s="200"/>
      <c r="Z151" s="200"/>
      <c r="AA151" s="200"/>
      <c r="AB151" s="200"/>
      <c r="AC151" s="200"/>
      <c r="AD151" s="200"/>
      <c r="AE151" s="200"/>
      <c r="AF151" s="200"/>
      <c r="AG151" s="200"/>
      <c r="AH151" s="200"/>
      <c r="AI151" s="200"/>
      <c r="AJ151" s="200"/>
      <c r="AK151" s="200"/>
      <c r="AL151" s="200"/>
    </row>
    <row r="152" spans="1:38">
      <c r="A152" s="435">
        <f t="shared" si="12"/>
        <v>133</v>
      </c>
      <c r="B152" s="871" t="str">
        <f>CONCATENATE('3. Consumption by Rate Class'!B157,"-",'3. Consumption by Rate Class'!C157)</f>
        <v>2024-January</v>
      </c>
      <c r="C152" s="591"/>
      <c r="D152" s="653"/>
      <c r="E152" s="226"/>
      <c r="F152" s="226"/>
      <c r="G152" s="226"/>
      <c r="H152" s="226"/>
      <c r="I152" s="201"/>
      <c r="J152" s="616">
        <f>IF(J$19=$B$169,+AVERAGE(J32,J44,J56,J68,J80,J92,J104,J116,J128,J140),+IF(J$19=$B$170,+(EXP((LN(+'4. Customer Growth'!$W$43)/12))*$J151),IF($J$19=$B$171,+$A152*$C$176+#REF!,0)))</f>
        <v>862.7360000000001</v>
      </c>
      <c r="K152" s="616">
        <f>IF(K$19=$B$169,+AVERAGE(K32,K44,K56,K68,K80,K92,K104,K116,K128,K140),+IF(K$19=$B$170,+(EXP((LN(+'4. Customer Growth'!$W$43)/12))*$J151),IF($K$19=$B$171,+$A152*$C$177+#REF!,0)))</f>
        <v>0</v>
      </c>
      <c r="L152" s="616">
        <f>IF(L$19=$B$169,+AVERAGE(L32,L44,L56,L68,L80,L92,L104,L116,L128,L140),+IF(L$19=$B$170,+(EXP((LN(+'4. Customer Growth'!$W$43)/12))*$J151),IF($L$19=$B$171,+$A152*$C$178+#REF!,0)))</f>
        <v>31</v>
      </c>
      <c r="M152" s="616">
        <f>IF(M$19=$B$169,+AVERAGE(M32,M44,M56,M68,M80,M92,M104,M116,M128,M140),+IF(M$19=$B$170,+(EXP((LN(+'4. Customer Growth'!$W$43)/12))*$M151),IF($M$19=$B$171,+$A152*$C$180+#REF!,0)))</f>
        <v>9.0900000000000016</v>
      </c>
      <c r="N152" s="616">
        <f>IF(N$19=$B$169,+AVERAGE(N32,N44,N56,N68,N80,N92,N104,N116,N128,N140),+IF(N$19=$B$170,+(EXP((LN(+'4. Customer Growth'!$W$43)/12))*$N151),IF($N$19=$B$171,+$A152*$C$181+#REF!,0)))</f>
        <v>0</v>
      </c>
      <c r="O152" s="928">
        <v>0</v>
      </c>
      <c r="P152" s="200"/>
      <c r="Q152" s="469">
        <f t="shared" si="11"/>
        <v>8623220.8867707588</v>
      </c>
      <c r="R152" s="216"/>
      <c r="S152" s="200"/>
      <c r="T152" s="200"/>
      <c r="U152" s="200"/>
      <c r="V152" s="200"/>
      <c r="W152" s="200"/>
      <c r="X152" s="200"/>
      <c r="Y152" s="200"/>
      <c r="Z152" s="200"/>
      <c r="AA152" s="200"/>
      <c r="AB152" s="200"/>
      <c r="AC152" s="200"/>
      <c r="AD152" s="200"/>
      <c r="AE152" s="200"/>
      <c r="AF152" s="200"/>
      <c r="AG152" s="200"/>
      <c r="AH152" s="200"/>
      <c r="AI152" s="200"/>
      <c r="AJ152" s="200"/>
      <c r="AK152" s="200"/>
      <c r="AL152" s="200"/>
    </row>
    <row r="153" spans="1:38">
      <c r="A153" s="435">
        <f t="shared" si="12"/>
        <v>134</v>
      </c>
      <c r="B153" s="871" t="str">
        <f>CONCATENATE('3. Consumption by Rate Class'!B158,"-",'3. Consumption by Rate Class'!C158)</f>
        <v>2024-February</v>
      </c>
      <c r="C153" s="591"/>
      <c r="D153" s="653"/>
      <c r="E153" s="226"/>
      <c r="F153" s="226"/>
      <c r="G153" s="226"/>
      <c r="H153" s="226"/>
      <c r="I153" s="201"/>
      <c r="J153" s="616">
        <f>IF(J$19=$B$169,+AVERAGE(J33,J45,J57,J69,J81,J93,J105,J117,J129,J141),+IF(J$19=$B$170,+(EXP((LN(+'4. Customer Growth'!$W$43)/12))*$J152),IF($J$19=$B$171,+$A153*$C$176+#REF!,0)))</f>
        <v>745.20899999999995</v>
      </c>
      <c r="K153" s="616">
        <f>IF(K$19=$B$169,+AVERAGE(K33,K45,K57,K69,K81,K93,K105,K117,K129,K141),+IF(K$19=$B$170,+(EXP((LN(+'4. Customer Growth'!$W$43)/12))*$J152),IF($K$19=$B$171,+$A153*$C$177+#REF!,0)))</f>
        <v>0</v>
      </c>
      <c r="L153" s="616">
        <f>IF(L$19=$B$169,+AVERAGE(L33,L45,L57,L69,L81,L93,L105,L117,L129,L141),+IF(L$19=$B$170,+(EXP((LN(+'4. Customer Growth'!$W$43)/12))*$J152),IF($L$19=$B$171,+$A153*$C$178+#REF!,0)))</f>
        <v>28.22</v>
      </c>
      <c r="M153" s="616">
        <f>IF(M$19=$B$169,+AVERAGE(M33,M45,M57,M69,M81,M93,M105,M117,M129,M141),+IF(M$19=$B$170,+(EXP((LN(+'4. Customer Growth'!$W$43)/12))*$M152),IF($M$19=$B$171,+$A153*$C$180+#REF!,0)))</f>
        <v>10.19</v>
      </c>
      <c r="N153" s="616">
        <f>IF(N$19=$B$169,+AVERAGE(N33,N45,N57,N69,N81,N93,N105,N117,N129,N141),+IF(N$19=$B$170,+(EXP((LN(+'4. Customer Growth'!$W$43)/12))*$N152),IF($N$19=$B$171,+$A153*$C$181+#REF!,0)))</f>
        <v>0</v>
      </c>
      <c r="O153" s="928">
        <v>0</v>
      </c>
      <c r="P153" s="200"/>
      <c r="Q153" s="469">
        <f t="shared" si="11"/>
        <v>7831522.1886656294</v>
      </c>
      <c r="R153" s="216"/>
      <c r="S153" s="200"/>
      <c r="T153" s="200"/>
      <c r="U153" s="200"/>
      <c r="V153" s="200"/>
      <c r="W153" s="200"/>
      <c r="X153" s="200"/>
      <c r="Y153" s="200"/>
      <c r="Z153" s="200"/>
      <c r="AA153" s="200"/>
      <c r="AB153" s="200"/>
      <c r="AC153" s="200"/>
      <c r="AD153" s="200"/>
      <c r="AE153" s="200"/>
      <c r="AF153" s="200"/>
      <c r="AG153" s="200"/>
      <c r="AH153" s="200"/>
      <c r="AI153" s="200"/>
      <c r="AJ153" s="200"/>
      <c r="AK153" s="200"/>
      <c r="AL153" s="200"/>
    </row>
    <row r="154" spans="1:38">
      <c r="A154" s="435">
        <f t="shared" si="12"/>
        <v>135</v>
      </c>
      <c r="B154" s="871" t="str">
        <f>CONCATENATE('3. Consumption by Rate Class'!B159,"-",'3. Consumption by Rate Class'!C159)</f>
        <v>2024-March</v>
      </c>
      <c r="C154" s="591"/>
      <c r="D154" s="653"/>
      <c r="E154" s="226"/>
      <c r="F154" s="226"/>
      <c r="G154" s="226"/>
      <c r="H154" s="226"/>
      <c r="I154" s="201"/>
      <c r="J154" s="616">
        <f>IF(J$19=$B$169,+AVERAGE(J34,J46,J58,J70,J82,J94,J106,J118,J130,J142),+IF(J$19=$B$170,+(EXP((LN(+'4. Customer Growth'!$W$43)/12))*$J153),IF($J$19=$B$171,+$A154*$C$176+#REF!,0)))</f>
        <v>647.327</v>
      </c>
      <c r="K154" s="616">
        <f>IF(K$19=$B$169,+AVERAGE(K34,K46,K58,K70,K82,K94,K106,K118,K130,K142),+IF(K$19=$B$170,+(EXP((LN(+'4. Customer Growth'!$W$43)/12))*$J153),IF($K$19=$B$171,+$A154*$C$177+#REF!,0)))</f>
        <v>0</v>
      </c>
      <c r="L154" s="616">
        <f>IF(L$19=$B$169,+AVERAGE(L34,L46,L58,L70,L82,L94,L106,L118,L130,L142),+IF(L$19=$B$170,+(EXP((LN(+'4. Customer Growth'!$W$43)/12))*$J153),IF($L$19=$B$171,+$A154*$C$178+#REF!,0)))</f>
        <v>31</v>
      </c>
      <c r="M154" s="616">
        <f>IF(M$19=$B$169,+AVERAGE(M34,M46,M58,M70,M82,M94,M106,M118,M130,M142),+IF(M$19=$B$170,+(EXP((LN(+'4. Customer Growth'!$W$43)/12))*$M153),IF($M$19=$B$171,+$A154*$C$180+#REF!,0)))</f>
        <v>11.510000000000002</v>
      </c>
      <c r="N154" s="616">
        <f>IF(N$19=$B$169,+AVERAGE(N34,N46,N58,N70,N82,N94,N106,N118,N130,N142),+IF(N$19=$B$170,+(EXP((LN(+'4. Customer Growth'!$W$43)/12))*$N153),IF($N$19=$B$171,+$A154*$C$181+#REF!,0)))</f>
        <v>0</v>
      </c>
      <c r="O154" s="928">
        <v>0</v>
      </c>
      <c r="P154" s="200"/>
      <c r="Q154" s="469">
        <f t="shared" si="11"/>
        <v>8011170.4751740163</v>
      </c>
      <c r="R154" s="216"/>
      <c r="S154" s="200"/>
      <c r="T154" s="200"/>
      <c r="U154" s="200"/>
      <c r="V154" s="200"/>
      <c r="W154" s="200"/>
      <c r="X154" s="200"/>
      <c r="Y154" s="200"/>
      <c r="Z154" s="200"/>
      <c r="AA154" s="200"/>
      <c r="AB154" s="200"/>
      <c r="AC154" s="200"/>
      <c r="AD154" s="200"/>
      <c r="AE154" s="200"/>
      <c r="AF154" s="200"/>
      <c r="AG154" s="200"/>
      <c r="AH154" s="200"/>
      <c r="AI154" s="200"/>
      <c r="AJ154" s="200"/>
      <c r="AK154" s="200"/>
      <c r="AL154" s="200"/>
    </row>
    <row r="155" spans="1:38">
      <c r="A155" s="435">
        <f t="shared" si="12"/>
        <v>136</v>
      </c>
      <c r="B155" s="871" t="str">
        <f>CONCATENATE('3. Consumption by Rate Class'!B160,"-",'3. Consumption by Rate Class'!C160)</f>
        <v>2024-April</v>
      </c>
      <c r="C155" s="591"/>
      <c r="D155" s="653"/>
      <c r="E155" s="226"/>
      <c r="F155" s="226"/>
      <c r="G155" s="226"/>
      <c r="H155" s="226"/>
      <c r="I155" s="201"/>
      <c r="J155" s="616">
        <f>IF(J$19=$B$169,+AVERAGE(J35,J47,J59,J71,J83,J95,J107,J119,J131,J143),+IF(J$19=$B$170,+(EXP((LN(+'4. Customer Growth'!$W$43)/12))*$J154),IF($J$19=$B$171,+$A155*$C$176+#REF!,0)))</f>
        <v>376.10700000000003</v>
      </c>
      <c r="K155" s="616">
        <f>IF(K$19=$B$169,+AVERAGE(K35,K47,K59,K71,K83,K95,K107,K119,K131,K143),+IF(K$19=$B$170,+(EXP((LN(+'4. Customer Growth'!$W$43)/12))*$J154),IF($K$19=$B$171,+$A155*$C$177+#REF!,0)))</f>
        <v>0.13199999999999998</v>
      </c>
      <c r="L155" s="616">
        <f>IF(L$19=$B$169,+AVERAGE(L35,L47,L59,L71,L83,L95,L107,L119,L131,L143),+IF(L$19=$B$170,+(EXP((LN(+'4. Customer Growth'!$W$43)/12))*$J154),IF($L$19=$B$171,+$A155*$C$178+#REF!,0)))</f>
        <v>30</v>
      </c>
      <c r="M155" s="616">
        <f>IF(M$19=$B$169,+AVERAGE(M35,M47,M59,M71,M83,M95,M107,M119,M131,M143),+IF(M$19=$B$170,+(EXP((LN(+'4. Customer Growth'!$W$43)/12))*$M154),IF($M$19=$B$171,+$A155*$C$180+#REF!,0)))</f>
        <v>13.279999999999998</v>
      </c>
      <c r="N155" s="616">
        <f>IF(N$19=$B$169,+AVERAGE(N35,N47,N59,N71,N83,N95,N107,N119,N131,N143),+IF(N$19=$B$170,+(EXP((LN(+'4. Customer Growth'!$W$43)/12))*$N154),IF($N$19=$B$171,+$A155*$C$181+#REF!,0)))</f>
        <v>0</v>
      </c>
      <c r="O155" s="928">
        <v>0</v>
      </c>
      <c r="P155" s="200"/>
      <c r="Q155" s="469">
        <f t="shared" si="11"/>
        <v>7055419.2832899177</v>
      </c>
      <c r="R155" s="216"/>
      <c r="S155" s="200"/>
      <c r="T155" s="200"/>
      <c r="U155" s="200"/>
      <c r="V155" s="200"/>
      <c r="W155" s="200"/>
      <c r="X155" s="200"/>
      <c r="Y155" s="200"/>
      <c r="Z155" s="200"/>
      <c r="AA155" s="200"/>
      <c r="AB155" s="200"/>
      <c r="AC155" s="200"/>
      <c r="AD155" s="200"/>
      <c r="AE155" s="200"/>
      <c r="AF155" s="200"/>
      <c r="AG155" s="200"/>
      <c r="AH155" s="200"/>
      <c r="AI155" s="200"/>
      <c r="AJ155" s="200"/>
      <c r="AK155" s="200"/>
      <c r="AL155" s="200"/>
    </row>
    <row r="156" spans="1:38">
      <c r="A156" s="435">
        <f t="shared" si="12"/>
        <v>137</v>
      </c>
      <c r="B156" s="871" t="str">
        <f>CONCATENATE('3. Consumption by Rate Class'!B161,"-",'3. Consumption by Rate Class'!C161)</f>
        <v>2024-May</v>
      </c>
      <c r="C156" s="591"/>
      <c r="D156" s="653"/>
      <c r="E156" s="226"/>
      <c r="F156" s="226"/>
      <c r="G156" s="226"/>
      <c r="H156" s="226"/>
      <c r="I156" s="201"/>
      <c r="J156" s="616">
        <f>IF(J$19=$B$169,+AVERAGE(J36,J48,J60,J72,J84,J96,J108,J120,J132,J144),+IF(J$19=$B$170,+(EXP((LN(+'4. Customer Growth'!$W$43)/12))*$J155),IF($J$19=$B$171,+$A156*$C$176+#REF!,0)))</f>
        <v>151.02000000000001</v>
      </c>
      <c r="K156" s="616">
        <f>IF(K$19=$B$169,+AVERAGE(K36,K48,K60,K72,K84,K96,K108,K120,K132,K144),+IF(K$19=$B$170,+(EXP((LN(+'4. Customer Growth'!$W$43)/12))*$J155),IF($K$19=$B$171,+$A156*$C$177+#REF!,0)))</f>
        <v>18.149000000000001</v>
      </c>
      <c r="L156" s="616">
        <f>IF(L$19=$B$169,+AVERAGE(L36,L48,L60,L72,L84,L96,L108,L120,L132,L144),+IF(L$19=$B$170,+(EXP((LN(+'4. Customer Growth'!$W$43)/12))*$J155),IF($L$19=$B$171,+$A156*$C$178+#REF!,0)))</f>
        <v>31</v>
      </c>
      <c r="M156" s="616">
        <f>IF(M$19=$B$169,+AVERAGE(M36,M48,M60,M72,M84,M96,M108,M120,M132,M144),+IF(M$19=$B$170,+(EXP((LN(+'4. Customer Growth'!$W$43)/12))*$M155),IF($M$19=$B$171,+$A156*$C$180+#REF!,0)))</f>
        <v>14.52</v>
      </c>
      <c r="N156" s="616">
        <f>IF(N$19=$B$169,+AVERAGE(N36,N48,N60,N72,N84,N96,N108,N120,N132,N144),+IF(N$19=$B$170,+(EXP((LN(+'4. Customer Growth'!$W$43)/12))*$N155),IF($N$19=$B$171,+$A156*$C$181+#REF!,0)))</f>
        <v>0</v>
      </c>
      <c r="O156" s="928">
        <v>0</v>
      </c>
      <c r="P156" s="200"/>
      <c r="Q156" s="469">
        <f t="shared" si="11"/>
        <v>6827812.3699291777</v>
      </c>
      <c r="R156" s="216"/>
      <c r="S156" s="200"/>
      <c r="T156" s="200"/>
      <c r="U156" s="200"/>
      <c r="V156" s="200"/>
      <c r="W156" s="200"/>
      <c r="X156" s="200"/>
      <c r="Y156" s="200"/>
      <c r="Z156" s="200"/>
      <c r="AA156" s="200"/>
      <c r="AB156" s="200"/>
      <c r="AC156" s="200"/>
      <c r="AD156" s="200"/>
      <c r="AE156" s="200"/>
      <c r="AF156" s="200"/>
      <c r="AG156" s="200"/>
      <c r="AH156" s="200"/>
      <c r="AI156" s="200"/>
      <c r="AJ156" s="200"/>
      <c r="AK156" s="200"/>
      <c r="AL156" s="200"/>
    </row>
    <row r="157" spans="1:38">
      <c r="A157" s="435">
        <f t="shared" si="12"/>
        <v>138</v>
      </c>
      <c r="B157" s="871" t="str">
        <f>CONCATENATE('3. Consumption by Rate Class'!B162,"-",'3. Consumption by Rate Class'!C162)</f>
        <v>2024-June</v>
      </c>
      <c r="C157" s="591"/>
      <c r="D157" s="653"/>
      <c r="E157" s="226"/>
      <c r="F157" s="226"/>
      <c r="G157" s="226"/>
      <c r="H157" s="226"/>
      <c r="I157" s="201"/>
      <c r="J157" s="616">
        <f>IF(J$19=$B$169,+AVERAGE(J37,J49,J61,J73,J85,J97,J109,J121,J133,J145),+IF(J$19=$B$170,+(EXP((LN(+'4. Customer Growth'!$W$43)/12))*$J156),IF($J$19=$B$171,+$A157*$C$176+#REF!,0)))</f>
        <v>37.886000000000003</v>
      </c>
      <c r="K157" s="616">
        <f>IF(K$19=$B$169,+AVERAGE(K37,K49,K61,K73,K85,K97,K109,K121,K133,K145),+IF(K$19=$B$170,+(EXP((LN(+'4. Customer Growth'!$W$43)/12))*$J156),IF($K$19=$B$171,+$A157*$C$177+#REF!,0)))</f>
        <v>47.616999999999997</v>
      </c>
      <c r="L157" s="616">
        <f>IF(L$19=$B$169,+AVERAGE(L37,L49,L61,L73,L85,L97,L109,L121,L133,L145),+IF(L$19=$B$170,+(EXP((LN(+'4. Customer Growth'!$W$43)/12))*$J156),IF($L$19=$B$171,+$A157*$C$178+#REF!,0)))</f>
        <v>30</v>
      </c>
      <c r="M157" s="616">
        <f>IF(M$19=$B$169,+AVERAGE(M37,M49,M61,M73,M85,M97,M109,M121,M133,M145),+IF(M$19=$B$170,+(EXP((LN(+'4. Customer Growth'!$W$43)/12))*$M156),IF($M$19=$B$171,+$A157*$C$180+#REF!,0)))</f>
        <v>15.349999999999998</v>
      </c>
      <c r="N157" s="616">
        <f>IF(N$19=$B$169,+AVERAGE(N37,N49,N61,N73,N85,N97,N109,N121,N133,N145),+IF(N$19=$B$170,+(EXP((LN(+'4. Customer Growth'!$W$43)/12))*$N156),IF($N$19=$B$171,+$A157*$C$181+#REF!,0)))</f>
        <v>0</v>
      </c>
      <c r="O157" s="928">
        <v>0</v>
      </c>
      <c r="P157" s="200"/>
      <c r="Q157" s="469">
        <f t="shared" si="11"/>
        <v>6781308.3584474316</v>
      </c>
      <c r="R157" s="216"/>
      <c r="S157" s="200"/>
      <c r="T157" s="200"/>
      <c r="U157" s="200"/>
      <c r="V157" s="200"/>
      <c r="W157" s="200"/>
      <c r="X157" s="200"/>
      <c r="Y157" s="200"/>
      <c r="Z157" s="200"/>
      <c r="AA157" s="200"/>
      <c r="AB157" s="200"/>
      <c r="AC157" s="200"/>
      <c r="AD157" s="200"/>
      <c r="AE157" s="200"/>
      <c r="AF157" s="200"/>
      <c r="AG157" s="200"/>
      <c r="AH157" s="200"/>
      <c r="AI157" s="200"/>
      <c r="AJ157" s="200"/>
      <c r="AK157" s="200"/>
      <c r="AL157" s="200"/>
    </row>
    <row r="158" spans="1:38">
      <c r="A158" s="435">
        <f t="shared" si="12"/>
        <v>139</v>
      </c>
      <c r="B158" s="871" t="str">
        <f>CONCATENATE('3. Consumption by Rate Class'!B163,"-",'3. Consumption by Rate Class'!C163)</f>
        <v>2024-July</v>
      </c>
      <c r="C158" s="591"/>
      <c r="D158" s="653"/>
      <c r="E158" s="226"/>
      <c r="F158" s="226"/>
      <c r="G158" s="226"/>
      <c r="H158" s="226"/>
      <c r="I158" s="201"/>
      <c r="J158" s="616">
        <f>IF(J$19=$B$169,+AVERAGE(J38,J50,J62,J74,J86,J98,J110,J122,J134,J146),+IF(J$19=$B$170,+(EXP((LN(+'4. Customer Growth'!$W$43)/12))*$J157),IF($J$19=$B$171,+$A158*$C$176+#REF!,0)))</f>
        <v>4.7960000000000012</v>
      </c>
      <c r="K158" s="616">
        <f>IF(K$19=$B$169,+AVERAGE(K38,K50,K62,K74,K86,K98,K110,K122,K134,K146),+IF(K$19=$B$170,+(EXP((LN(+'4. Customer Growth'!$W$43)/12))*$J157),IF($K$19=$B$171,+$A158*$C$177+#REF!,0)))</f>
        <v>108.075</v>
      </c>
      <c r="L158" s="616">
        <f>IF(L$19=$B$169,+AVERAGE(L38,L50,L62,L74,L86,L98,L110,L122,L134,L146),+IF(L$19=$B$170,+(EXP((LN(+'4. Customer Growth'!$W$43)/12))*$J157),IF($L$19=$B$171,+$A158*$C$178+#REF!,0)))</f>
        <v>31</v>
      </c>
      <c r="M158" s="616">
        <f>IF(M$19=$B$169,+AVERAGE(M38,M50,M62,M74,M86,M98,M110,M122,M134,M146),+IF(M$19=$B$170,+(EXP((LN(+'4. Customer Growth'!$W$43)/12))*$M157),IF($M$19=$B$171,+$A158*$C$180+#REF!,0)))</f>
        <v>15.150000000000002</v>
      </c>
      <c r="N158" s="616">
        <f>IF(N$19=$B$169,+AVERAGE(N38,N50,N62,N74,N86,N98,N110,N122,N134,N146),+IF(N$19=$B$170,+(EXP((LN(+'4. Customer Growth'!$W$43)/12))*$N157),IF($N$19=$B$171,+$A158*$C$181+#REF!,0)))</f>
        <v>0</v>
      </c>
      <c r="O158" s="928">
        <v>0</v>
      </c>
      <c r="P158" s="200"/>
      <c r="Q158" s="469">
        <f t="shared" si="11"/>
        <v>7755589.8996144375</v>
      </c>
      <c r="R158" s="216"/>
      <c r="S158" s="200"/>
      <c r="T158" s="200"/>
      <c r="U158" s="200"/>
      <c r="V158" s="200"/>
      <c r="W158" s="200"/>
      <c r="X158" s="200"/>
      <c r="Y158" s="200"/>
      <c r="Z158" s="200"/>
      <c r="AA158" s="200"/>
      <c r="AB158" s="200"/>
      <c r="AC158" s="200"/>
      <c r="AD158" s="200"/>
      <c r="AE158" s="200"/>
      <c r="AF158" s="200"/>
      <c r="AG158" s="200"/>
      <c r="AH158" s="200"/>
      <c r="AI158" s="200"/>
      <c r="AJ158" s="200"/>
      <c r="AK158" s="200"/>
      <c r="AL158" s="200"/>
    </row>
    <row r="159" spans="1:38">
      <c r="A159" s="435">
        <f t="shared" si="12"/>
        <v>140</v>
      </c>
      <c r="B159" s="871" t="str">
        <f>CONCATENATE('3. Consumption by Rate Class'!B164,"-",'3. Consumption by Rate Class'!C164)</f>
        <v>2024-August</v>
      </c>
      <c r="C159" s="591"/>
      <c r="D159" s="653"/>
      <c r="E159" s="226"/>
      <c r="F159" s="226"/>
      <c r="G159" s="226"/>
      <c r="H159" s="226"/>
      <c r="I159" s="201"/>
      <c r="J159" s="616">
        <f>IF(J$19=$B$169,+AVERAGE(J39,J51,J63,J75,J87,J99,J111,J123,J135,J147),+IF(J$19=$B$170,+(EXP((LN(+'4. Customer Growth'!$W$43)/12))*$J158),IF($J$19=$B$171,+$A159*$C$176+#REF!,0)))</f>
        <v>11.145</v>
      </c>
      <c r="K159" s="616">
        <f>IF(K$19=$B$169,+AVERAGE(K39,K51,K63,K75,K87,K99,K111,K123,K135,K147),+IF(K$19=$B$170,+(EXP((LN(+'4. Customer Growth'!$W$43)/12))*$J158),IF($K$19=$B$171,+$A159*$C$177+#REF!,0)))</f>
        <v>84.128000000000014</v>
      </c>
      <c r="L159" s="616">
        <f>IF(L$19=$B$169,+AVERAGE(L39,L51,L63,L75,L87,L99,L111,L123,L135,L147),+IF(L$19=$B$170,+(EXP((LN(+'4. Customer Growth'!$W$43)/12))*$J158),IF($L$19=$B$171,+$A159*$C$178+#REF!,0)))</f>
        <v>31</v>
      </c>
      <c r="M159" s="616">
        <f>IF(M$19=$B$169,+AVERAGE(M39,M51,M63,M75,M87,M99,M111,M123,M135,M147),+IF(M$19=$B$170,+(EXP((LN(+'4. Customer Growth'!$W$43)/12))*$M158),IF($M$19=$B$171,+$A159*$C$180+#REF!,0)))</f>
        <v>14.029999999999998</v>
      </c>
      <c r="N159" s="616">
        <f>IF(N$19=$B$169,+AVERAGE(N39,N51,N63,N75,N87,N99,N111,N123,N135,N147),+IF(N$19=$B$170,+(EXP((LN(+'4. Customer Growth'!$W$43)/12))*$N158),IF($N$19=$B$171,+$A159*$C$181+#REF!,0)))</f>
        <v>0</v>
      </c>
      <c r="O159" s="928">
        <v>0</v>
      </c>
      <c r="P159" s="200"/>
      <c r="Q159" s="469">
        <f t="shared" si="11"/>
        <v>7391205.9622357478</v>
      </c>
      <c r="R159" s="216"/>
      <c r="S159" s="200"/>
      <c r="T159" s="200"/>
      <c r="U159" s="200"/>
      <c r="V159" s="200"/>
      <c r="W159" s="200"/>
      <c r="X159" s="200"/>
      <c r="Y159" s="200"/>
      <c r="Z159" s="200"/>
      <c r="AA159" s="200"/>
      <c r="AB159" s="200"/>
      <c r="AC159" s="200"/>
      <c r="AD159" s="200"/>
      <c r="AE159" s="200"/>
      <c r="AF159" s="200"/>
      <c r="AG159" s="200"/>
      <c r="AH159" s="200"/>
      <c r="AI159" s="200"/>
      <c r="AJ159" s="200"/>
      <c r="AK159" s="200"/>
      <c r="AL159" s="200"/>
    </row>
    <row r="160" spans="1:38">
      <c r="A160" s="435">
        <f t="shared" si="12"/>
        <v>141</v>
      </c>
      <c r="B160" s="871" t="str">
        <f>CONCATENATE('3. Consumption by Rate Class'!B165,"-",'3. Consumption by Rate Class'!C165)</f>
        <v>2024-September</v>
      </c>
      <c r="C160" s="591"/>
      <c r="D160" s="653"/>
      <c r="E160" s="226"/>
      <c r="F160" s="226"/>
      <c r="G160" s="226"/>
      <c r="H160" s="226"/>
      <c r="I160" s="201"/>
      <c r="J160" s="616">
        <f>IF(J$19=$B$169,+AVERAGE(J40,J52,J64,J76,J88,J100,J112,J124,J136,J148),+IF(J$19=$B$170,+(EXP((LN(+'4. Customer Growth'!$W$43)/12))*$J159),IF($J$19=$B$171,+$A160*$C$176+#REF!,0)))</f>
        <v>90.432000000000002</v>
      </c>
      <c r="K160" s="616">
        <f>IF(K$19=$B$169,+AVERAGE(K40,K52,K64,K76,K88,K100,K112,K124,K136,K148),+IF(K$19=$B$170,+(EXP((LN(+'4. Customer Growth'!$W$43)/12))*$J159),IF($K$19=$B$171,+$A160*$C$177+#REF!,0)))</f>
        <v>25.312999999999999</v>
      </c>
      <c r="L160" s="616">
        <f>IF(L$19=$B$169,+AVERAGE(L40,L52,L64,L76,L88,L100,L112,L124,L136,L148),+IF(L$19=$B$170,+(EXP((LN(+'4. Customer Growth'!$W$43)/12))*$J159),IF($L$19=$B$171,+$A160*$C$178+#REF!,0)))</f>
        <v>30</v>
      </c>
      <c r="M160" s="616">
        <f>IF(M$19=$B$169,+AVERAGE(M40,M52,M64,M76,M88,M100,M112,M124,M136,M148),+IF(M$19=$B$170,+(EXP((LN(+'4. Customer Growth'!$W$43)/12))*$M159),IF($M$19=$B$171,+$A160*$C$180+#REF!,0)))</f>
        <v>12.289999999999997</v>
      </c>
      <c r="N160" s="616">
        <f>IF(N$19=$B$169,+AVERAGE(N40,N52,N64,N76,N88,N100,N112,N124,N136,N148),+IF(N$19=$B$170,+(EXP((LN(+'4. Customer Growth'!$W$43)/12))*$N159),IF($N$19=$B$171,+$A160*$C$181+#REF!,0)))</f>
        <v>0</v>
      </c>
      <c r="O160" s="928">
        <v>0</v>
      </c>
      <c r="P160" s="200"/>
      <c r="Q160" s="469">
        <f t="shared" si="11"/>
        <v>6546429.584554662</v>
      </c>
      <c r="R160" s="216"/>
      <c r="S160" s="200"/>
      <c r="T160" s="200"/>
      <c r="U160" s="200"/>
      <c r="V160" s="200"/>
      <c r="W160" s="200"/>
      <c r="X160" s="200"/>
      <c r="Y160" s="200"/>
      <c r="Z160" s="200"/>
      <c r="AA160" s="200"/>
      <c r="AB160" s="200"/>
      <c r="AC160" s="200"/>
      <c r="AD160" s="200"/>
      <c r="AE160" s="200"/>
      <c r="AF160" s="200"/>
      <c r="AG160" s="200"/>
      <c r="AH160" s="200"/>
      <c r="AI160" s="200"/>
      <c r="AJ160" s="200"/>
      <c r="AK160" s="200"/>
      <c r="AL160" s="200"/>
    </row>
    <row r="161" spans="1:38">
      <c r="A161" s="435">
        <f t="shared" si="12"/>
        <v>142</v>
      </c>
      <c r="B161" s="871" t="str">
        <f>CONCATENATE('3. Consumption by Rate Class'!B166,"-",'3. Consumption by Rate Class'!C166)</f>
        <v>2024-October</v>
      </c>
      <c r="C161" s="591"/>
      <c r="D161" s="653"/>
      <c r="E161" s="226"/>
      <c r="F161" s="226"/>
      <c r="G161" s="226"/>
      <c r="H161" s="226"/>
      <c r="I161" s="201"/>
      <c r="J161" s="616">
        <f>IF(J$19=$B$169,+AVERAGE(J41,J53,J65,J77,J89,J101,J113,J125,J137,J149),+IF(J$19=$B$170,+(EXP((LN(+'4. Customer Growth'!$W$43)/12))*$J160),IF($J$19=$B$171,+$A161*$C$176+#REF!,0)))</f>
        <v>280.36099999999999</v>
      </c>
      <c r="K161" s="616">
        <f>IF(K$19=$B$169,+AVERAGE(K41,K53,K65,K77,K89,K101,K113,K125,K137,K149),+IF(K$19=$B$170,+(EXP((LN(+'4. Customer Growth'!$W$43)/12))*$J160),IF($K$19=$B$171,+$A161*$C$177+#REF!,0)))</f>
        <v>0.54600000000000004</v>
      </c>
      <c r="L161" s="616">
        <f>IF(L$19=$B$169,+AVERAGE(L41,L53,L65,L77,L89,L101,L113,L125,L137,L149),+IF(L$19=$B$170,+(EXP((LN(+'4. Customer Growth'!$W$43)/12))*$J160),IF($L$19=$B$171,+$A161*$C$178+#REF!,0)))</f>
        <v>31</v>
      </c>
      <c r="M161" s="616">
        <f>IF(M$19=$B$169,+AVERAGE(M41,M53,M65,M77,M89,M101,M113,M125,M137,M149),+IF(M$19=$B$170,+(EXP((LN(+'4. Customer Growth'!$W$43)/12))*$M160),IF($M$19=$B$171,+$A161*$C$180+#REF!,0)))</f>
        <v>10.510000000000002</v>
      </c>
      <c r="N161" s="616">
        <f>IF(N$19=$B$169,+AVERAGE(N41,N53,N65,N77,N89,N101,N113,N125,N137,N149),+IF(N$19=$B$170,+(EXP((LN(+'4. Customer Growth'!$W$43)/12))*$N160),IF($N$19=$B$171,+$A161*$C$181+#REF!,0)))</f>
        <v>0</v>
      </c>
      <c r="O161" s="928">
        <v>0</v>
      </c>
      <c r="P161" s="200"/>
      <c r="Q161" s="469">
        <f t="shared" si="11"/>
        <v>6880711.2073920695</v>
      </c>
      <c r="R161" s="216"/>
      <c r="S161" s="200"/>
      <c r="T161" s="200"/>
      <c r="U161" s="200"/>
      <c r="V161" s="200"/>
      <c r="W161" s="200"/>
      <c r="X161" s="200"/>
      <c r="Y161" s="200"/>
      <c r="Z161" s="200"/>
      <c r="AA161" s="200"/>
      <c r="AB161" s="200"/>
      <c r="AC161" s="200"/>
      <c r="AD161" s="200"/>
      <c r="AE161" s="200"/>
      <c r="AF161" s="200"/>
      <c r="AG161" s="200"/>
      <c r="AH161" s="200"/>
      <c r="AI161" s="200"/>
      <c r="AJ161" s="200"/>
      <c r="AK161" s="200"/>
      <c r="AL161" s="200"/>
    </row>
    <row r="162" spans="1:38">
      <c r="A162" s="435">
        <f t="shared" si="12"/>
        <v>143</v>
      </c>
      <c r="B162" s="872" t="str">
        <f>CONCATENATE('3. Consumption by Rate Class'!B167,"-",'3. Consumption by Rate Class'!C167)</f>
        <v>2024-November</v>
      </c>
      <c r="C162" s="592"/>
      <c r="D162" s="654"/>
      <c r="E162" s="43"/>
      <c r="F162" s="43"/>
      <c r="G162" s="43"/>
      <c r="H162" s="43"/>
      <c r="J162" s="616">
        <f>IF(J$19=$B$169,+AVERAGE(J42,J54,J66,J78,J90,J102,J114,J126,J138,J150),+IF(J$19=$B$170,+(EXP((LN(+'4. Customer Growth'!$W$43)/12))*$J161),IF($J$19=$B$171,+$A162*$C$176+#REF!,0)))</f>
        <v>497.26400000000001</v>
      </c>
      <c r="K162" s="616">
        <f>IF(K$19=$B$169,+AVERAGE(K42,K54,K66,K78,K90,K102,K114,K126,K138,K150),+IF(K$19=$B$170,+(EXP((LN(+'4. Customer Growth'!$W$43)/12))*$J161),IF($K$19=$B$171,+$A162*$C$177+#REF!,0)))</f>
        <v>0.12100000000000002</v>
      </c>
      <c r="L162" s="616">
        <f>IF(L$19=$B$169,+AVERAGE(L42,L54,L66,L78,L90,L102,L114,L126,L138,L150),+IF(L$19=$B$170,+(EXP((LN(+'4. Customer Growth'!$W$43)/12))*$J161),IF($L$19=$B$171,+$A162*$C$178+#REF!,0)))</f>
        <v>30</v>
      </c>
      <c r="M162" s="616">
        <f>IF(M$19=$B$169,+AVERAGE(M42,M54,M66,M78,M90,M102,M114,M126,M138,M150),+IF(M$19=$B$170,+(EXP((LN(+'4. Customer Growth'!$W$43)/12))*$M161),IF($M$19=$B$171,+$A162*$C$180+#REF!,0)))</f>
        <v>9.2799999999999994</v>
      </c>
      <c r="N162" s="616">
        <f>IF(N$19=$B$169,+AVERAGE(N42,N54,N66,N78,N90,N102,N114,N126,N138,N150),+IF(N$19=$B$170,+(EXP((LN(+'4. Customer Growth'!$W$43)/12))*$N161),IF($N$19=$B$171,+$A162*$C$181+#REF!,0)))</f>
        <v>0</v>
      </c>
      <c r="O162" s="928">
        <v>0</v>
      </c>
      <c r="Q162" s="469">
        <f t="shared" si="11"/>
        <v>7350019.6542860502</v>
      </c>
      <c r="R162" s="179"/>
      <c r="T162" s="200"/>
      <c r="U162" s="200"/>
      <c r="V162" s="200"/>
      <c r="W162" s="200"/>
      <c r="X162" s="200"/>
      <c r="Y162" s="200"/>
    </row>
    <row r="163" spans="1:38">
      <c r="A163" s="435">
        <f t="shared" si="12"/>
        <v>144</v>
      </c>
      <c r="B163" s="872" t="str">
        <f>CONCATENATE('3. Consumption by Rate Class'!B168,"-",'3. Consumption by Rate Class'!C168)</f>
        <v>2024-December</v>
      </c>
      <c r="C163" s="592"/>
      <c r="D163" s="654"/>
      <c r="E163" s="43"/>
      <c r="F163" s="43"/>
      <c r="G163" s="43"/>
      <c r="H163" s="43"/>
      <c r="J163" s="616">
        <f>IF(J$19=$B$169,+AVERAGE(J43,J55,J67,J79,J91,J103,J115,J127,J139,J151),+IF(J$19=$B$170,+(EXP((LN(+'4. Customer Growth'!$W$43)/12))*$J162),IF($J$19=$B$171,+$A163*$C$176+#REF!,0)))</f>
        <v>700.99900000000002</v>
      </c>
      <c r="K163" s="616">
        <f>IF(K$19=$B$169,+AVERAGE(K43,K55,K67,K79,K91,K103,K115,K127,K139,K151),+IF(K$19=$B$170,+(EXP((LN(+'4. Customer Growth'!$W$43)/12))*$J162),IF($K$19=$B$171,+$A163*$C$177+#REF!,0)))</f>
        <v>0</v>
      </c>
      <c r="L163" s="616">
        <f>IF(L$19=$B$169,+AVERAGE(L43,L55,L67,L79,L91,L103,L115,L127,L139,L151),+IF(L$19=$B$170,+(EXP((LN(+'4. Customer Growth'!$W$43)/12))*$J162),IF($L$19=$B$171,+$A163*$C$178+#REF!,0)))</f>
        <v>31</v>
      </c>
      <c r="M163" s="616">
        <f>IF(M$19=$B$169,+AVERAGE(M43,M55,M67,M79,M91,M103,M115,M127,M139,M151),+IF(M$19=$B$170,+(EXP((LN(+'4. Customer Growth'!$W$43)/12))*$M162),IF($M$19=$B$171,+$A163*$C$180+#REF!,0)))</f>
        <v>8.4700000000000006</v>
      </c>
      <c r="N163" s="616">
        <f>IF(N$19=$B$169,+AVERAGE(N43,N55,N67,N79,N91,N103,N115,N127,N139,N151),+IF(N$19=$B$170,+(EXP((LN(+'4. Customer Growth'!$W$43)/12))*$N162),IF($N$19=$B$171,+$A163*$C$181+#REF!,0)))</f>
        <v>0</v>
      </c>
      <c r="O163" s="928">
        <v>0</v>
      </c>
      <c r="Q163" s="469">
        <f t="shared" si="11"/>
        <v>8117974.349330727</v>
      </c>
      <c r="R163" s="179">
        <f>SUM(Q152:Q163)</f>
        <v>89172384.219690636</v>
      </c>
    </row>
    <row r="164" spans="1:38">
      <c r="B164" s="142"/>
      <c r="C164" s="592"/>
      <c r="D164" s="654"/>
      <c r="E164" s="43"/>
      <c r="F164" s="43"/>
      <c r="G164" s="43"/>
      <c r="H164" s="43"/>
    </row>
    <row r="167" spans="1:38">
      <c r="B167" s="248"/>
      <c r="C167" s="593"/>
    </row>
    <row r="168" spans="1:38" hidden="1">
      <c r="A168" s="249"/>
      <c r="B168" s="250" t="s">
        <v>167</v>
      </c>
      <c r="C168" s="594"/>
      <c r="K168" s="600"/>
    </row>
    <row r="169" spans="1:38" hidden="1">
      <c r="A169" s="249"/>
      <c r="B169" s="251" t="s">
        <v>165</v>
      </c>
      <c r="C169" s="595"/>
    </row>
    <row r="170" spans="1:38" hidden="1">
      <c r="A170" s="249"/>
      <c r="B170" s="252" t="s">
        <v>166</v>
      </c>
      <c r="C170" s="596"/>
    </row>
    <row r="171" spans="1:38" hidden="1">
      <c r="B171" s="434" t="s">
        <v>231</v>
      </c>
      <c r="C171" s="595"/>
    </row>
    <row r="172" spans="1:38" hidden="1">
      <c r="B172" s="601"/>
      <c r="C172" s="602"/>
    </row>
    <row r="173" spans="1:38" hidden="1">
      <c r="B173" s="601"/>
      <c r="C173" s="602"/>
    </row>
    <row r="174" spans="1:38" hidden="1">
      <c r="B174" s="973" t="s">
        <v>232</v>
      </c>
      <c r="C174" s="973"/>
    </row>
    <row r="175" spans="1:38" hidden="1">
      <c r="B175" s="436" t="s">
        <v>145</v>
      </c>
      <c r="C175" s="597" t="s">
        <v>233</v>
      </c>
    </row>
    <row r="176" spans="1:38" ht="14.25" hidden="1">
      <c r="B176" s="436" t="s">
        <v>1</v>
      </c>
      <c r="C176" s="598">
        <f>INDEX(LINEST($J$20:$J139,$A$20:$A$139,TRUE,FALSE),1)</f>
        <v>-0.49281894576012275</v>
      </c>
    </row>
    <row r="177" spans="2:3" ht="14.25" hidden="1">
      <c r="B177" s="436" t="s">
        <v>2</v>
      </c>
      <c r="C177" s="598">
        <f>INDEX(LINEST($K$20:$K139,$A$20:$A$139,TRUE,FALSE),1)</f>
        <v>6.347558858254046E-2</v>
      </c>
    </row>
    <row r="178" spans="2:3" ht="14.25" hidden="1">
      <c r="B178" s="436" t="s">
        <v>131</v>
      </c>
      <c r="C178" s="598">
        <f>INDEX(LINEST($L$20:$L139,$A$20:$A$139,TRUE,FALSE),1)</f>
        <v>6.8060281964024845E-4</v>
      </c>
    </row>
    <row r="179" spans="2:3" ht="14.25" hidden="1">
      <c r="B179" s="436" t="s">
        <v>153</v>
      </c>
      <c r="C179" s="598" t="e">
        <f>INDEX(LINEST(#REF!,$A$20:$A$139,TRUE,FALSE),1)</f>
        <v>#REF!</v>
      </c>
    </row>
    <row r="180" spans="2:3" ht="14.25" hidden="1">
      <c r="B180" s="436" t="s">
        <v>130</v>
      </c>
      <c r="C180" s="598">
        <f>INDEX(LINEST($M$20:$M139,$A$20:$A$139,TRUE,FALSE),1)</f>
        <v>-9.9416626154593996E-4</v>
      </c>
    </row>
    <row r="181" spans="2:3" ht="14.25" hidden="1">
      <c r="B181" s="436" t="s">
        <v>161</v>
      </c>
      <c r="C181" s="598">
        <f>INDEX(LINEST($N$20:$N139,$A$20:$A$139,TRUE,FALSE),1)</f>
        <v>0</v>
      </c>
    </row>
    <row r="182" spans="2:3">
      <c r="B182" s="601"/>
      <c r="C182" s="602"/>
    </row>
  </sheetData>
  <mergeCells count="4">
    <mergeCell ref="D17:H17"/>
    <mergeCell ref="P19:R19"/>
    <mergeCell ref="B174:C174"/>
    <mergeCell ref="J17:O17"/>
  </mergeCells>
  <phoneticPr fontId="0" type="noConversion"/>
  <dataValidations count="2">
    <dataValidation type="list" allowBlank="1" showInputMessage="1" showErrorMessage="1" sqref="J18:N18" xr:uid="{00000000-0002-0000-0500-000000000000}">
      <formula1>AllVariables</formula1>
    </dataValidation>
    <dataValidation type="list" allowBlank="1" showInputMessage="1" showErrorMessage="1" sqref="J19:O19" xr:uid="{00000000-0002-0000-0500-000001000000}">
      <formula1>$B$169:$B$171</formula1>
    </dataValidation>
  </dataValidations>
  <pageMargins left="0.7" right="0.7" top="0.75" bottom="0.75" header="0.3" footer="0.3"/>
  <pageSetup orientation="portrait" horizontalDpi="4294967294" verticalDpi="4294967294" r:id="rId1"/>
  <ignoredErrors>
    <ignoredError sqref="T46:T55 U46:U55 V47:V55 X47:X55 Y46:Y55 W46" unlockedFormula="1"/>
    <ignoredError sqref="W47:W55" formula="1" unlocked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998C9-F1FA-4B75-84C2-597D78097BB9}">
  <dimension ref="A1:AL182"/>
  <sheetViews>
    <sheetView showGridLines="0" topLeftCell="H13" zoomScale="93" zoomScaleNormal="93" workbookViewId="0">
      <pane ySplit="6" topLeftCell="A49" activePane="bottomLeft" state="frozen"/>
      <selection activeCell="A13" sqref="A13"/>
      <selection pane="bottomLeft" activeCell="V68" sqref="V68"/>
    </sheetView>
  </sheetViews>
  <sheetFormatPr defaultRowHeight="12.75" outlineLevelCol="1"/>
  <cols>
    <col min="1" max="1" width="13.6640625" customWidth="1"/>
    <col min="2" max="2" width="25.33203125" style="23" customWidth="1"/>
    <col min="3" max="3" width="16.83203125" style="586" customWidth="1"/>
    <col min="4" max="4" width="16.83203125" style="648" customWidth="1"/>
    <col min="5" max="5" width="23.33203125" style="23" customWidth="1"/>
    <col min="6" max="9" width="16.83203125" style="23" customWidth="1"/>
    <col min="10" max="12" width="16.83203125" style="1" customWidth="1"/>
    <col min="13" max="15" width="16.83203125" style="1" hidden="1" customWidth="1" outlineLevel="1"/>
    <col min="16" max="16" width="4.1640625" style="1" customWidth="1" collapsed="1"/>
    <col min="17" max="17" width="20.33203125" style="23" bestFit="1" customWidth="1"/>
    <col min="18" max="18" width="21.6640625" style="1" bestFit="1" customWidth="1"/>
    <col min="19" max="19" width="10.1640625" style="1" customWidth="1"/>
    <col min="20" max="20" width="21.5" style="1" customWidth="1"/>
    <col min="21" max="21" width="33.6640625" style="1" bestFit="1" customWidth="1"/>
    <col min="22" max="23" width="21" style="1" bestFit="1" customWidth="1"/>
    <col min="24" max="24" width="17" style="1" bestFit="1" customWidth="1"/>
    <col min="25" max="25" width="26.6640625" style="1" bestFit="1" customWidth="1"/>
    <col min="26" max="26" width="17.33203125" style="1" customWidth="1"/>
    <col min="27" max="16384" width="9.33203125" style="1"/>
  </cols>
  <sheetData>
    <row r="1" spans="1:38">
      <c r="A1" s="626" t="s">
        <v>255</v>
      </c>
    </row>
    <row r="11" spans="1:38" ht="23.25">
      <c r="A11" s="213"/>
      <c r="B11" s="214" t="s">
        <v>96</v>
      </c>
      <c r="C11" s="587"/>
      <c r="D11" s="649"/>
      <c r="E11" s="201"/>
      <c r="F11" s="201"/>
      <c r="G11" s="201"/>
      <c r="H11" s="201"/>
      <c r="I11" s="201"/>
      <c r="J11" s="200"/>
      <c r="K11" s="200"/>
      <c r="L11" s="200"/>
      <c r="M11" s="200"/>
      <c r="N11" s="200"/>
      <c r="O11" s="200"/>
      <c r="P11" s="200"/>
      <c r="Q11" s="201"/>
      <c r="R11" s="200"/>
      <c r="S11" s="200"/>
      <c r="T11" s="200"/>
      <c r="U11" s="200"/>
      <c r="V11" s="200"/>
      <c r="W11" s="200"/>
      <c r="X11" s="200"/>
      <c r="Y11" s="200"/>
      <c r="Z11" s="200"/>
      <c r="AA11" s="200"/>
      <c r="AB11" s="200"/>
      <c r="AC11" s="200"/>
      <c r="AD11" s="200"/>
      <c r="AE11" s="200"/>
      <c r="AF11" s="200"/>
      <c r="AG11" s="200"/>
      <c r="AH11" s="200"/>
      <c r="AI11" s="200"/>
      <c r="AJ11" s="200"/>
      <c r="AK11" s="200"/>
      <c r="AL11" s="200"/>
    </row>
    <row r="12" spans="1:38" ht="15">
      <c r="A12" s="213"/>
      <c r="B12" s="45" t="s">
        <v>63</v>
      </c>
      <c r="C12" s="587"/>
      <c r="D12" s="649"/>
      <c r="E12" s="201"/>
      <c r="F12" s="201"/>
      <c r="G12" s="201"/>
      <c r="H12" s="201"/>
      <c r="I12" s="201"/>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row>
    <row r="13" spans="1:38" ht="14.25">
      <c r="A13" s="213"/>
      <c r="B13" s="85" t="s">
        <v>242</v>
      </c>
      <c r="C13" s="587"/>
      <c r="D13" s="649"/>
      <c r="E13" s="201"/>
      <c r="F13" s="201"/>
      <c r="G13" s="201"/>
      <c r="H13" s="201"/>
      <c r="I13" s="201"/>
      <c r="J13" s="200"/>
      <c r="K13" s="200"/>
      <c r="L13" s="200"/>
      <c r="M13" s="200"/>
      <c r="N13" s="200"/>
      <c r="O13" s="200"/>
      <c r="P13" s="200"/>
      <c r="Q13" s="201"/>
      <c r="R13" s="200"/>
      <c r="S13" s="200"/>
      <c r="T13" s="200"/>
      <c r="U13" s="200"/>
      <c r="V13" s="200"/>
      <c r="W13" s="200"/>
      <c r="X13" s="200"/>
      <c r="Y13" s="200"/>
      <c r="Z13" s="200"/>
      <c r="AA13" s="200"/>
      <c r="AB13" s="200"/>
      <c r="AC13" s="200"/>
      <c r="AD13" s="200"/>
      <c r="AE13" s="200"/>
      <c r="AF13" s="200"/>
      <c r="AG13" s="200"/>
      <c r="AH13" s="200"/>
      <c r="AI13" s="200"/>
      <c r="AJ13" s="200"/>
      <c r="AK13" s="200"/>
      <c r="AL13" s="200"/>
    </row>
    <row r="14" spans="1:38" ht="14.25">
      <c r="A14" s="213"/>
      <c r="B14" s="85" t="s">
        <v>243</v>
      </c>
      <c r="C14" s="587"/>
      <c r="D14" s="649"/>
      <c r="E14" s="201"/>
      <c r="F14" s="201"/>
      <c r="G14" s="201"/>
      <c r="H14" s="201"/>
      <c r="I14" s="201"/>
      <c r="J14" s="200"/>
      <c r="K14" s="200"/>
      <c r="L14" s="200"/>
      <c r="M14" s="200"/>
      <c r="N14" s="200"/>
      <c r="O14" s="200"/>
      <c r="P14" s="200"/>
      <c r="Q14" s="201"/>
      <c r="R14" s="200"/>
      <c r="S14" s="200"/>
      <c r="T14" s="200"/>
      <c r="U14" s="200"/>
      <c r="V14" s="200"/>
      <c r="W14" s="200"/>
      <c r="X14" s="200"/>
      <c r="Y14" s="200"/>
      <c r="Z14" s="200"/>
      <c r="AA14" s="200"/>
      <c r="AB14" s="200"/>
      <c r="AC14" s="200"/>
      <c r="AD14" s="200"/>
      <c r="AE14" s="200"/>
      <c r="AF14" s="200"/>
      <c r="AG14" s="200"/>
      <c r="AH14" s="200"/>
      <c r="AI14" s="200"/>
      <c r="AJ14" s="200"/>
      <c r="AK14" s="200"/>
      <c r="AL14" s="200"/>
    </row>
    <row r="15" spans="1:38" ht="15" customHeight="1">
      <c r="A15" s="213"/>
      <c r="B15" s="85" t="s">
        <v>244</v>
      </c>
      <c r="C15" s="588"/>
      <c r="D15" s="652"/>
      <c r="E15" s="214"/>
      <c r="F15" s="214"/>
      <c r="G15" s="214"/>
      <c r="H15" s="214"/>
      <c r="I15" s="201"/>
      <c r="J15" s="200"/>
      <c r="K15" s="200"/>
      <c r="L15" s="200"/>
      <c r="M15" s="200"/>
      <c r="N15" s="200"/>
      <c r="O15" s="200"/>
      <c r="P15" s="200"/>
      <c r="Q15" s="201"/>
      <c r="R15" s="200"/>
      <c r="S15" s="200"/>
      <c r="T15" s="200"/>
      <c r="U15" s="200"/>
      <c r="V15" s="200"/>
      <c r="W15" s="200"/>
      <c r="X15" s="200"/>
      <c r="Y15" s="200"/>
      <c r="Z15" s="200"/>
      <c r="AA15" s="200"/>
      <c r="AB15" s="200"/>
      <c r="AC15" s="200"/>
      <c r="AD15" s="200"/>
      <c r="AE15" s="200"/>
      <c r="AF15" s="200"/>
      <c r="AG15" s="200"/>
      <c r="AH15" s="200"/>
      <c r="AI15" s="200"/>
      <c r="AJ15" s="200"/>
      <c r="AK15" s="200"/>
      <c r="AL15" s="200"/>
    </row>
    <row r="16" spans="1:38" ht="13.5" customHeight="1">
      <c r="A16" s="213"/>
      <c r="C16" s="588"/>
      <c r="D16" s="652"/>
      <c r="E16" s="214"/>
      <c r="F16" s="214"/>
      <c r="G16" s="214"/>
      <c r="H16" s="214"/>
      <c r="I16" s="201"/>
      <c r="J16" s="200"/>
      <c r="K16" s="200"/>
      <c r="L16" s="200"/>
      <c r="M16" s="200"/>
      <c r="N16" s="200"/>
      <c r="O16" s="200"/>
      <c r="P16" s="200"/>
      <c r="Q16" s="201"/>
      <c r="R16" s="200"/>
      <c r="S16" s="200"/>
      <c r="T16" s="200"/>
      <c r="U16" s="200"/>
      <c r="V16" s="200"/>
      <c r="W16" s="200"/>
      <c r="X16" s="200"/>
      <c r="Y16" s="200"/>
      <c r="Z16" s="200"/>
      <c r="AA16" s="200"/>
      <c r="AB16" s="200"/>
      <c r="AC16" s="200"/>
      <c r="AD16" s="200"/>
      <c r="AE16" s="200"/>
      <c r="AF16" s="200"/>
      <c r="AG16" s="200"/>
      <c r="AH16" s="200"/>
      <c r="AI16" s="200"/>
      <c r="AJ16" s="200"/>
      <c r="AK16" s="200"/>
      <c r="AL16" s="200"/>
    </row>
    <row r="17" spans="1:38" s="143" customFormat="1">
      <c r="A17" s="470"/>
      <c r="B17" s="474"/>
      <c r="C17" s="589"/>
      <c r="D17" s="971"/>
      <c r="E17" s="971"/>
      <c r="F17" s="971"/>
      <c r="G17" s="971"/>
      <c r="H17" s="971"/>
      <c r="I17" s="474"/>
      <c r="J17" s="974" t="s">
        <v>121</v>
      </c>
      <c r="K17" s="975"/>
      <c r="L17" s="975"/>
      <c r="M17" s="975"/>
      <c r="N17" s="975"/>
      <c r="O17" s="975"/>
      <c r="P17" s="223"/>
      <c r="Q17" s="474"/>
      <c r="R17" s="223"/>
      <c r="S17" s="223"/>
      <c r="T17" s="223"/>
      <c r="U17" s="223"/>
      <c r="V17" s="223"/>
      <c r="W17" s="223"/>
      <c r="X17" s="223"/>
      <c r="Y17" s="223"/>
      <c r="Z17" s="223"/>
      <c r="AA17" s="223"/>
      <c r="AB17" s="223"/>
      <c r="AC17" s="223"/>
      <c r="AD17" s="223"/>
      <c r="AE17" s="223"/>
      <c r="AF17" s="223"/>
      <c r="AG17" s="223"/>
      <c r="AH17" s="223"/>
      <c r="AI17" s="223"/>
      <c r="AJ17" s="223"/>
      <c r="AK17" s="223"/>
      <c r="AL17" s="223"/>
    </row>
    <row r="18" spans="1:38" s="658" customFormat="1" ht="75" customHeight="1">
      <c r="A18" s="655"/>
      <c r="B18" s="471"/>
      <c r="C18" s="590" t="s">
        <v>119</v>
      </c>
      <c r="D18" s="472" t="s">
        <v>330</v>
      </c>
      <c r="E18" s="472" t="s">
        <v>331</v>
      </c>
      <c r="F18" s="472" t="s">
        <v>332</v>
      </c>
      <c r="G18" s="473" t="s">
        <v>238</v>
      </c>
      <c r="H18" s="473" t="s">
        <v>238</v>
      </c>
      <c r="I18" s="199" t="s">
        <v>120</v>
      </c>
      <c r="J18" s="642" t="s">
        <v>1</v>
      </c>
      <c r="K18" s="642" t="s">
        <v>2</v>
      </c>
      <c r="L18" s="642" t="s">
        <v>236</v>
      </c>
      <c r="M18" s="642" t="s">
        <v>329</v>
      </c>
      <c r="N18" s="642" t="s">
        <v>269</v>
      </c>
      <c r="O18" s="927" t="s">
        <v>318</v>
      </c>
      <c r="P18" s="656"/>
      <c r="Q18" s="199" t="s">
        <v>144</v>
      </c>
      <c r="R18" s="199" t="s">
        <v>32</v>
      </c>
      <c r="S18" s="474"/>
      <c r="T18" s="657" t="s">
        <v>154</v>
      </c>
      <c r="U18" s="657"/>
      <c r="V18" s="657"/>
      <c r="W18" s="657"/>
      <c r="X18" s="657"/>
      <c r="Y18" s="657"/>
      <c r="Z18" s="657"/>
      <c r="AA18" s="657"/>
      <c r="AB18" s="657"/>
      <c r="AC18" s="474"/>
      <c r="AD18" s="474"/>
      <c r="AE18" s="474"/>
      <c r="AF18" s="474"/>
      <c r="AG18" s="474"/>
      <c r="AH18" s="474"/>
      <c r="AI18" s="474"/>
      <c r="AJ18" s="474"/>
      <c r="AK18" s="474"/>
      <c r="AL18" s="474"/>
    </row>
    <row r="19" spans="1:38" s="118" customFormat="1" ht="23.25" thickBot="1">
      <c r="A19" s="659"/>
      <c r="B19" s="660"/>
      <c r="C19" s="661"/>
      <c r="D19" s="650"/>
      <c r="E19" s="650"/>
      <c r="F19" s="468"/>
      <c r="G19" s="648"/>
      <c r="H19" s="617" t="s">
        <v>163</v>
      </c>
      <c r="I19" s="585"/>
      <c r="J19" s="662" t="s">
        <v>165</v>
      </c>
      <c r="K19" s="662" t="s">
        <v>165</v>
      </c>
      <c r="L19" s="662" t="s">
        <v>165</v>
      </c>
      <c r="M19" s="662" t="s">
        <v>165</v>
      </c>
      <c r="N19" s="662" t="s">
        <v>165</v>
      </c>
      <c r="O19" s="662" t="s">
        <v>165</v>
      </c>
      <c r="P19" s="972"/>
      <c r="Q19" s="972"/>
      <c r="R19" s="972"/>
      <c r="S19" s="651"/>
      <c r="T19" s="606"/>
      <c r="U19" s="606"/>
      <c r="V19" s="606"/>
      <c r="W19" s="606"/>
      <c r="X19" s="606"/>
      <c r="Y19" s="606"/>
      <c r="Z19" s="606"/>
      <c r="AA19" s="606"/>
      <c r="AB19" s="606"/>
      <c r="AC19" s="651"/>
      <c r="AD19" s="651"/>
      <c r="AE19" s="651"/>
      <c r="AF19" s="651"/>
      <c r="AG19" s="651"/>
      <c r="AH19" s="651"/>
      <c r="AI19" s="651"/>
      <c r="AJ19" s="651"/>
      <c r="AK19" s="651"/>
      <c r="AL19" s="651"/>
    </row>
    <row r="20" spans="1:38">
      <c r="A20" s="435">
        <v>1</v>
      </c>
      <c r="B20" s="877" t="str">
        <f>CONCATENATE('3. Consumption by Rate Class'!B25,"-",'3. Consumption by Rate Class'!C25)</f>
        <v>2013-January</v>
      </c>
      <c r="C20" s="883">
        <v>9101600</v>
      </c>
      <c r="D20" s="932">
        <v>-30771</v>
      </c>
      <c r="E20" s="469">
        <v>-66933</v>
      </c>
      <c r="F20" s="469">
        <v>-77502.42</v>
      </c>
      <c r="G20" s="873"/>
      <c r="H20" s="873"/>
      <c r="I20" s="469">
        <f>C20-D20+E20+F20</f>
        <v>8987935.5800000001</v>
      </c>
      <c r="J20" s="599">
        <f>IF(J$18='5.Variables'!$B$16,+'5.Variables'!$C27,+IF(J$18='5.Variables'!$B$39,+'5.Variables'!$C50,+IF(J$18='5.Variables'!$B$62,+'5.Variables'!$C64,+IF(J$18='5.Variables'!$B$76,+'5.Variables'!$C78,+IF(J$18='5.Variables'!$B$90,+'5.Variables'!$C92,+IF(J$18='5.Variables'!$B$104,+'5.Variables'!$C106,0))))))</f>
        <v>839.9</v>
      </c>
      <c r="K20" s="599">
        <f>IF(K$18='5.Variables'!$B$16,+'5.Variables'!$C27,+IF(K$18='5.Variables'!$B$39,+'5.Variables'!$C50,+IF(K$18='5.Variables'!$B$62,+'5.Variables'!$C64,+IF(K$18='5.Variables'!$B$76,+'5.Variables'!$C78,+IF(K$18='5.Variables'!$B$90,+'5.Variables'!$C92,+IF(K$18='5.Variables'!$B$104,+'5.Variables'!$C106,0))))))</f>
        <v>0</v>
      </c>
      <c r="L20" s="599">
        <f>IF(L$18='5.Variables'!$B$16,+'5.Variables'!$C26,+IF(L$18='5.Variables'!$B$39,+'5.Variables'!$C50,+IF(L$18='5.Variables'!$B$62,+'5.Variables'!$C64,+IF(L$18='5.Variables'!$B$76,+'5.Variables'!$C78,+IF(L$18='5.Variables'!$B$90,+'5.Variables'!$C92,+IF(L$18='5.Variables'!$B$104,+'5.Variables'!$C106,0))))))</f>
        <v>31</v>
      </c>
      <c r="M20" s="599">
        <f>IF(M$18='5.Variables'!$B$16,+'5.Variables'!$C26,+IF(M$18='5.Variables'!$B$39,+'5.Variables'!$C50,+IF(M$18='5.Variables'!$B$62,+'5.Variables'!$C64,+IF(M$18='5.Variables'!$B$76,+'5.Variables'!$C78,+IF(M$18='5.Variables'!$B$90,+'5.Variables'!$C92,+IF(M$18='5.Variables'!$B$104,+'5.Variables'!$C106,0))))))</f>
        <v>9.09</v>
      </c>
      <c r="N20" s="599">
        <f>IF(N$18='5.Variables'!$B$16,+'5.Variables'!$C26,+IF(N$18='5.Variables'!$B$39,+'5.Variables'!$C50,+IF(N$18='5.Variables'!$B$62,+'5.Variables'!$C64,+IF(N$18='5.Variables'!$B$76,+'5.Variables'!$C78,+IF(N$18='5.Variables'!$B$90,+'5.Variables'!$C92,+IF(N$18='5.Variables'!$B$104,+'5.Variables'!$C106,0))))))</f>
        <v>0</v>
      </c>
      <c r="O20" s="928">
        <v>0</v>
      </c>
      <c r="P20" s="200"/>
      <c r="Q20" s="469">
        <f>$U$34+(J20*$U$35)+(K20*$U$36)+(L20*$U$37)</f>
        <v>8562406.7312389053</v>
      </c>
      <c r="R20" s="215"/>
      <c r="S20" s="200"/>
      <c r="T20" s="664" t="s">
        <v>7</v>
      </c>
      <c r="U20" s="664"/>
      <c r="V20"/>
      <c r="W20"/>
      <c r="X20"/>
      <c r="Y20"/>
      <c r="Z20"/>
      <c r="AA20"/>
      <c r="AB20"/>
      <c r="AC20" s="200"/>
      <c r="AD20" s="200"/>
      <c r="AE20" s="200"/>
      <c r="AF20" s="200"/>
      <c r="AG20" s="200"/>
      <c r="AH20" s="200"/>
      <c r="AI20" s="200"/>
      <c r="AJ20" s="200"/>
      <c r="AK20" s="200"/>
      <c r="AL20" s="200"/>
    </row>
    <row r="21" spans="1:38">
      <c r="A21" s="435">
        <f>+A20+1</f>
        <v>2</v>
      </c>
      <c r="B21" s="871" t="str">
        <f>CONCATENATE('3. Consumption by Rate Class'!B26,"-",'3. Consumption by Rate Class'!C26)</f>
        <v>2013-February</v>
      </c>
      <c r="C21" s="870">
        <v>7991165</v>
      </c>
      <c r="D21" s="933">
        <v>-32610</v>
      </c>
      <c r="E21" s="163">
        <v>-79343</v>
      </c>
      <c r="F21" s="469">
        <v>-69147.110000000015</v>
      </c>
      <c r="G21" s="874"/>
      <c r="H21" s="874"/>
      <c r="I21" s="469">
        <f>C21-D21+E21+F21</f>
        <v>7875284.8899999997</v>
      </c>
      <c r="J21" s="599">
        <f>IF(J$18='5.Variables'!$B$16,+'5.Variables'!$D27,+IF(J$18='5.Variables'!$B$39,+'5.Variables'!$D50,+IF(J$18='5.Variables'!$B$62,+'5.Variables'!$D64,+IF(J$18='5.Variables'!$B$76,+'5.Variables'!$D78,+IF(J$18='5.Variables'!$B$90,+'5.Variables'!$D92,+IF(J$18='5.Variables'!$B$104,+'5.Variables'!$D106,0))))))</f>
        <v>728.5</v>
      </c>
      <c r="K21" s="599">
        <f>IF(K$18='5.Variables'!$B$16,+'5.Variables'!$D27,+IF(K$18='5.Variables'!$B$39,+'5.Variables'!$D50,+IF(K$18='5.Variables'!$B$62,+'5.Variables'!$D64,+IF(K$18='5.Variables'!$B$76,+'5.Variables'!$D78,+IF(K$18='5.Variables'!$B$90,+'5.Variables'!$D92,+IF(K$18='5.Variables'!$B$104,+'5.Variables'!$D106,0))))))</f>
        <v>0</v>
      </c>
      <c r="L21" s="599">
        <f>IF(L$18='5.Variables'!$B$16,+'5.Variables'!$D26,+IF(L$18='5.Variables'!$B$39,+'5.Variables'!$D50,+IF(L$18='5.Variables'!$B$62,+'5.Variables'!$D64,+IF(L$18='5.Variables'!$B$76,+'5.Variables'!$D78,+IF(L$18='5.Variables'!$B$90,+'5.Variables'!$D92,+IF(L$18='5.Variables'!$B$104,+'5.Variables'!$D106,0))))))</f>
        <v>28</v>
      </c>
      <c r="M21" s="599">
        <f>IF(M$18='5.Variables'!$B$16,+'5.Variables'!$D26,+IF(M$18='5.Variables'!$B$39,+'5.Variables'!$D50,+IF(M$18='5.Variables'!$B$62,+'5.Variables'!$D64,+IF(M$18='5.Variables'!$B$76,+'5.Variables'!$D78,+IF(M$18='5.Variables'!$B$90,+'5.Variables'!$D92,+IF(M$18='5.Variables'!$B$104,+'5.Variables'!$D106,0))))))</f>
        <v>10.19</v>
      </c>
      <c r="N21" s="599">
        <f>IF(N$18='5.Variables'!$B$16,+'5.Variables'!$D26,+IF(N$18='5.Variables'!$B$39,+'5.Variables'!$D50,+IF(N$18='5.Variables'!$B$62,+'5.Variables'!$D64,+IF(N$18='5.Variables'!$B$76,+'5.Variables'!$D78,+IF(N$18='5.Variables'!$B$90,+'5.Variables'!$D92,+IF(N$18='5.Variables'!$B$104,+'5.Variables'!$D106,0))))))</f>
        <v>0</v>
      </c>
      <c r="O21" s="928">
        <v>0</v>
      </c>
      <c r="P21" s="200"/>
      <c r="Q21" s="469">
        <f t="shared" ref="Q21:Q84" si="0">$U$34+(J21*$U$35)+(K21*$U$36)+(L21*$U$37)</f>
        <v>7758808.600038588</v>
      </c>
      <c r="R21" s="215"/>
      <c r="S21" s="200"/>
      <c r="T21" t="s">
        <v>8</v>
      </c>
      <c r="U21">
        <v>0.95297504065410155</v>
      </c>
      <c r="V21"/>
      <c r="W21"/>
      <c r="X21"/>
      <c r="Y21"/>
      <c r="Z21"/>
      <c r="AA21"/>
      <c r="AB21"/>
      <c r="AC21" s="200"/>
      <c r="AD21" s="200"/>
      <c r="AE21" s="200"/>
      <c r="AF21" s="200"/>
      <c r="AG21" s="200"/>
      <c r="AH21" s="200"/>
      <c r="AI21" s="200"/>
      <c r="AJ21" s="200"/>
      <c r="AK21" s="200"/>
      <c r="AL21" s="200"/>
    </row>
    <row r="22" spans="1:38">
      <c r="A22" s="435">
        <f t="shared" ref="A22:A85" si="1">+A21+1</f>
        <v>3</v>
      </c>
      <c r="B22" s="871" t="str">
        <f>CONCATENATE('3. Consumption by Rate Class'!B27,"-",'3. Consumption by Rate Class'!C27)</f>
        <v>2013-March</v>
      </c>
      <c r="C22" s="870">
        <v>8052530</v>
      </c>
      <c r="D22" s="934">
        <v>-27801</v>
      </c>
      <c r="E22" s="935">
        <v>-55965</v>
      </c>
      <c r="F22" s="469">
        <v>-63108.26</v>
      </c>
      <c r="G22" s="875"/>
      <c r="H22" s="875"/>
      <c r="I22" s="469">
        <f t="shared" ref="I22:I85" si="2">C22-D22+E22+F22</f>
        <v>7961257.7400000002</v>
      </c>
      <c r="J22" s="599">
        <f>IF(J$18='5.Variables'!$B$16,+'5.Variables'!$E27,+IF(J$18='5.Variables'!$B$39,+'5.Variables'!$E50,+IF(J$18='5.Variables'!$B$62,+'5.Variables'!$E64,+IF(J$18='5.Variables'!$B$76,+'5.Variables'!$E78,+IF(J$18='5.Variables'!$B$90,+'5.Variables'!$E92,+IF(J$18='5.Variables'!$B$104,+'5.Variables'!$E106,0))))))</f>
        <v>579.6</v>
      </c>
      <c r="K22" s="599">
        <f>IF(K$18='5.Variables'!$B$16,+'5.Variables'!$E27,+IF(K$18='5.Variables'!$B$39,+'5.Variables'!$E50,+IF(K$18='5.Variables'!$B$62,+'5.Variables'!$E64,+IF(K$18='5.Variables'!$B$76,+'5.Variables'!$E78,+IF(K$18='5.Variables'!$B$90,+'5.Variables'!$E92,+IF(K$18='5.Variables'!$B$104,+'5.Variables'!$E106,0))))))</f>
        <v>0</v>
      </c>
      <c r="L22" s="599">
        <f>IF(L$18='5.Variables'!$B$16,+'5.Variables'!$E26,+IF(L$18='5.Variables'!$B$39,+'5.Variables'!$E50,+IF(L$18='5.Variables'!$B$62,+'5.Variables'!$E64,+IF(L$18='5.Variables'!$B$76,+'5.Variables'!$E78,+IF(L$18='5.Variables'!$B$90,+'5.Variables'!$E92,+IF(L$18='5.Variables'!$B$104,+'5.Variables'!$E106,0))))))</f>
        <v>31</v>
      </c>
      <c r="M22" s="599">
        <f>IF(M$18='5.Variables'!$B$16,+'5.Variables'!$E26,+IF(M$18='5.Variables'!$B$39,+'5.Variables'!$E50,+IF(M$18='5.Variables'!$B$62,+'5.Variables'!$E64,+IF(M$18='5.Variables'!$B$76,+'5.Variables'!$E78,+IF(M$18='5.Variables'!$B$90,+'5.Variables'!$E92,+IF(M$18='5.Variables'!$B$104,+'5.Variables'!$E106,0))))))</f>
        <v>11.51</v>
      </c>
      <c r="N22" s="599">
        <f>IF(N$18='5.Variables'!$B$16,+'5.Variables'!$E26,+IF(N$18='5.Variables'!$B$39,+'5.Variables'!$E50,+IF(N$18='5.Variables'!$B$62,+'5.Variables'!$E64,+IF(N$18='5.Variables'!$B$76,+'5.Variables'!$E78,+IF(N$18='5.Variables'!$B$90,+'5.Variables'!$E92,+IF(N$18='5.Variables'!$B$104,+'5.Variables'!$E106,0))))))</f>
        <v>0</v>
      </c>
      <c r="O22" s="928">
        <v>0</v>
      </c>
      <c r="P22" s="200"/>
      <c r="Q22" s="469">
        <f t="shared" si="0"/>
        <v>7793944.194127297</v>
      </c>
      <c r="R22" s="216"/>
      <c r="S22" s="200"/>
      <c r="T22" t="s">
        <v>9</v>
      </c>
      <c r="U22">
        <v>0.90816142810968659</v>
      </c>
      <c r="V22"/>
      <c r="W22"/>
      <c r="X22"/>
      <c r="Y22"/>
      <c r="Z22"/>
      <c r="AA22"/>
      <c r="AB22"/>
      <c r="AC22" s="200"/>
      <c r="AD22" s="200"/>
      <c r="AE22" s="200"/>
      <c r="AF22" s="200"/>
      <c r="AG22" s="200"/>
      <c r="AH22" s="200"/>
      <c r="AI22" s="200"/>
      <c r="AJ22" s="200"/>
      <c r="AK22" s="200"/>
      <c r="AL22" s="200"/>
    </row>
    <row r="23" spans="1:38">
      <c r="A23" s="435">
        <f t="shared" si="1"/>
        <v>4</v>
      </c>
      <c r="B23" s="871" t="str">
        <f>CONCATENATE('3. Consumption by Rate Class'!B28,"-",'3. Consumption by Rate Class'!C28)</f>
        <v>2013-April</v>
      </c>
      <c r="C23" s="870">
        <v>7150699</v>
      </c>
      <c r="D23" s="934">
        <v>-28667</v>
      </c>
      <c r="E23" s="935">
        <v>-59951</v>
      </c>
      <c r="F23" s="469">
        <v>-52822.5</v>
      </c>
      <c r="G23" s="875"/>
      <c r="H23" s="875"/>
      <c r="I23" s="469">
        <f t="shared" si="2"/>
        <v>7066592.5</v>
      </c>
      <c r="J23" s="599">
        <f>IF(J$18='5.Variables'!$B$16,+'5.Variables'!$F27,+IF(J$18='5.Variables'!$B$39,+'5.Variables'!$F50,+IF(J$18='5.Variables'!$B$62,+'5.Variables'!$F64,+IF(J$18='5.Variables'!$B$76,+'5.Variables'!$F78,+IF(J$18='5.Variables'!$B$90,+'5.Variables'!$F92,+IF(J$18='5.Variables'!$B$104,+'5.Variables'!$F106,0))))))</f>
        <v>285.5</v>
      </c>
      <c r="K23" s="599">
        <f>IF(K$18='5.Variables'!$B$16,+'5.Variables'!$F27,+IF(K$18='5.Variables'!$B$39,+'5.Variables'!$F50,+IF(K$18='5.Variables'!$B$62,+'5.Variables'!$F64,+IF(K$18='5.Variables'!$B$76,+'5.Variables'!$F78,+IF(K$18='5.Variables'!$B$90,+'5.Variables'!$F92,+IF(K$18='5.Variables'!$B$104,+'5.Variables'!$F106,0))))))</f>
        <v>0</v>
      </c>
      <c r="L23" s="599">
        <f>IF(L$18='5.Variables'!$B$16,+'5.Variables'!$F26,+IF(L$18='5.Variables'!$B$39,+'5.Variables'!$F50,+IF(L$18='5.Variables'!$B$62,+'5.Variables'!$F64,+IF(L$18='5.Variables'!$B$76,+'5.Variables'!$F78,+IF(L$18='5.Variables'!$B$90,+'5.Variables'!$F92,+IF(L$18='5.Variables'!$B$104,+'5.Variables'!$F106,0))))))</f>
        <v>30</v>
      </c>
      <c r="M23" s="599">
        <f>IF(M$18='5.Variables'!$B$16,+'5.Variables'!$F26,+IF(M$18='5.Variables'!$B$39,+'5.Variables'!$F50,+IF(M$18='5.Variables'!$B$62,+'5.Variables'!$F64,+IF(M$18='5.Variables'!$B$76,+'5.Variables'!$F78,+IF(M$18='5.Variables'!$B$90,+'5.Variables'!$F92,+IF(M$18='5.Variables'!$B$104,+'5.Variables'!$F106,0))))))</f>
        <v>13.28</v>
      </c>
      <c r="N23" s="599">
        <f>IF(N$18='5.Variables'!$B$16,+'5.Variables'!$F26,+IF(N$18='5.Variables'!$B$39,+'5.Variables'!$F50,+IF(N$18='5.Variables'!$B$62,+'5.Variables'!$F64,+IF(N$18='5.Variables'!$B$76,+'5.Variables'!$F78,+IF(N$18='5.Variables'!$B$90,+'5.Variables'!$F92,+IF(N$18='5.Variables'!$B$104,+'5.Variables'!$F106,0))))))</f>
        <v>0</v>
      </c>
      <c r="O23" s="928">
        <v>0</v>
      </c>
      <c r="P23" s="200"/>
      <c r="Q23" s="469">
        <f t="shared" si="0"/>
        <v>6767456.342403925</v>
      </c>
      <c r="R23" s="216"/>
      <c r="S23" s="200"/>
      <c r="T23" t="s">
        <v>10</v>
      </c>
      <c r="U23">
        <v>0.90578629262976462</v>
      </c>
      <c r="V23"/>
      <c r="W23"/>
      <c r="X23"/>
      <c r="Y23"/>
      <c r="Z23"/>
      <c r="AA23"/>
      <c r="AB23"/>
      <c r="AC23" s="200"/>
      <c r="AD23" s="200"/>
      <c r="AE23" s="200"/>
      <c r="AF23" s="200"/>
      <c r="AG23" s="200"/>
      <c r="AH23" s="200"/>
      <c r="AI23" s="200"/>
      <c r="AJ23" s="200"/>
      <c r="AK23" s="200"/>
      <c r="AL23" s="200"/>
    </row>
    <row r="24" spans="1:38">
      <c r="A24" s="435">
        <f t="shared" si="1"/>
        <v>5</v>
      </c>
      <c r="B24" s="871" t="str">
        <f>CONCATENATE('3. Consumption by Rate Class'!B29,"-",'3. Consumption by Rate Class'!C29)</f>
        <v>2013-May</v>
      </c>
      <c r="C24" s="870">
        <v>6854461</v>
      </c>
      <c r="D24" s="934">
        <v>-24766</v>
      </c>
      <c r="E24" s="935">
        <v>-49920</v>
      </c>
      <c r="F24" s="469">
        <v>-47496.160000000003</v>
      </c>
      <c r="G24" s="875"/>
      <c r="H24" s="875"/>
      <c r="I24" s="469">
        <f t="shared" si="2"/>
        <v>6781810.8399999999</v>
      </c>
      <c r="J24" s="599">
        <f>IF(J$18='5.Variables'!$B$16,+'5.Variables'!$G27,+IF(J$18='5.Variables'!$B$39,+'5.Variables'!$G50,+IF(J$18='5.Variables'!$B$62,+'5.Variables'!$G64,+IF(J$18='5.Variables'!$B$76,+'5.Variables'!$G78,+IF(J$18='5.Variables'!$B$90,+'5.Variables'!$G92,+IF(J$18='5.Variables'!$B$104,+'5.Variables'!$G106,0))))))</f>
        <v>105.7</v>
      </c>
      <c r="K24" s="599">
        <f>IF(K$18='5.Variables'!$B$16,+'5.Variables'!$G27,+IF(K$18='5.Variables'!$B$39,+'5.Variables'!$G50,+IF(K$18='5.Variables'!$B$62,+'5.Variables'!$G64,+IF(K$18='5.Variables'!$B$76,+'5.Variables'!$G78,+IF(K$18='5.Variables'!$B$90,+'5.Variables'!$G92,+IF(K$18='5.Variables'!$B$104,+'5.Variables'!$G106,0))))))</f>
        <v>15.3</v>
      </c>
      <c r="L24" s="599">
        <f>IF(L$18='5.Variables'!$B$16,+'5.Variables'!$G26,+IF(L$18='5.Variables'!$B$39,+'5.Variables'!$G50,+IF(L$18='5.Variables'!$B$62,+'5.Variables'!$G64,+IF(L$18='5.Variables'!$B$76,+'5.Variables'!$G78,+IF(L$18='5.Variables'!$B$90,+'5.Variables'!$G92,+IF(L$18='5.Variables'!$B$104,+'5.Variables'!$G106,0))))))</f>
        <v>31</v>
      </c>
      <c r="M24" s="599">
        <f>IF(M$18='5.Variables'!$B$16,+'5.Variables'!$G26,+IF(M$18='5.Variables'!$B$39,+'5.Variables'!$G50,+IF(M$18='5.Variables'!$B$62,+'5.Variables'!$G64,+IF(M$18='5.Variables'!$B$76,+'5.Variables'!$G78,+IF(M$18='5.Variables'!$B$90,+'5.Variables'!$G92,+IF(M$18='5.Variables'!$B$104,+'5.Variables'!$G106,0))))))</f>
        <v>14.52</v>
      </c>
      <c r="N24" s="599">
        <f>IF(N$18='5.Variables'!$B$16,+'5.Variables'!$G26,+IF(N$18='5.Variables'!$B$39,+'5.Variables'!$G50,+IF(N$18='5.Variables'!$B$62,+'5.Variables'!$G64,+IF(N$18='5.Variables'!$B$76,+'5.Variables'!$G78,+IF(N$18='5.Variables'!$B$90,+'5.Variables'!$G92,+IF(N$18='5.Variables'!$B$104,+'5.Variables'!$G106,0))))))</f>
        <v>0</v>
      </c>
      <c r="O24" s="928">
        <v>0</v>
      </c>
      <c r="P24" s="200"/>
      <c r="Q24" s="469">
        <f t="shared" si="0"/>
        <v>6629884.3443177901</v>
      </c>
      <c r="R24" s="216"/>
      <c r="S24" s="200"/>
      <c r="T24" t="s">
        <v>11</v>
      </c>
      <c r="U24">
        <v>222711.28067376663</v>
      </c>
      <c r="V24"/>
      <c r="W24"/>
      <c r="X24"/>
      <c r="Y24"/>
      <c r="Z24"/>
      <c r="AA24"/>
      <c r="AB24"/>
      <c r="AC24" s="200"/>
      <c r="AD24" s="200"/>
      <c r="AE24" s="200"/>
      <c r="AF24" s="200"/>
      <c r="AG24" s="200"/>
      <c r="AH24" s="200"/>
      <c r="AI24" s="200"/>
      <c r="AJ24" s="200"/>
      <c r="AK24" s="200"/>
      <c r="AL24" s="200"/>
    </row>
    <row r="25" spans="1:38" ht="13.5" thickBot="1">
      <c r="A25" s="435">
        <f t="shared" si="1"/>
        <v>6</v>
      </c>
      <c r="B25" s="871" t="str">
        <f>CONCATENATE('3. Consumption by Rate Class'!B30,"-",'3. Consumption by Rate Class'!C30)</f>
        <v>2013-June</v>
      </c>
      <c r="C25" s="870">
        <v>6905812</v>
      </c>
      <c r="D25" s="934">
        <v>-22468</v>
      </c>
      <c r="E25" s="935">
        <v>-44486</v>
      </c>
      <c r="F25" s="469">
        <v>-41917.279999999999</v>
      </c>
      <c r="G25" s="875"/>
      <c r="H25" s="875"/>
      <c r="I25" s="469">
        <f t="shared" si="2"/>
        <v>6841876.7199999997</v>
      </c>
      <c r="J25" s="599">
        <f>IF(J$18='5.Variables'!$B$16,+'5.Variables'!$H27,+IF(J$18='5.Variables'!$B$39,+'5.Variables'!$H50,+IF(J$18='5.Variables'!$B$62,+'5.Variables'!$H64,+IF(J$18='5.Variables'!$B$76,+'5.Variables'!$H78,+IF(J$18='5.Variables'!$B$90,+'5.Variables'!$H92,+IF(J$18='5.Variables'!$B$104,+'5.Variables'!$H106,0))))))</f>
        <v>54.1</v>
      </c>
      <c r="K25" s="599">
        <f>IF(K$18='5.Variables'!$B$16,+'5.Variables'!$H27,+IF(K$18='5.Variables'!$B$39,+'5.Variables'!$H50,+IF(K$18='5.Variables'!$B$62,+'5.Variables'!$H64,+IF(K$18='5.Variables'!$B$76,+'5.Variables'!$H78,+IF(K$18='5.Variables'!$B$90,+'5.Variables'!$H92,+IF(K$18='5.Variables'!$B$104,+'5.Variables'!$H106,0))))))</f>
        <v>39.4</v>
      </c>
      <c r="L25" s="599">
        <f>IF(L$18='5.Variables'!$B$16,+'5.Variables'!$H26,+IF(L$18='5.Variables'!$B$39,+'5.Variables'!$H50,+IF(L$18='5.Variables'!$B$62,+'5.Variables'!$H64,+IF(L$18='5.Variables'!$B$76,+'5.Variables'!$H78,+IF(L$18='5.Variables'!$B$90,+'5.Variables'!$H92,+IF(L$18='5.Variables'!$B$104,+'5.Variables'!$H106,0))))))</f>
        <v>30</v>
      </c>
      <c r="M25" s="599">
        <f>IF(M$18='5.Variables'!$B$16,+'5.Variables'!$H26,+IF(M$18='5.Variables'!$B$39,+'5.Variables'!$H50,+IF(M$18='5.Variables'!$B$62,+'5.Variables'!$H64,+IF(M$18='5.Variables'!$B$76,+'5.Variables'!$H78,+IF(M$18='5.Variables'!$B$90,+'5.Variables'!$H92,+IF(M$18='5.Variables'!$B$104,+'5.Variables'!$H106,0))))))</f>
        <v>15.35</v>
      </c>
      <c r="N25" s="599">
        <f>IF(N$18='5.Variables'!$B$16,+'5.Variables'!$H26,+IF(N$18='5.Variables'!$B$39,+'5.Variables'!$H50,+IF(N$18='5.Variables'!$B$62,+'5.Variables'!$H64,+IF(N$18='5.Variables'!$B$76,+'5.Variables'!$H78,+IF(N$18='5.Variables'!$B$90,+'5.Variables'!$H92,+IF(N$18='5.Variables'!$B$104,+'5.Variables'!$H106,0))))))</f>
        <v>0</v>
      </c>
      <c r="O25" s="928">
        <v>0</v>
      </c>
      <c r="P25" s="200"/>
      <c r="Q25" s="469">
        <f t="shared" si="0"/>
        <v>6689467.5941700675</v>
      </c>
      <c r="R25" s="216"/>
      <c r="S25" s="200"/>
      <c r="T25" s="466" t="s">
        <v>12</v>
      </c>
      <c r="U25" s="466">
        <v>120</v>
      </c>
      <c r="V25"/>
      <c r="W25"/>
      <c r="X25"/>
      <c r="Y25"/>
      <c r="Z25"/>
      <c r="AA25"/>
      <c r="AB25"/>
      <c r="AC25" s="200"/>
      <c r="AD25" s="200"/>
      <c r="AE25" s="200"/>
      <c r="AF25" s="200"/>
      <c r="AG25" s="200"/>
      <c r="AH25" s="200"/>
      <c r="AI25" s="200"/>
      <c r="AJ25" s="200"/>
      <c r="AK25" s="200"/>
      <c r="AL25" s="200"/>
    </row>
    <row r="26" spans="1:38">
      <c r="A26" s="435">
        <f t="shared" si="1"/>
        <v>7</v>
      </c>
      <c r="B26" s="871" t="str">
        <f>CONCATENATE('3. Consumption by Rate Class'!B31,"-",'3. Consumption by Rate Class'!C31)</f>
        <v>2013-July</v>
      </c>
      <c r="C26" s="870">
        <v>7879017</v>
      </c>
      <c r="D26" s="934">
        <v>-25409</v>
      </c>
      <c r="E26" s="935">
        <v>-41307</v>
      </c>
      <c r="F26" s="469">
        <v>-45552.020000000004</v>
      </c>
      <c r="G26" s="875"/>
      <c r="H26" s="875"/>
      <c r="I26" s="469">
        <f t="shared" si="2"/>
        <v>7817566.9800000004</v>
      </c>
      <c r="J26" s="599">
        <f>IF(J$18='5.Variables'!$B$16,+'5.Variables'!$I27,+IF(J$18='5.Variables'!$B$39,+'5.Variables'!$I50,+IF(J$18='5.Variables'!$B$62,+'5.Variables'!$I64,+IF(J$18='5.Variables'!$B$76,+'5.Variables'!$I78,+IF(J$18='5.Variables'!$B$90,+'5.Variables'!$I92,+IF(J$18='5.Variables'!$B$104,+'5.Variables'!$I106,0))))))</f>
        <v>7.7</v>
      </c>
      <c r="K26" s="599">
        <f>IF(K$18='5.Variables'!$B$16,+'5.Variables'!$I27,+IF(K$18='5.Variables'!$B$39,+'5.Variables'!$I50,+IF(K$18='5.Variables'!$B$62,+'5.Variables'!$I64,+IF(K$18='5.Variables'!$B$76,+'5.Variables'!$I78,+IF(K$18='5.Variables'!$B$90,+'5.Variables'!$I92,+IF(K$18='5.Variables'!$B$104,+'5.Variables'!$I106,0))))))</f>
        <v>111.1</v>
      </c>
      <c r="L26" s="599">
        <f>IF(L$18='5.Variables'!$B$16,+'5.Variables'!$I26,+IF(L$18='5.Variables'!$B$39,+'5.Variables'!$I50,+IF(L$18='5.Variables'!$B$62,+'5.Variables'!$I64,+IF(L$18='5.Variables'!$B$76,+'5.Variables'!$I78,+IF(L$18='5.Variables'!$B$90,+'5.Variables'!$I92,+IF(L$18='5.Variables'!$B$104,+'5.Variables'!$I106,0))))))</f>
        <v>31</v>
      </c>
      <c r="M26" s="599">
        <f>IF(M$18='5.Variables'!$B$16,+'5.Variables'!$I26,+IF(M$18='5.Variables'!$B$39,+'5.Variables'!$I50,+IF(M$18='5.Variables'!$B$62,+'5.Variables'!$I64,+IF(M$18='5.Variables'!$B$76,+'5.Variables'!$I78,+IF(M$18='5.Variables'!$B$90,+'5.Variables'!$I92,+IF(M$18='5.Variables'!$B$104,+'5.Variables'!$I106,0))))))</f>
        <v>15.15</v>
      </c>
      <c r="N26" s="599">
        <f>IF(N$18='5.Variables'!$B$16,+'5.Variables'!$I26,+IF(N$18='5.Variables'!$B$39,+'5.Variables'!$I50,+IF(N$18='5.Variables'!$B$62,+'5.Variables'!$I64,+IF(N$18='5.Variables'!$B$76,+'5.Variables'!$I78,+IF(N$18='5.Variables'!$B$90,+'5.Variables'!$I92,+IF(N$18='5.Variables'!$B$104,+'5.Variables'!$I106,0))))))</f>
        <v>0</v>
      </c>
      <c r="O26" s="928">
        <v>0</v>
      </c>
      <c r="P26" s="200"/>
      <c r="Q26" s="469">
        <f t="shared" si="0"/>
        <v>7811983.5867251344</v>
      </c>
      <c r="R26" s="216"/>
      <c r="S26" s="200"/>
      <c r="T26"/>
      <c r="U26"/>
      <c r="V26"/>
      <c r="W26"/>
      <c r="X26"/>
      <c r="Y26"/>
      <c r="Z26"/>
      <c r="AA26"/>
      <c r="AB26"/>
      <c r="AC26" s="200"/>
      <c r="AD26" s="200"/>
      <c r="AE26" s="200"/>
      <c r="AF26" s="200"/>
      <c r="AG26" s="200"/>
      <c r="AH26" s="200"/>
      <c r="AI26" s="200"/>
      <c r="AJ26" s="200"/>
      <c r="AK26" s="200"/>
      <c r="AL26" s="200"/>
    </row>
    <row r="27" spans="1:38" ht="13.5" thickBot="1">
      <c r="A27" s="435">
        <f t="shared" si="1"/>
        <v>8</v>
      </c>
      <c r="B27" s="871" t="str">
        <f>CONCATENATE('3. Consumption by Rate Class'!B32,"-",'3. Consumption by Rate Class'!C32)</f>
        <v>2013-August</v>
      </c>
      <c r="C27" s="870">
        <v>7318263</v>
      </c>
      <c r="D27" s="934">
        <v>-29150</v>
      </c>
      <c r="E27" s="935">
        <v>-47596</v>
      </c>
      <c r="F27" s="469">
        <v>-52103.47</v>
      </c>
      <c r="G27" s="875"/>
      <c r="H27" s="875"/>
      <c r="I27" s="469">
        <f t="shared" si="2"/>
        <v>7247713.5300000003</v>
      </c>
      <c r="J27" s="599">
        <f>IF(J$18='5.Variables'!$B$16,+'5.Variables'!$J27,+IF(J$18='5.Variables'!$B$39,+'5.Variables'!$J50,+IF(J$18='5.Variables'!$B$62,+'5.Variables'!$J64,+IF(J$18='5.Variables'!$B$76,+'5.Variables'!$J78,+IF(J$18='5.Variables'!$B$90,+'5.Variables'!$J92,+IF(J$18='5.Variables'!$B$104,+'5.Variables'!$J106,0))))))</f>
        <v>13.4</v>
      </c>
      <c r="K27" s="599">
        <f>IF(K$18='5.Variables'!$B$16,+'5.Variables'!$J27,+IF(K$18='5.Variables'!$B$39,+'5.Variables'!$J50,+IF(K$18='5.Variables'!$B$62,+'5.Variables'!$J64,+IF(K$18='5.Variables'!$B$76,+'5.Variables'!$J78,+IF(K$18='5.Variables'!$B$90,+'5.Variables'!$J92,+IF(K$18='5.Variables'!$B$104,+'5.Variables'!$J106,0))))))</f>
        <v>57.2</v>
      </c>
      <c r="L27" s="599">
        <f>IF(L$18='5.Variables'!$B$16,+'5.Variables'!$J26,+IF(L$18='5.Variables'!$B$39,+'5.Variables'!$J50,+IF(L$18='5.Variables'!$B$62,+'5.Variables'!$J64,+IF(L$18='5.Variables'!$B$76,+'5.Variables'!$J78,+IF(L$18='5.Variables'!$B$90,+'5.Variables'!$J92,+IF(L$18='5.Variables'!$B$104,+'5.Variables'!$J106,0))))))</f>
        <v>31</v>
      </c>
      <c r="M27" s="599">
        <f>IF(M$18='5.Variables'!$B$16,+'5.Variables'!$J26,+IF(M$18='5.Variables'!$B$39,+'5.Variables'!$J50,+IF(M$18='5.Variables'!$B$62,+'5.Variables'!$J64,+IF(M$18='5.Variables'!$B$76,+'5.Variables'!$J78,+IF(M$18='5.Variables'!$B$90,+'5.Variables'!$J92,+IF(M$18='5.Variables'!$B$104,+'5.Variables'!$J106,0))))))</f>
        <v>14.03</v>
      </c>
      <c r="N27" s="599">
        <f>IF(N$18='5.Variables'!$B$16,+'5.Variables'!$J26,+IF(N$18='5.Variables'!$B$39,+'5.Variables'!$J50,+IF(N$18='5.Variables'!$B$62,+'5.Variables'!$J64,+IF(N$18='5.Variables'!$B$76,+'5.Variables'!$J78,+IF(N$18='5.Variables'!$B$90,+'5.Variables'!$J92,+IF(N$18='5.Variables'!$B$104,+'5.Variables'!$J106,0))))))</f>
        <v>0</v>
      </c>
      <c r="O27" s="928">
        <v>0</v>
      </c>
      <c r="P27" s="200"/>
      <c r="Q27" s="469">
        <f t="shared" si="0"/>
        <v>7000947.3611253966</v>
      </c>
      <c r="R27" s="216"/>
      <c r="S27" s="200"/>
      <c r="T27" t="s">
        <v>13</v>
      </c>
      <c r="U27"/>
      <c r="V27"/>
      <c r="W27"/>
      <c r="X27"/>
      <c r="Y27"/>
      <c r="Z27"/>
      <c r="AA27"/>
      <c r="AB27"/>
      <c r="AC27" s="200"/>
      <c r="AD27" s="200"/>
      <c r="AE27" s="200"/>
      <c r="AF27" s="200"/>
      <c r="AG27" s="200"/>
      <c r="AH27" s="200"/>
      <c r="AI27" s="200"/>
      <c r="AJ27" s="200"/>
      <c r="AK27" s="200"/>
      <c r="AL27" s="200"/>
    </row>
    <row r="28" spans="1:38">
      <c r="A28" s="435">
        <f t="shared" si="1"/>
        <v>9</v>
      </c>
      <c r="B28" s="871" t="str">
        <f>CONCATENATE('3. Consumption by Rate Class'!B33,"-",'3. Consumption by Rate Class'!C33)</f>
        <v>2013-September</v>
      </c>
      <c r="C28" s="870">
        <v>6702828</v>
      </c>
      <c r="D28" s="934">
        <v>-22450</v>
      </c>
      <c r="E28" s="935">
        <v>-44959</v>
      </c>
      <c r="F28" s="469">
        <v>-58191.43</v>
      </c>
      <c r="G28" s="875"/>
      <c r="H28" s="875"/>
      <c r="I28" s="469">
        <f t="shared" si="2"/>
        <v>6622127.5700000003</v>
      </c>
      <c r="J28" s="599">
        <f>IF(J$18='5.Variables'!$B$16,+'5.Variables'!$K27,+IF(J$18='5.Variables'!$B$39,+'5.Variables'!$K50,+IF(J$18='5.Variables'!$B$62,+'5.Variables'!$K64,+IF(J$18='5.Variables'!$B$76,+'5.Variables'!$K78,+IF(J$18='5.Variables'!$B$90,+'5.Variables'!$K92,+IF(J$18='5.Variables'!$B$104,+'5.Variables'!$K106,0))))))</f>
        <v>133.19999999999999</v>
      </c>
      <c r="K28" s="599">
        <f>IF(K$18='5.Variables'!$B$16,+'5.Variables'!$K27,+IF(K$18='5.Variables'!$B$39,+'5.Variables'!$K50,+IF(K$18='5.Variables'!$B$62,+'5.Variables'!$K64,+IF(K$18='5.Variables'!$B$76,+'5.Variables'!$K78,+IF(K$18='5.Variables'!$B$90,+'5.Variables'!$K92,+IF(K$18='5.Variables'!$B$104,+'5.Variables'!$K106,0))))))</f>
        <v>10.1</v>
      </c>
      <c r="L28" s="599">
        <f>IF(L$18='5.Variables'!$B$16,+'5.Variables'!$K26,+IF(L$18='5.Variables'!$B$39,+'5.Variables'!$K50,+IF(L$18='5.Variables'!$B$62,+'5.Variables'!$K64,+IF(L$18='5.Variables'!$B$76,+'5.Variables'!$K78,+IF(L$18='5.Variables'!$B$90,+'5.Variables'!$K92,+IF(L$18='5.Variables'!$B$104,+'5.Variables'!$K106,0))))))</f>
        <v>30</v>
      </c>
      <c r="M28" s="599">
        <f>IF(M$18='5.Variables'!$B$16,+'5.Variables'!$K26,+IF(M$18='5.Variables'!$B$39,+'5.Variables'!$K50,+IF(M$18='5.Variables'!$B$62,+'5.Variables'!$K64,+IF(M$18='5.Variables'!$B$76,+'5.Variables'!$K78,+IF(M$18='5.Variables'!$B$90,+'5.Variables'!$K92,+IF(M$18='5.Variables'!$B$104,+'5.Variables'!$K106,0))))))</f>
        <v>12.29</v>
      </c>
      <c r="N28" s="599">
        <f>IF(N$18='5.Variables'!$B$16,+'5.Variables'!$K26,+IF(N$18='5.Variables'!$B$39,+'5.Variables'!$K50,+IF(N$18='5.Variables'!$B$62,+'5.Variables'!$K64,+IF(N$18='5.Variables'!$B$76,+'5.Variables'!$K78,+IF(N$18='5.Variables'!$B$90,+'5.Variables'!$K92,+IF(N$18='5.Variables'!$B$104,+'5.Variables'!$K106,0))))))</f>
        <v>0</v>
      </c>
      <c r="O28" s="928">
        <v>0</v>
      </c>
      <c r="P28" s="200"/>
      <c r="Q28" s="469">
        <f t="shared" si="0"/>
        <v>6472961.9095621929</v>
      </c>
      <c r="R28" s="216"/>
      <c r="S28" s="200"/>
      <c r="T28" s="665"/>
      <c r="U28" s="665" t="s">
        <v>18</v>
      </c>
      <c r="V28" s="665" t="s">
        <v>19</v>
      </c>
      <c r="W28" s="665" t="s">
        <v>20</v>
      </c>
      <c r="X28" s="665" t="s">
        <v>21</v>
      </c>
      <c r="Y28" s="665" t="s">
        <v>22</v>
      </c>
      <c r="Z28"/>
      <c r="AA28"/>
      <c r="AB28"/>
      <c r="AC28" s="200"/>
      <c r="AD28" s="200"/>
      <c r="AE28" s="200"/>
      <c r="AF28" s="200"/>
      <c r="AG28" s="200"/>
      <c r="AH28" s="200"/>
      <c r="AI28" s="200"/>
      <c r="AJ28" s="200"/>
      <c r="AK28" s="200"/>
      <c r="AL28" s="200"/>
    </row>
    <row r="29" spans="1:38">
      <c r="A29" s="435">
        <f t="shared" si="1"/>
        <v>10</v>
      </c>
      <c r="B29" s="871" t="str">
        <f>CONCATENATE('3. Consumption by Rate Class'!B34,"-",'3. Consumption by Rate Class'!C34)</f>
        <v>2013-October</v>
      </c>
      <c r="C29" s="870">
        <v>7083341</v>
      </c>
      <c r="D29" s="934">
        <v>-18395</v>
      </c>
      <c r="E29" s="935">
        <v>-42504</v>
      </c>
      <c r="F29" s="469">
        <v>-68715.34</v>
      </c>
      <c r="G29" s="875"/>
      <c r="H29" s="875"/>
      <c r="I29" s="469">
        <f t="shared" si="2"/>
        <v>6990516.6600000001</v>
      </c>
      <c r="J29" s="599">
        <f>IF(J$18='5.Variables'!$B$16,+'5.Variables'!$L27,+IF(J$18='5.Variables'!$B$39,+'5.Variables'!$L50,+IF(J$18='5.Variables'!$B$62,+'5.Variables'!$L64,+IF(J$18='5.Variables'!$B$76,+'5.Variables'!$L78,+IF(J$18='5.Variables'!$B$90,+'5.Variables'!$L92,+IF(J$18='5.Variables'!$B$104,+'5.Variables'!$L106,0))))))</f>
        <v>235.8</v>
      </c>
      <c r="K29" s="599">
        <f>IF(K$18='5.Variables'!$B$16,+'5.Variables'!$L27,+IF(K$18='5.Variables'!$B$39,+'5.Variables'!$L50,+IF(K$18='5.Variables'!$B$62,+'5.Variables'!$L64,+IF(K$18='5.Variables'!$B$76,+'5.Variables'!$L78,+IF(K$18='5.Variables'!$B$90,+'5.Variables'!$L92,+IF(K$18='5.Variables'!$B$104,+'5.Variables'!$L106,0))))))</f>
        <v>0.7</v>
      </c>
      <c r="L29" s="599">
        <f>IF(L$18='5.Variables'!$B$16,+'5.Variables'!$L26,+IF(L$18='5.Variables'!$B$39,+'5.Variables'!$L50,+IF(L$18='5.Variables'!$B$62,+'5.Variables'!$L64,+IF(L$18='5.Variables'!$B$76,+'5.Variables'!$L78,+IF(L$18='5.Variables'!$B$90,+'5.Variables'!$L92,+IF(L$18='5.Variables'!$B$104,+'5.Variables'!$L106,0))))))</f>
        <v>31</v>
      </c>
      <c r="M29" s="599">
        <f>IF(M$18='5.Variables'!$B$16,+'5.Variables'!$L26,+IF(M$18='5.Variables'!$B$39,+'5.Variables'!$L50,+IF(M$18='5.Variables'!$B$62,+'5.Variables'!$L64,+IF(M$18='5.Variables'!$B$76,+'5.Variables'!$L78,+IF(M$18='5.Variables'!$B$90,+'5.Variables'!$L92,+IF(M$18='5.Variables'!$B$104,+'5.Variables'!$L106,0))))))</f>
        <v>10.51</v>
      </c>
      <c r="N29" s="599">
        <f>IF(N$18='5.Variables'!$B$16,+'5.Variables'!$L26,+IF(N$18='5.Variables'!$B$39,+'5.Variables'!$L50,+IF(N$18='5.Variables'!$B$62,+'5.Variables'!$L64,+IF(N$18='5.Variables'!$B$76,+'5.Variables'!$L78,+IF(N$18='5.Variables'!$B$90,+'5.Variables'!$L92,+IF(N$18='5.Variables'!$B$104,+'5.Variables'!$L106,0))))))</f>
        <v>0</v>
      </c>
      <c r="O29" s="928">
        <v>0</v>
      </c>
      <c r="P29" s="200"/>
      <c r="Q29" s="469">
        <f t="shared" si="0"/>
        <v>6789722.8713800367</v>
      </c>
      <c r="R29" s="216"/>
      <c r="S29" s="200"/>
      <c r="T29" t="s">
        <v>14</v>
      </c>
      <c r="U29">
        <v>3</v>
      </c>
      <c r="V29">
        <v>56895818618598.945</v>
      </c>
      <c r="W29">
        <v>18965272872866.316</v>
      </c>
      <c r="X29">
        <v>382.36194768121197</v>
      </c>
      <c r="Y29">
        <v>5.9138630773090729E-60</v>
      </c>
      <c r="Z29"/>
      <c r="AA29"/>
      <c r="AB29"/>
      <c r="AC29" s="200"/>
      <c r="AD29" s="200"/>
      <c r="AE29" s="200"/>
      <c r="AF29" s="200"/>
      <c r="AG29" s="200"/>
      <c r="AH29" s="200"/>
      <c r="AI29" s="200"/>
      <c r="AJ29" s="200"/>
      <c r="AK29" s="200"/>
      <c r="AL29" s="200"/>
    </row>
    <row r="30" spans="1:38">
      <c r="A30" s="435">
        <f t="shared" si="1"/>
        <v>11</v>
      </c>
      <c r="B30" s="871" t="str">
        <f>CONCATENATE('3. Consumption by Rate Class'!B35,"-",'3. Consumption by Rate Class'!C35)</f>
        <v>2013-November</v>
      </c>
      <c r="C30" s="870">
        <v>7744935</v>
      </c>
      <c r="D30" s="934">
        <v>-22803</v>
      </c>
      <c r="E30" s="935">
        <v>-43552</v>
      </c>
      <c r="F30" s="469">
        <v>-73619.78</v>
      </c>
      <c r="G30" s="875"/>
      <c r="H30" s="875"/>
      <c r="I30" s="469">
        <f t="shared" si="2"/>
        <v>7650566.2199999997</v>
      </c>
      <c r="J30" s="599">
        <f>IF(J$18='5.Variables'!$B$16,+'5.Variables'!$M27,+IF(J$18='5.Variables'!$B$39,+'5.Variables'!$M50,+IF(J$18='5.Variables'!$B$62,+'5.Variables'!$M64,+IF(J$18='5.Variables'!$B$76,+'5.Variables'!$M78,+IF(J$18='5.Variables'!$B$90,+'5.Variables'!$M92,+IF(J$18='5.Variables'!$B$104,+'5.Variables'!$M106,0))))))</f>
        <v>560.79999999999995</v>
      </c>
      <c r="K30" s="599">
        <f>IF(K$18='5.Variables'!$B$16,+'5.Variables'!$M27,+IF(K$18='5.Variables'!$B$39,+'5.Variables'!$M50,+IF(K$18='5.Variables'!$B$62,+'5.Variables'!$M64,+IF(K$18='5.Variables'!$B$76,+'5.Variables'!$M78,+IF(K$18='5.Variables'!$B$90,+'5.Variables'!$M92,+IF(K$18='5.Variables'!$B$104,+'5.Variables'!$M106,0))))))</f>
        <v>0</v>
      </c>
      <c r="L30" s="599">
        <f>IF(L$18='5.Variables'!$B$16,+'5.Variables'!$M26,+IF(L$18='5.Variables'!$B$39,+'5.Variables'!$M50,+IF(L$18='5.Variables'!$B$62,+'5.Variables'!$M64,+IF(L$18='5.Variables'!$B$76,+'5.Variables'!$M78,+IF(L$18='5.Variables'!$B$90,+'5.Variables'!$M92,+IF(L$18='5.Variables'!$B$104,+'5.Variables'!$M106,0))))))</f>
        <v>30</v>
      </c>
      <c r="M30" s="599">
        <f>IF(M$18='5.Variables'!$B$16,+'5.Variables'!$M26,+IF(M$18='5.Variables'!$B$39,+'5.Variables'!$M50,+IF(M$18='5.Variables'!$B$62,+'5.Variables'!$M64,+IF(M$18='5.Variables'!$B$76,+'5.Variables'!$M78,+IF(M$18='5.Variables'!$B$90,+'5.Variables'!$M92,+IF(M$18='5.Variables'!$B$104,+'5.Variables'!$M106,0))))))</f>
        <v>9.2799999999999994</v>
      </c>
      <c r="N30" s="599">
        <f>IF(N$18='5.Variables'!$B$16,+'5.Variables'!$M26,+IF(N$18='5.Variables'!$B$39,+'5.Variables'!$M50,+IF(N$18='5.Variables'!$B$62,+'5.Variables'!$M64,+IF(N$18='5.Variables'!$B$76,+'5.Variables'!$M78,+IF(N$18='5.Variables'!$B$90,+'5.Variables'!$M92,+IF(N$18='5.Variables'!$B$104,+'5.Variables'!$M106,0))))))</f>
        <v>0</v>
      </c>
      <c r="O30" s="928">
        <v>0</v>
      </c>
      <c r="P30" s="200"/>
      <c r="Q30" s="469">
        <f t="shared" si="0"/>
        <v>7580202.1605630703</v>
      </c>
      <c r="R30" s="216"/>
      <c r="S30" s="200"/>
      <c r="T30" t="s">
        <v>15</v>
      </c>
      <c r="U30">
        <v>116</v>
      </c>
      <c r="V30">
        <v>5753636486564.5127</v>
      </c>
      <c r="W30">
        <v>49600314539.349251</v>
      </c>
      <c r="X30"/>
      <c r="Y30"/>
      <c r="Z30"/>
      <c r="AA30"/>
      <c r="AB30"/>
      <c r="AC30" s="200"/>
      <c r="AD30" s="200"/>
      <c r="AE30" s="200"/>
      <c r="AF30" s="200"/>
      <c r="AG30" s="200"/>
      <c r="AH30" s="200"/>
      <c r="AI30" s="200"/>
      <c r="AJ30" s="200"/>
      <c r="AK30" s="200"/>
      <c r="AL30" s="200"/>
    </row>
    <row r="31" spans="1:38" ht="13.5" thickBot="1">
      <c r="A31" s="435">
        <f t="shared" si="1"/>
        <v>12</v>
      </c>
      <c r="B31" s="451" t="str">
        <f>CONCATENATE('3. Consumption by Rate Class'!B36,"-",'3. Consumption by Rate Class'!C36)</f>
        <v>2013-December</v>
      </c>
      <c r="C31" s="882">
        <v>9122002</v>
      </c>
      <c r="D31" s="936">
        <v>-30250</v>
      </c>
      <c r="E31" s="881">
        <v>-41765</v>
      </c>
      <c r="F31" s="881">
        <v>-79579.97</v>
      </c>
      <c r="G31" s="880"/>
      <c r="H31" s="880"/>
      <c r="I31" s="881">
        <f t="shared" si="2"/>
        <v>9030907.0299999993</v>
      </c>
      <c r="J31" s="599">
        <f>IF(J$18='5.Variables'!$B$16,+'5.Variables'!$N27,+IF(J$18='5.Variables'!$B$39,+'5.Variables'!$N50,+IF(J$18='5.Variables'!$B$62,+'5.Variables'!$N64,+IF(J$18='5.Variables'!$B$76,+'5.Variables'!$N78,+IF(J$18='5.Variables'!$B$90,+'5.Variables'!$N92,+IF(J$18='5.Variables'!$B$104,+'5.Variables'!$N106,0))))))</f>
        <v>858.2</v>
      </c>
      <c r="K31" s="599">
        <f>IF(K$18='5.Variables'!$B$16,+'5.Variables'!$N27,+IF(K$18='5.Variables'!$B$39,+'5.Variables'!$N50,+IF(K$18='5.Variables'!$B$62,+'5.Variables'!$N64,+IF(K$18='5.Variables'!$B$76,+'5.Variables'!$N78,+IF(K$18='5.Variables'!$B$90,+'5.Variables'!$N92,+IF(K$18='5.Variables'!$B$104,+'5.Variables'!$N106,0))))))</f>
        <v>0</v>
      </c>
      <c r="L31" s="599">
        <f>IF(L$18='5.Variables'!$B$16,+'5.Variables'!$N26,+IF(L$18='5.Variables'!$B$39,+'5.Variables'!$N50,+IF(L$18='5.Variables'!$B$62,+'5.Variables'!$N64,+IF(L$18='5.Variables'!$B$76,+'5.Variables'!$N78,+IF(L$18='5.Variables'!$B$90,+'5.Variables'!$N92,+IF(L$18='5.Variables'!$B$104,+'5.Variables'!$N106,0))))))</f>
        <v>31</v>
      </c>
      <c r="M31" s="599">
        <f>IF(M$18='5.Variables'!$B$16,+'5.Variables'!$N26,+IF(M$18='5.Variables'!$B$39,+'5.Variables'!$N50,+IF(M$18='5.Variables'!$B$62,+'5.Variables'!$N64,+IF(M$18='5.Variables'!$B$76,+'5.Variables'!$N78,+IF(M$18='5.Variables'!$B$90,+'5.Variables'!$N92,+IF(M$18='5.Variables'!$B$104,+'5.Variables'!$N106,0))))))</f>
        <v>8.4700000000000006</v>
      </c>
      <c r="N31" s="599">
        <f>IF(N$18='5.Variables'!$B$16,+'5.Variables'!$N26,+IF(N$18='5.Variables'!$B$39,+'5.Variables'!$N50,+IF(N$18='5.Variables'!$B$62,+'5.Variables'!$N64,+IF(N$18='5.Variables'!$B$76,+'5.Variables'!$N78,+IF(N$18='5.Variables'!$B$90,+'5.Variables'!$N92,+IF(N$18='5.Variables'!$B$104,+'5.Variables'!$N106,0))))))</f>
        <v>0</v>
      </c>
      <c r="O31" s="928">
        <v>0</v>
      </c>
      <c r="P31" s="200"/>
      <c r="Q31" s="469">
        <f t="shared" si="0"/>
        <v>8616432.3341169022</v>
      </c>
      <c r="R31" s="216">
        <f>SUM(Q20:Q31)</f>
        <v>88474218.029769301</v>
      </c>
      <c r="S31" s="200"/>
      <c r="T31" s="466" t="s">
        <v>16</v>
      </c>
      <c r="U31" s="466">
        <v>119</v>
      </c>
      <c r="V31" s="466">
        <v>62649455105163.461</v>
      </c>
      <c r="W31" s="466"/>
      <c r="X31" s="466"/>
      <c r="Y31" s="466"/>
      <c r="Z31"/>
      <c r="AA31"/>
      <c r="AB31"/>
      <c r="AC31" s="200"/>
      <c r="AD31" s="200"/>
      <c r="AE31" s="200"/>
      <c r="AF31" s="200"/>
      <c r="AG31" s="200"/>
      <c r="AH31" s="200"/>
      <c r="AI31" s="200"/>
      <c r="AJ31" s="200"/>
      <c r="AK31" s="200"/>
      <c r="AL31" s="200"/>
    </row>
    <row r="32" spans="1:38" ht="13.5" thickBot="1">
      <c r="A32" s="435">
        <f t="shared" si="1"/>
        <v>13</v>
      </c>
      <c r="B32" s="871" t="str">
        <f>CONCATENATE('3. Consumption by Rate Class'!B37,"-",'3. Consumption by Rate Class'!C37)</f>
        <v>2014-January</v>
      </c>
      <c r="C32" s="870">
        <v>9438027</v>
      </c>
      <c r="D32" s="933">
        <v>-37973</v>
      </c>
      <c r="E32" s="163">
        <v>-39510</v>
      </c>
      <c r="F32" s="935">
        <v>-77692.42</v>
      </c>
      <c r="G32" s="875"/>
      <c r="H32" s="875"/>
      <c r="I32" s="469">
        <f t="shared" si="2"/>
        <v>9358797.5800000001</v>
      </c>
      <c r="J32" s="599">
        <f>IF(J$18='5.Variables'!$B$16,+'5.Variables'!$C28,+IF(J$18='5.Variables'!$B$39,+'5.Variables'!$C51,+IF(J$18='5.Variables'!$B$62,+'5.Variables'!$C65,+IF(J$18='5.Variables'!$B$76,+'5.Variables'!$C79,+IF(J$18='5.Variables'!$B$90,+'5.Variables'!$C93,+IF(J$18='5.Variables'!$B$104,+'5.Variables'!$C107,0))))))</f>
        <v>918.3</v>
      </c>
      <c r="K32" s="599">
        <f>IF(K$18='5.Variables'!$B$16,+'5.Variables'!$C27,+IF(K$18='5.Variables'!$B$39,+'5.Variables'!$C51,+IF(K$18='5.Variables'!$B$62,+'5.Variables'!$C65,+IF(K$18='5.Variables'!$B$76,+'5.Variables'!$C79,+IF(K$18='5.Variables'!$B$90,+'5.Variables'!$C93,+IF(K$18='5.Variables'!$B$104,+'5.Variables'!$C107,0))))))</f>
        <v>0</v>
      </c>
      <c r="L32" s="599">
        <f>IF(L$18='5.Variables'!$B$16,+'5.Variables'!$C27,+IF(L$18='5.Variables'!$B$39,+'5.Variables'!$C51,+IF(L$18='5.Variables'!$B$62,+'5.Variables'!$C65,+IF(L$18='5.Variables'!$B$76,+'5.Variables'!$C79,+IF(L$18='5.Variables'!$B$90,+'5.Variables'!$C93,+IF(L$18='5.Variables'!$B$104,+'5.Variables'!$C107,0))))))</f>
        <v>31</v>
      </c>
      <c r="M32" s="599">
        <f>IF(M$18='5.Variables'!$B$16,+'5.Variables'!$C27,+IF(M$18='5.Variables'!$B$39,+'5.Variables'!$C51,+IF(M$18='5.Variables'!$B$62,+'5.Variables'!$C65,+IF(M$18='5.Variables'!$B$76,+'5.Variables'!$C79,+IF(M$18='5.Variables'!$B$90,+'5.Variables'!$C93,+IF(M$18='5.Variables'!$B$104,+'5.Variables'!$C107,0))))))</f>
        <v>9.09</v>
      </c>
      <c r="N32" s="599">
        <f>IF(N$18='5.Variables'!$B$16,+'5.Variables'!$C27,+IF(N$18='5.Variables'!$B$39,+'5.Variables'!$C51,+IF(N$18='5.Variables'!$B$62,+'5.Variables'!$C65,+IF(N$18='5.Variables'!$B$76,+'5.Variables'!$C79,+IF(N$18='5.Variables'!$B$90,+'5.Variables'!$C93,+IF(N$18='5.Variables'!$B$104,+'5.Variables'!$C107,0))))))</f>
        <v>0</v>
      </c>
      <c r="O32" s="928">
        <v>0</v>
      </c>
      <c r="P32" s="200"/>
      <c r="Q32" s="469">
        <f t="shared" si="0"/>
        <v>8793860.6801807024</v>
      </c>
      <c r="R32" s="216"/>
      <c r="S32" s="200"/>
      <c r="T32"/>
      <c r="U32"/>
      <c r="V32"/>
      <c r="W32"/>
      <c r="X32"/>
      <c r="Y32"/>
      <c r="Z32"/>
      <c r="AA32"/>
      <c r="AB32"/>
      <c r="AC32" s="200"/>
      <c r="AD32" s="200"/>
      <c r="AE32" s="200"/>
      <c r="AF32" s="200"/>
      <c r="AG32" s="200"/>
      <c r="AH32" s="200"/>
      <c r="AI32" s="200"/>
      <c r="AJ32" s="200"/>
      <c r="AK32" s="200"/>
      <c r="AL32" s="200"/>
    </row>
    <row r="33" spans="1:38">
      <c r="A33" s="435">
        <f t="shared" si="1"/>
        <v>14</v>
      </c>
      <c r="B33" s="871" t="str">
        <f>CONCATENATE('3. Consumption by Rate Class'!B38,"-",'3. Consumption by Rate Class'!C38)</f>
        <v>2014-February</v>
      </c>
      <c r="C33" s="870">
        <v>8139359</v>
      </c>
      <c r="D33" s="934">
        <v>-42127</v>
      </c>
      <c r="E33" s="935">
        <v>-44238</v>
      </c>
      <c r="F33" s="935">
        <v>-69320.110000000015</v>
      </c>
      <c r="G33" s="875"/>
      <c r="H33" s="875"/>
      <c r="I33" s="469">
        <f t="shared" si="2"/>
        <v>8067927.8899999997</v>
      </c>
      <c r="J33" s="599">
        <f>IF(J$18='5.Variables'!$B$16,+'5.Variables'!$D28,+IF(J$18='5.Variables'!$B$39,+'5.Variables'!$D51,+IF(J$18='5.Variables'!$B$62,+'5.Variables'!$D65,+IF(J$18='5.Variables'!$B$76,+'5.Variables'!$D79,+IF(J$18='5.Variables'!$B$90,+'5.Variables'!$D93,+IF(J$18='5.Variables'!$B$104,+'5.Variables'!$D107,0))))))</f>
        <v>793.2</v>
      </c>
      <c r="K33" s="599">
        <f>IF(K$18='5.Variables'!$B$16,+'5.Variables'!$D27,+IF(K$18='5.Variables'!$B$39,+'5.Variables'!$D51,+IF(K$18='5.Variables'!$B$62,+'5.Variables'!$D65,+IF(K$18='5.Variables'!$B$76,+'5.Variables'!$D79,+IF(K$18='5.Variables'!$B$90,+'5.Variables'!$D93,+IF(K$18='5.Variables'!$B$104,+'5.Variables'!$D107,0))))))</f>
        <v>0</v>
      </c>
      <c r="L33" s="599">
        <f>IF(L$18='5.Variables'!$B$16,+'5.Variables'!$D27,+IF(L$18='5.Variables'!$B$39,+'5.Variables'!$D51,+IF(L$18='5.Variables'!$B$62,+'5.Variables'!$D65,+IF(L$18='5.Variables'!$B$76,+'5.Variables'!$D79,+IF(L$18='5.Variables'!$B$90,+'5.Variables'!$D93,+IF(L$18='5.Variables'!$B$104,+'5.Variables'!$D107,0))))))</f>
        <v>28</v>
      </c>
      <c r="M33" s="599">
        <f>IF(M$18='5.Variables'!$B$16,+'5.Variables'!$D27,+IF(M$18='5.Variables'!$B$39,+'5.Variables'!$D51,+IF(M$18='5.Variables'!$B$62,+'5.Variables'!$D65,+IF(M$18='5.Variables'!$B$76,+'5.Variables'!$D79,+IF(M$18='5.Variables'!$B$90,+'5.Variables'!$D93,+IF(M$18='5.Variables'!$B$104,+'5.Variables'!$D107,0))))))</f>
        <v>10.19</v>
      </c>
      <c r="N33" s="599">
        <f>IF(N$18='5.Variables'!$B$16,+'5.Variables'!$D27,+IF(N$18='5.Variables'!$B$39,+'5.Variables'!$D51,+IF(N$18='5.Variables'!$B$62,+'5.Variables'!$D65,+IF(N$18='5.Variables'!$B$76,+'5.Variables'!$D79,+IF(N$18='5.Variables'!$B$90,+'5.Variables'!$D93,+IF(N$18='5.Variables'!$B$104,+'5.Variables'!$D107,0))))))</f>
        <v>0</v>
      </c>
      <c r="O33" s="928">
        <v>0</v>
      </c>
      <c r="P33" s="200"/>
      <c r="Q33" s="469">
        <f t="shared" si="0"/>
        <v>7949817.1522903014</v>
      </c>
      <c r="R33" s="216"/>
      <c r="S33" s="200"/>
      <c r="T33" s="665"/>
      <c r="U33" s="665" t="s">
        <v>23</v>
      </c>
      <c r="V33" s="665" t="s">
        <v>11</v>
      </c>
      <c r="W33" s="665" t="s">
        <v>24</v>
      </c>
      <c r="X33" s="665" t="s">
        <v>25</v>
      </c>
      <c r="Y33" s="665" t="s">
        <v>26</v>
      </c>
      <c r="Z33" s="665" t="s">
        <v>27</v>
      </c>
      <c r="AA33" s="665" t="s">
        <v>28</v>
      </c>
      <c r="AB33" s="665" t="s">
        <v>29</v>
      </c>
      <c r="AC33" s="200"/>
      <c r="AD33" s="200"/>
      <c r="AE33" s="200"/>
      <c r="AF33" s="200"/>
      <c r="AG33" s="200"/>
      <c r="AH33" s="200"/>
      <c r="AI33" s="200"/>
      <c r="AJ33" s="200"/>
      <c r="AK33" s="200"/>
      <c r="AL33" s="200"/>
    </row>
    <row r="34" spans="1:38">
      <c r="A34" s="435">
        <f t="shared" si="1"/>
        <v>15</v>
      </c>
      <c r="B34" s="871" t="str">
        <f>CONCATENATE('3. Consumption by Rate Class'!B39,"-",'3. Consumption by Rate Class'!C39)</f>
        <v>2014-March</v>
      </c>
      <c r="C34" s="870">
        <v>8549683</v>
      </c>
      <c r="D34" s="934">
        <v>-39758</v>
      </c>
      <c r="E34" s="935">
        <v>-41926</v>
      </c>
      <c r="F34" s="935">
        <v>-63123.26</v>
      </c>
      <c r="G34" s="875"/>
      <c r="H34" s="875"/>
      <c r="I34" s="469">
        <f t="shared" si="2"/>
        <v>8484391.7400000002</v>
      </c>
      <c r="J34" s="599">
        <f>IF(J$18='5.Variables'!$B$16,+'5.Variables'!$E28,+IF(J$18='5.Variables'!$B$39,+'5.Variables'!$E51,+IF(J$18='5.Variables'!$B$62,+'5.Variables'!$E65,+IF(J$18='5.Variables'!$B$76,+'5.Variables'!$E79,+IF(J$18='5.Variables'!$B$90,+'5.Variables'!$E93,+IF(J$18='5.Variables'!$B$104,+'5.Variables'!$E107,0))))))</f>
        <v>783.6</v>
      </c>
      <c r="K34" s="599">
        <f>IF(K$18='5.Variables'!$B$16,+'5.Variables'!$E27,+IF(K$18='5.Variables'!$B$39,+'5.Variables'!$E51,+IF(K$18='5.Variables'!$B$62,+'5.Variables'!$E65,+IF(K$18='5.Variables'!$B$76,+'5.Variables'!$E79,+IF(K$18='5.Variables'!$B$90,+'5.Variables'!$E93,+IF(K$18='5.Variables'!$B$104,+'5.Variables'!$E107,0))))))</f>
        <v>0</v>
      </c>
      <c r="L34" s="599">
        <f>IF(L$18='5.Variables'!$B$16,+'5.Variables'!$E27,+IF(L$18='5.Variables'!$B$39,+'5.Variables'!$E51,+IF(L$18='5.Variables'!$B$62,+'5.Variables'!$E65,+IF(L$18='5.Variables'!$B$76,+'5.Variables'!$E79,+IF(L$18='5.Variables'!$B$90,+'5.Variables'!$E93,+IF(L$18='5.Variables'!$B$104,+'5.Variables'!$E107,0))))))</f>
        <v>31</v>
      </c>
      <c r="M34" s="599">
        <f>IF(M$18='5.Variables'!$B$16,+'5.Variables'!$E27,+IF(M$18='5.Variables'!$B$39,+'5.Variables'!$E51,+IF(M$18='5.Variables'!$B$62,+'5.Variables'!$E65,+IF(M$18='5.Variables'!$B$76,+'5.Variables'!$E79,+IF(M$18='5.Variables'!$B$90,+'5.Variables'!$E93,+IF(M$18='5.Variables'!$B$104,+'5.Variables'!$E107,0))))))</f>
        <v>11.51</v>
      </c>
      <c r="N34" s="599">
        <f>IF(N$18='5.Variables'!$B$16,+'5.Variables'!$E27,+IF(N$18='5.Variables'!$B$39,+'5.Variables'!$E51,+IF(N$18='5.Variables'!$B$62,+'5.Variables'!$E65,+IF(N$18='5.Variables'!$B$76,+'5.Variables'!$E79,+IF(N$18='5.Variables'!$B$90,+'5.Variables'!$E93,+IF(N$18='5.Variables'!$B$104,+'5.Variables'!$E107,0))))))</f>
        <v>0</v>
      </c>
      <c r="O34" s="928">
        <v>0</v>
      </c>
      <c r="P34" s="200"/>
      <c r="Q34" s="469">
        <f t="shared" si="0"/>
        <v>8396196.816373812</v>
      </c>
      <c r="R34" s="216"/>
      <c r="S34" s="200"/>
      <c r="T34" t="s">
        <v>17</v>
      </c>
      <c r="U34">
        <v>1177388.2535930993</v>
      </c>
      <c r="V34">
        <v>773772.53472760716</v>
      </c>
      <c r="W34">
        <v>1.5216206323575157</v>
      </c>
      <c r="X34">
        <v>0.13082549422438894</v>
      </c>
      <c r="Y34">
        <v>-355165.74867707863</v>
      </c>
      <c r="Z34">
        <v>2709942.2558632772</v>
      </c>
      <c r="AA34">
        <v>-355165.74867707863</v>
      </c>
      <c r="AB34">
        <v>2709942.2558632772</v>
      </c>
      <c r="AC34" s="200"/>
      <c r="AD34" s="200"/>
      <c r="AE34" s="200"/>
      <c r="AF34" s="200"/>
      <c r="AG34" s="200"/>
      <c r="AH34" s="200"/>
      <c r="AI34" s="200"/>
      <c r="AJ34" s="200"/>
      <c r="AK34" s="200"/>
      <c r="AL34" s="200"/>
    </row>
    <row r="35" spans="1:38" ht="15">
      <c r="A35" s="435">
        <f t="shared" si="1"/>
        <v>16</v>
      </c>
      <c r="B35" s="871" t="str">
        <f>CONCATENATE('3. Consumption by Rate Class'!B40,"-",'3. Consumption by Rate Class'!C40)</f>
        <v>2014-April</v>
      </c>
      <c r="C35" s="870">
        <v>6965454</v>
      </c>
      <c r="D35" s="934">
        <v>-38688</v>
      </c>
      <c r="E35" s="935">
        <v>-43293</v>
      </c>
      <c r="F35" s="935">
        <v>-52838.5</v>
      </c>
      <c r="G35" s="875"/>
      <c r="H35" s="875"/>
      <c r="I35" s="469">
        <f t="shared" si="2"/>
        <v>6908010.5</v>
      </c>
      <c r="J35" s="599">
        <f>IF(J$18='5.Variables'!$B$16,+'5.Variables'!$F28,+IF(J$18='5.Variables'!$B$39,+'5.Variables'!$F51,+IF(J$18='5.Variables'!$B$62,+'5.Variables'!$F65,+IF(J$18='5.Variables'!$B$76,+'5.Variables'!$F79,+IF(J$18='5.Variables'!$B$90,+'5.Variables'!$F93,+IF(J$18='5.Variables'!$B$104,+'5.Variables'!$F107,0))))))</f>
        <v>384.2</v>
      </c>
      <c r="K35" s="599">
        <f>IF(K$18='5.Variables'!$B$16,+'5.Variables'!$F27,+IF(K$18='5.Variables'!$B$39,+'5.Variables'!$F51,+IF(K$18='5.Variables'!$B$62,+'5.Variables'!$F65,+IF(K$18='5.Variables'!$B$76,+'5.Variables'!$F79,+IF(K$18='5.Variables'!$B$90,+'5.Variables'!$F93,+IF(K$18='5.Variables'!$B$104,+'5.Variables'!$F107,0))))))</f>
        <v>0</v>
      </c>
      <c r="L35" s="599">
        <f>IF(L$18='5.Variables'!$B$16,+'5.Variables'!$F27,+IF(L$18='5.Variables'!$B$39,+'5.Variables'!$F51,+IF(L$18='5.Variables'!$B$62,+'5.Variables'!$F65,+IF(L$18='5.Variables'!$B$76,+'5.Variables'!$F79,+IF(L$18='5.Variables'!$B$90,+'5.Variables'!$F93,+IF(L$18='5.Variables'!$B$104,+'5.Variables'!$F107,0))))))</f>
        <v>30</v>
      </c>
      <c r="M35" s="599">
        <f>IF(M$18='5.Variables'!$B$16,+'5.Variables'!$F27,+IF(M$18='5.Variables'!$B$39,+'5.Variables'!$F51,+IF(M$18='5.Variables'!$B$62,+'5.Variables'!$F65,+IF(M$18='5.Variables'!$B$76,+'5.Variables'!$F79,+IF(M$18='5.Variables'!$B$90,+'5.Variables'!$F93,+IF(M$18='5.Variables'!$B$104,+'5.Variables'!$F107,0))))))</f>
        <v>13.28</v>
      </c>
      <c r="N35" s="599">
        <f>IF(N$18='5.Variables'!$B$16,+'5.Variables'!$F27,+IF(N$18='5.Variables'!$B$39,+'5.Variables'!$F51,+IF(N$18='5.Variables'!$B$62,+'5.Variables'!$F65,+IF(N$18='5.Variables'!$B$76,+'5.Variables'!$F79,+IF(N$18='5.Variables'!$B$90,+'5.Variables'!$F93,+IF(N$18='5.Variables'!$B$104,+'5.Variables'!$F107,0))))))</f>
        <v>0</v>
      </c>
      <c r="O35" s="928">
        <v>0</v>
      </c>
      <c r="P35" s="200"/>
      <c r="Q35" s="469">
        <f t="shared" si="0"/>
        <v>7058840.3316967245</v>
      </c>
      <c r="R35" s="216"/>
      <c r="S35" s="449"/>
      <c r="T35" t="s">
        <v>1</v>
      </c>
      <c r="U35">
        <v>2952.2187365025288</v>
      </c>
      <c r="V35">
        <v>87.919467684439141</v>
      </c>
      <c r="W35">
        <v>33.57866936932151</v>
      </c>
      <c r="X35">
        <v>1.3747423334835483E-61</v>
      </c>
      <c r="Y35">
        <v>2778.0831526843672</v>
      </c>
      <c r="Z35">
        <v>3126.3543203206905</v>
      </c>
      <c r="AA35">
        <v>2778.0831526843672</v>
      </c>
      <c r="AB35">
        <v>3126.3543203206905</v>
      </c>
      <c r="AC35" s="200"/>
      <c r="AD35" s="200"/>
      <c r="AE35" s="200"/>
      <c r="AF35" s="200"/>
      <c r="AG35" s="200"/>
      <c r="AH35" s="200"/>
      <c r="AI35" s="200"/>
      <c r="AJ35" s="200"/>
      <c r="AK35" s="200"/>
      <c r="AL35" s="200"/>
    </row>
    <row r="36" spans="1:38" ht="15">
      <c r="A36" s="435">
        <f t="shared" si="1"/>
        <v>17</v>
      </c>
      <c r="B36" s="871" t="str">
        <f>CONCATENATE('3. Consumption by Rate Class'!B41,"-",'3. Consumption by Rate Class'!C41)</f>
        <v>2014-May</v>
      </c>
      <c r="C36" s="870">
        <v>6623820</v>
      </c>
      <c r="D36" s="934">
        <v>-34071</v>
      </c>
      <c r="E36" s="935">
        <v>-40874</v>
      </c>
      <c r="F36" s="935">
        <v>-47511.16</v>
      </c>
      <c r="G36" s="875"/>
      <c r="H36" s="875"/>
      <c r="I36" s="469">
        <f t="shared" si="2"/>
        <v>6569505.8399999999</v>
      </c>
      <c r="J36" s="599">
        <f>IF(J$18='5.Variables'!$B$16,+'5.Variables'!$G28,+IF(J$18='5.Variables'!$B$39,+'5.Variables'!$G51,+IF(J$18='5.Variables'!$B$62,+'5.Variables'!$G65,+IF(J$18='5.Variables'!$B$76,+'5.Variables'!$G79,+IF(J$18='5.Variables'!$B$90,+'5.Variables'!$G93,+IF(J$18='5.Variables'!$B$104,+'5.Variables'!$G107,0))))))</f>
        <v>127.3</v>
      </c>
      <c r="K36" s="599">
        <f>IF(K$18='5.Variables'!$B$16,+'5.Variables'!$G27,+IF(K$18='5.Variables'!$B$39,+'5.Variables'!$G51,+IF(K$18='5.Variables'!$B$62,+'5.Variables'!$G65,+IF(K$18='5.Variables'!$B$76,+'5.Variables'!$G79,+IF(K$18='5.Variables'!$B$90,+'5.Variables'!$G93,+IF(K$18='5.Variables'!$B$104,+'5.Variables'!$G107,0))))))</f>
        <v>8.8000000000000007</v>
      </c>
      <c r="L36" s="599">
        <f>IF(L$18='5.Variables'!$B$16,+'5.Variables'!$G27,+IF(L$18='5.Variables'!$B$39,+'5.Variables'!$G51,+IF(L$18='5.Variables'!$B$62,+'5.Variables'!$G65,+IF(L$18='5.Variables'!$B$76,+'5.Variables'!$G79,+IF(L$18='5.Variables'!$B$90,+'5.Variables'!$G93,+IF(L$18='5.Variables'!$B$104,+'5.Variables'!$G107,0))))))</f>
        <v>31</v>
      </c>
      <c r="M36" s="599">
        <f>IF(M$18='5.Variables'!$B$16,+'5.Variables'!$G27,+IF(M$18='5.Variables'!$B$39,+'5.Variables'!$G51,+IF(M$18='5.Variables'!$B$62,+'5.Variables'!$G65,+IF(M$18='5.Variables'!$B$76,+'5.Variables'!$G79,+IF(M$18='5.Variables'!$B$90,+'5.Variables'!$G93,+IF(M$18='5.Variables'!$B$104,+'5.Variables'!$G107,0))))))</f>
        <v>14.52</v>
      </c>
      <c r="N36" s="599">
        <f>IF(N$18='5.Variables'!$B$16,+'5.Variables'!$G27,+IF(N$18='5.Variables'!$B$39,+'5.Variables'!$G51,+IF(N$18='5.Variables'!$B$62,+'5.Variables'!$G65,+IF(N$18='5.Variables'!$B$76,+'5.Variables'!$G79,+IF(N$18='5.Variables'!$B$90,+'5.Variables'!$G93,+IF(N$18='5.Variables'!$B$104,+'5.Variables'!$G107,0))))))</f>
        <v>0</v>
      </c>
      <c r="O36" s="928">
        <v>0</v>
      </c>
      <c r="P36" s="200"/>
      <c r="Q36" s="469">
        <f t="shared" si="0"/>
        <v>6593817.1081619468</v>
      </c>
      <c r="R36" s="216"/>
      <c r="S36" s="449"/>
      <c r="T36" t="s">
        <v>2</v>
      </c>
      <c r="U36">
        <v>15359.255517584468</v>
      </c>
      <c r="V36">
        <v>700.23158227247359</v>
      </c>
      <c r="W36">
        <v>21.934536953815783</v>
      </c>
      <c r="X36">
        <v>4.3814760342460401E-43</v>
      </c>
      <c r="Y36">
        <v>13972.358637992536</v>
      </c>
      <c r="Z36">
        <v>16746.1523971764</v>
      </c>
      <c r="AA36">
        <v>13972.358637992536</v>
      </c>
      <c r="AB36">
        <v>16746.1523971764</v>
      </c>
      <c r="AC36" s="200"/>
      <c r="AD36" s="200"/>
      <c r="AE36" s="200"/>
      <c r="AF36" s="200"/>
      <c r="AG36" s="200"/>
      <c r="AH36" s="200"/>
      <c r="AI36" s="200"/>
      <c r="AJ36" s="200"/>
      <c r="AK36" s="200"/>
      <c r="AL36" s="200"/>
    </row>
    <row r="37" spans="1:38" ht="15.75" thickBot="1">
      <c r="A37" s="435">
        <f t="shared" si="1"/>
        <v>18</v>
      </c>
      <c r="B37" s="871" t="str">
        <f>CONCATENATE('3. Consumption by Rate Class'!B42,"-",'3. Consumption by Rate Class'!C42)</f>
        <v>2014-June</v>
      </c>
      <c r="C37" s="870">
        <v>6925619</v>
      </c>
      <c r="D37" s="934">
        <v>-26918</v>
      </c>
      <c r="E37" s="935">
        <v>-46209</v>
      </c>
      <c r="F37" s="935">
        <v>-41932.28</v>
      </c>
      <c r="G37" s="875"/>
      <c r="H37" s="875"/>
      <c r="I37" s="469">
        <f t="shared" si="2"/>
        <v>6864395.7199999997</v>
      </c>
      <c r="J37" s="599">
        <f>IF(J$18='5.Variables'!$B$16,+'5.Variables'!$H28,+IF(J$18='5.Variables'!$B$39,+'5.Variables'!$H51,+IF(J$18='5.Variables'!$B$62,+'5.Variables'!$H65,+IF(J$18='5.Variables'!$B$76,+'5.Variables'!$H79,+IF(J$18='5.Variables'!$B$90,+'5.Variables'!$H93,+IF(J$18='5.Variables'!$B$104,+'5.Variables'!$H107,0))))))</f>
        <v>20.3</v>
      </c>
      <c r="K37" s="599">
        <f>IF(K$18='5.Variables'!$B$16,+'5.Variables'!$H27,+IF(K$18='5.Variables'!$B$39,+'5.Variables'!$H51,+IF(K$18='5.Variables'!$B$62,+'5.Variables'!$H65,+IF(K$18='5.Variables'!$B$76,+'5.Variables'!$H79,+IF(K$18='5.Variables'!$B$90,+'5.Variables'!$H93,+IF(K$18='5.Variables'!$B$104,+'5.Variables'!$H107,0))))))</f>
        <v>54.9</v>
      </c>
      <c r="L37" s="599">
        <f>IF(L$18='5.Variables'!$B$16,+'5.Variables'!$H27,+IF(L$18='5.Variables'!$B$39,+'5.Variables'!$H51,+IF(L$18='5.Variables'!$B$62,+'5.Variables'!$H65,+IF(L$18='5.Variables'!$B$76,+'5.Variables'!$H79,+IF(L$18='5.Variables'!$B$90,+'5.Variables'!$H93,+IF(L$18='5.Variables'!$B$104,+'5.Variables'!$H107,0))))))</f>
        <v>30</v>
      </c>
      <c r="M37" s="599">
        <f>IF(M$18='5.Variables'!$B$16,+'5.Variables'!$H27,+IF(M$18='5.Variables'!$B$39,+'5.Variables'!$H51,+IF(M$18='5.Variables'!$B$62,+'5.Variables'!$H65,+IF(M$18='5.Variables'!$B$76,+'5.Variables'!$H79,+IF(M$18='5.Variables'!$B$90,+'5.Variables'!$H93,+IF(M$18='5.Variables'!$B$104,+'5.Variables'!$H107,0))))))</f>
        <v>15.35</v>
      </c>
      <c r="N37" s="599">
        <f>IF(N$18='5.Variables'!$B$16,+'5.Variables'!$H27,+IF(N$18='5.Variables'!$B$39,+'5.Variables'!$H51,+IF(N$18='5.Variables'!$B$62,+'5.Variables'!$H65,+IF(N$18='5.Variables'!$B$76,+'5.Variables'!$H79,+IF(N$18='5.Variables'!$B$90,+'5.Variables'!$H93,+IF(N$18='5.Variables'!$B$104,+'5.Variables'!$H107,0))))))</f>
        <v>0</v>
      </c>
      <c r="O37" s="928">
        <v>0</v>
      </c>
      <c r="P37" s="200"/>
      <c r="Q37" s="469">
        <f t="shared" si="0"/>
        <v>6827751.0613988414</v>
      </c>
      <c r="R37" s="216"/>
      <c r="S37" s="449"/>
      <c r="T37" s="466" t="s">
        <v>236</v>
      </c>
      <c r="U37" s="466">
        <v>158240.32131797844</v>
      </c>
      <c r="V37" s="466">
        <v>25381.412891586617</v>
      </c>
      <c r="W37" s="466">
        <v>6.2344961643341632</v>
      </c>
      <c r="X37" s="466">
        <v>7.5720666047181154E-9</v>
      </c>
      <c r="Y37" s="466">
        <v>107969.23496575162</v>
      </c>
      <c r="Z37" s="466">
        <v>208511.40767020526</v>
      </c>
      <c r="AA37" s="466">
        <v>107969.23496575162</v>
      </c>
      <c r="AB37" s="466">
        <v>208511.40767020526</v>
      </c>
      <c r="AC37" s="200"/>
      <c r="AD37" s="200"/>
      <c r="AE37" s="200"/>
      <c r="AF37" s="200"/>
      <c r="AG37" s="200"/>
      <c r="AH37" s="200"/>
      <c r="AI37" s="200"/>
      <c r="AJ37" s="200"/>
      <c r="AK37" s="200"/>
      <c r="AL37" s="200"/>
    </row>
    <row r="38" spans="1:38" ht="15">
      <c r="A38" s="435">
        <f t="shared" si="1"/>
        <v>19</v>
      </c>
      <c r="B38" s="871" t="str">
        <f>CONCATENATE('3. Consumption by Rate Class'!B43,"-",'3. Consumption by Rate Class'!C43)</f>
        <v>2014-July</v>
      </c>
      <c r="C38" s="870">
        <v>7189425</v>
      </c>
      <c r="D38" s="934">
        <v>-22187</v>
      </c>
      <c r="E38" s="935">
        <v>-40841</v>
      </c>
      <c r="F38" s="935">
        <v>-45836.020000000004</v>
      </c>
      <c r="G38" s="875"/>
      <c r="H38" s="875"/>
      <c r="I38" s="469">
        <f t="shared" si="2"/>
        <v>7124934.9800000004</v>
      </c>
      <c r="J38" s="599">
        <f>IF(J$18='5.Variables'!$B$16,+'5.Variables'!$I28,+IF(J$18='5.Variables'!$B$39,+'5.Variables'!$I51,+IF(J$18='5.Variables'!$B$62,+'5.Variables'!$I65,+IF(J$18='5.Variables'!$B$76,+'5.Variables'!$I79,+IF(J$18='5.Variables'!$B$90,+'5.Variables'!$I93,+IF(J$18='5.Variables'!$B$104,+'5.Variables'!$I107,0))))))</f>
        <v>8.8000000000000007</v>
      </c>
      <c r="K38" s="599">
        <f>IF(K$18='5.Variables'!$B$16,+'5.Variables'!$I27,+IF(K$18='5.Variables'!$B$39,+'5.Variables'!$I51,+IF(K$18='5.Variables'!$B$62,+'5.Variables'!$I65,+IF(K$18='5.Variables'!$B$76,+'5.Variables'!$I79,+IF(K$18='5.Variables'!$B$90,+'5.Variables'!$I93,+IF(K$18='5.Variables'!$B$104,+'5.Variables'!$I107,0))))))</f>
        <v>62.800000000000011</v>
      </c>
      <c r="L38" s="599">
        <f>IF(L$18='5.Variables'!$B$16,+'5.Variables'!$I27,+IF(L$18='5.Variables'!$B$39,+'5.Variables'!$I51,+IF(L$18='5.Variables'!$B$62,+'5.Variables'!$I65,+IF(L$18='5.Variables'!$B$76,+'5.Variables'!$I79,+IF(L$18='5.Variables'!$B$90,+'5.Variables'!$I93,+IF(L$18='5.Variables'!$B$104,+'5.Variables'!$I107,0))))))</f>
        <v>31</v>
      </c>
      <c r="M38" s="599">
        <f>IF(M$18='5.Variables'!$B$16,+'5.Variables'!$I27,+IF(M$18='5.Variables'!$B$39,+'5.Variables'!$I51,+IF(M$18='5.Variables'!$B$62,+'5.Variables'!$I65,+IF(M$18='5.Variables'!$B$76,+'5.Variables'!$I79,+IF(M$18='5.Variables'!$B$90,+'5.Variables'!$I93,+IF(M$18='5.Variables'!$B$104,+'5.Variables'!$I107,0))))))</f>
        <v>15.15</v>
      </c>
      <c r="N38" s="599">
        <f>IF(N$18='5.Variables'!$B$16,+'5.Variables'!$I27,+IF(N$18='5.Variables'!$B$39,+'5.Variables'!$I51,+IF(N$18='5.Variables'!$B$62,+'5.Variables'!$I65,+IF(N$18='5.Variables'!$B$76,+'5.Variables'!$I79,+IF(N$18='5.Variables'!$B$90,+'5.Variables'!$I93,+IF(N$18='5.Variables'!$B$104,+'5.Variables'!$I107,0))))))</f>
        <v>0</v>
      </c>
      <c r="O38" s="928">
        <v>0</v>
      </c>
      <c r="P38" s="200"/>
      <c r="Q38" s="469">
        <f t="shared" si="0"/>
        <v>7073378.9858359583</v>
      </c>
      <c r="R38" s="216"/>
      <c r="S38" s="449"/>
      <c r="T38" s="200"/>
      <c r="U38" s="200"/>
      <c r="V38" s="200"/>
      <c r="W38" s="200"/>
      <c r="X38" s="200"/>
      <c r="Y38" s="200"/>
      <c r="Z38" s="200"/>
      <c r="AA38" s="200"/>
      <c r="AB38" s="200"/>
      <c r="AC38" s="200"/>
    </row>
    <row r="39" spans="1:38" ht="15">
      <c r="A39" s="435">
        <f t="shared" si="1"/>
        <v>20</v>
      </c>
      <c r="B39" s="871" t="str">
        <f>CONCATENATE('3. Consumption by Rate Class'!B44,"-",'3. Consumption by Rate Class'!C44)</f>
        <v>2014-August</v>
      </c>
      <c r="C39" s="870">
        <v>7010898</v>
      </c>
      <c r="D39" s="934">
        <v>-16168</v>
      </c>
      <c r="E39" s="935">
        <v>-38487</v>
      </c>
      <c r="F39" s="935">
        <v>-52437.47</v>
      </c>
      <c r="G39" s="875"/>
      <c r="H39" s="875"/>
      <c r="I39" s="469">
        <f t="shared" si="2"/>
        <v>6936141.5300000003</v>
      </c>
      <c r="J39" s="599">
        <f>IF(J$18='5.Variables'!$B$16,+'5.Variables'!$J28,+IF(J$18='5.Variables'!$B$39,+'5.Variables'!$J51,+IF(J$18='5.Variables'!$B$62,+'5.Variables'!$J65,+IF(J$18='5.Variables'!$B$76,+'5.Variables'!$J79,+IF(J$18='5.Variables'!$B$90,+'5.Variables'!$J93,+IF(J$18='5.Variables'!$B$104,+'5.Variables'!$J107,0))))))</f>
        <v>21.4</v>
      </c>
      <c r="K39" s="599">
        <f>IF(K$18='5.Variables'!$B$16,+'5.Variables'!$J27,+IF(K$18='5.Variables'!$B$39,+'5.Variables'!$J51,+IF(K$18='5.Variables'!$B$62,+'5.Variables'!$J65,+IF(K$18='5.Variables'!$B$76,+'5.Variables'!$J79,+IF(K$18='5.Variables'!$B$90,+'5.Variables'!$J93,+IF(K$18='5.Variables'!$B$104,+'5.Variables'!$J107,0))))))</f>
        <v>55.800000000000004</v>
      </c>
      <c r="L39" s="599">
        <f>IF(L$18='5.Variables'!$B$16,+'5.Variables'!$J27,+IF(L$18='5.Variables'!$B$39,+'5.Variables'!$J51,+IF(L$18='5.Variables'!$B$62,+'5.Variables'!$J65,+IF(L$18='5.Variables'!$B$76,+'5.Variables'!$J79,+IF(L$18='5.Variables'!$B$90,+'5.Variables'!$J93,+IF(L$18='5.Variables'!$B$104,+'5.Variables'!$J107,0))))))</f>
        <v>31</v>
      </c>
      <c r="M39" s="599">
        <f>IF(M$18='5.Variables'!$B$16,+'5.Variables'!$J27,+IF(M$18='5.Variables'!$B$39,+'5.Variables'!$J51,+IF(M$18='5.Variables'!$B$62,+'5.Variables'!$J65,+IF(M$18='5.Variables'!$B$76,+'5.Variables'!$J79,+IF(M$18='5.Variables'!$B$90,+'5.Variables'!$J93,+IF(M$18='5.Variables'!$B$104,+'5.Variables'!$J107,0))))))</f>
        <v>14.03</v>
      </c>
      <c r="N39" s="599">
        <f>IF(N$18='5.Variables'!$B$16,+'5.Variables'!$J27,+IF(N$18='5.Variables'!$B$39,+'5.Variables'!$J51,+IF(N$18='5.Variables'!$B$62,+'5.Variables'!$J65,+IF(N$18='5.Variables'!$B$76,+'5.Variables'!$J79,+IF(N$18='5.Variables'!$B$90,+'5.Variables'!$J93,+IF(N$18='5.Variables'!$B$104,+'5.Variables'!$J107,0))))))</f>
        <v>0</v>
      </c>
      <c r="O39" s="928">
        <v>0</v>
      </c>
      <c r="P39" s="200"/>
      <c r="Q39" s="469">
        <f t="shared" si="0"/>
        <v>7003062.1532927984</v>
      </c>
      <c r="R39" s="216"/>
      <c r="S39" s="449"/>
      <c r="T39"/>
      <c r="U39"/>
      <c r="V39"/>
      <c r="W39"/>
      <c r="X39"/>
      <c r="Y39"/>
      <c r="Z39"/>
      <c r="AA39"/>
      <c r="AB39"/>
      <c r="AC39" s="200"/>
      <c r="AD39" s="200"/>
      <c r="AE39" s="200"/>
      <c r="AF39" s="200"/>
      <c r="AG39" s="200"/>
      <c r="AH39" s="200"/>
      <c r="AI39" s="200"/>
      <c r="AJ39" s="200"/>
      <c r="AK39" s="200"/>
      <c r="AL39" s="200"/>
    </row>
    <row r="40" spans="1:38" ht="15">
      <c r="A40" s="435">
        <f t="shared" si="1"/>
        <v>21</v>
      </c>
      <c r="B40" s="871" t="str">
        <f>CONCATENATE('3. Consumption by Rate Class'!B45,"-",'3. Consumption by Rate Class'!C45)</f>
        <v>2014-September</v>
      </c>
      <c r="C40" s="870">
        <v>6707937</v>
      </c>
      <c r="D40" s="934">
        <v>-9545</v>
      </c>
      <c r="E40" s="935">
        <v>-32856</v>
      </c>
      <c r="F40" s="935">
        <v>-58560.43</v>
      </c>
      <c r="G40" s="875"/>
      <c r="H40" s="875"/>
      <c r="I40" s="469">
        <f t="shared" si="2"/>
        <v>6626065.5700000003</v>
      </c>
      <c r="J40" s="599">
        <f>IF(J$18='5.Variables'!$B$16,+'5.Variables'!$K28,+IF(J$18='5.Variables'!$B$39,+'5.Variables'!$K51,+IF(J$18='5.Variables'!$B$62,+'5.Variables'!$K65,+IF(J$18='5.Variables'!$B$76,+'5.Variables'!$K79,+IF(J$18='5.Variables'!$B$90,+'5.Variables'!$K93,+IF(J$18='5.Variables'!$B$104,+'5.Variables'!$K107,0))))))</f>
        <v>110.3</v>
      </c>
      <c r="K40" s="599">
        <f>IF(K$18='5.Variables'!$B$16,+'5.Variables'!$K27,+IF(K$18='5.Variables'!$B$39,+'5.Variables'!$K51,+IF(K$18='5.Variables'!$B$62,+'5.Variables'!$K65,+IF(K$18='5.Variables'!$B$76,+'5.Variables'!$K79,+IF(K$18='5.Variables'!$B$90,+'5.Variables'!$K93,+IF(K$18='5.Variables'!$B$104,+'5.Variables'!$K107,0))))))</f>
        <v>21.600000000000005</v>
      </c>
      <c r="L40" s="599">
        <f>IF(L$18='5.Variables'!$B$16,+'5.Variables'!$K27,+IF(L$18='5.Variables'!$B$39,+'5.Variables'!$K51,+IF(L$18='5.Variables'!$B$62,+'5.Variables'!$K65,+IF(L$18='5.Variables'!$B$76,+'5.Variables'!$K79,+IF(L$18='5.Variables'!$B$90,+'5.Variables'!$K93,+IF(L$18='5.Variables'!$B$104,+'5.Variables'!$K107,0))))))</f>
        <v>30</v>
      </c>
      <c r="M40" s="599">
        <f>IF(M$18='5.Variables'!$B$16,+'5.Variables'!$K27,+IF(M$18='5.Variables'!$B$39,+'5.Variables'!$K51,+IF(M$18='5.Variables'!$B$62,+'5.Variables'!$K65,+IF(M$18='5.Variables'!$B$76,+'5.Variables'!$K79,+IF(M$18='5.Variables'!$B$90,+'5.Variables'!$K93,+IF(M$18='5.Variables'!$B$104,+'5.Variables'!$K107,0))))))</f>
        <v>12.29</v>
      </c>
      <c r="N40" s="599">
        <f>IF(N$18='5.Variables'!$B$16,+'5.Variables'!$K27,+IF(N$18='5.Variables'!$B$39,+'5.Variables'!$K51,+IF(N$18='5.Variables'!$B$62,+'5.Variables'!$K65,+IF(N$18='5.Variables'!$B$76,+'5.Variables'!$K79,+IF(N$18='5.Variables'!$B$90,+'5.Variables'!$K93,+IF(N$18='5.Variables'!$B$104,+'5.Variables'!$K107,0))))))</f>
        <v>0</v>
      </c>
      <c r="O40" s="928">
        <v>0</v>
      </c>
      <c r="P40" s="200"/>
      <c r="Q40" s="469">
        <f t="shared" si="0"/>
        <v>6581987.5389485061</v>
      </c>
      <c r="R40" s="216"/>
      <c r="S40" s="449"/>
      <c r="T40" s="446"/>
      <c r="X40"/>
      <c r="Y40"/>
      <c r="Z40"/>
      <c r="AA40"/>
      <c r="AB40"/>
      <c r="AC40" s="200"/>
      <c r="AD40" s="200"/>
      <c r="AE40" s="200"/>
      <c r="AF40" s="200"/>
      <c r="AG40" s="200"/>
      <c r="AH40" s="200"/>
      <c r="AI40" s="200"/>
      <c r="AJ40" s="200"/>
      <c r="AK40" s="200"/>
      <c r="AL40" s="200"/>
    </row>
    <row r="41" spans="1:38">
      <c r="A41" s="435">
        <f t="shared" si="1"/>
        <v>22</v>
      </c>
      <c r="B41" s="871" t="str">
        <f>CONCATENATE('3. Consumption by Rate Class'!B46,"-",'3. Consumption by Rate Class'!C46)</f>
        <v>2014-October</v>
      </c>
      <c r="C41" s="870">
        <v>6979096</v>
      </c>
      <c r="D41" s="934">
        <v>0</v>
      </c>
      <c r="E41" s="935">
        <v>-33960</v>
      </c>
      <c r="F41" s="935">
        <v>-69149.34</v>
      </c>
      <c r="G41" s="875"/>
      <c r="H41" s="875"/>
      <c r="I41" s="469">
        <f t="shared" si="2"/>
        <v>6875986.6600000001</v>
      </c>
      <c r="J41" s="599">
        <f>IF(J$18='5.Variables'!$B$16,+'5.Variables'!$L28,+IF(J$18='5.Variables'!$B$39,+'5.Variables'!$L51,+IF(J$18='5.Variables'!$B$62,+'5.Variables'!$L65,+IF(J$18='5.Variables'!$B$76,+'5.Variables'!$L79,+IF(J$18='5.Variables'!$B$90,+'5.Variables'!$L93,+IF(J$18='5.Variables'!$B$104,+'5.Variables'!$L107,0))))))</f>
        <v>257.89999999999998</v>
      </c>
      <c r="K41" s="599">
        <f>IF(K$18='5.Variables'!$B$16,+'5.Variables'!$L27,+IF(K$18='5.Variables'!$B$39,+'5.Variables'!$L51,+IF(K$18='5.Variables'!$B$62,+'5.Variables'!$L65,+IF(K$18='5.Variables'!$B$76,+'5.Variables'!$L79,+IF(K$18='5.Variables'!$B$90,+'5.Variables'!$L93,+IF(K$18='5.Variables'!$B$104,+'5.Variables'!$L107,0))))))</f>
        <v>3.1</v>
      </c>
      <c r="L41" s="599">
        <f>IF(L$18='5.Variables'!$B$16,+'5.Variables'!$L27,+IF(L$18='5.Variables'!$B$39,+'5.Variables'!$L51,+IF(L$18='5.Variables'!$B$62,+'5.Variables'!$L65,+IF(L$18='5.Variables'!$B$76,+'5.Variables'!$L79,+IF(L$18='5.Variables'!$B$90,+'5.Variables'!$L93,+IF(L$18='5.Variables'!$B$104,+'5.Variables'!$L107,0))))))</f>
        <v>31</v>
      </c>
      <c r="M41" s="599">
        <f>IF(M$18='5.Variables'!$B$16,+'5.Variables'!$L27,+IF(M$18='5.Variables'!$B$39,+'5.Variables'!$L51,+IF(M$18='5.Variables'!$B$62,+'5.Variables'!$L65,+IF(M$18='5.Variables'!$B$76,+'5.Variables'!$L79,+IF(M$18='5.Variables'!$B$90,+'5.Variables'!$L93,+IF(M$18='5.Variables'!$B$104,+'5.Variables'!$L107,0))))))</f>
        <v>10.51</v>
      </c>
      <c r="N41" s="599">
        <f>IF(N$18='5.Variables'!$B$16,+'5.Variables'!$L27,+IF(N$18='5.Variables'!$B$39,+'5.Variables'!$L51,+IF(N$18='5.Variables'!$B$62,+'5.Variables'!$L65,+IF(N$18='5.Variables'!$B$76,+'5.Variables'!$L79,+IF(N$18='5.Variables'!$B$90,+'5.Variables'!$L93,+IF(N$18='5.Variables'!$B$104,+'5.Variables'!$L107,0))))))</f>
        <v>0</v>
      </c>
      <c r="O41" s="928">
        <v>0</v>
      </c>
      <c r="P41" s="200"/>
      <c r="Q41" s="469">
        <f t="shared" si="0"/>
        <v>6891829.1186989453</v>
      </c>
      <c r="R41" s="216"/>
      <c r="S41" s="200"/>
      <c r="AC41" s="200"/>
      <c r="AD41" s="200"/>
      <c r="AE41" s="200"/>
      <c r="AF41" s="200"/>
      <c r="AG41" s="200"/>
      <c r="AH41" s="200"/>
      <c r="AI41" s="200"/>
      <c r="AJ41" s="200"/>
      <c r="AK41" s="200"/>
      <c r="AL41" s="200"/>
    </row>
    <row r="42" spans="1:38">
      <c r="A42" s="435">
        <f t="shared" si="1"/>
        <v>23</v>
      </c>
      <c r="B42" s="871" t="str">
        <f>CONCATENATE('3. Consumption by Rate Class'!B47,"-",'3. Consumption by Rate Class'!C47)</f>
        <v>2014-November</v>
      </c>
      <c r="C42" s="883">
        <v>7414780</v>
      </c>
      <c r="D42" s="932">
        <v>0</v>
      </c>
      <c r="E42" s="469">
        <v>-31831</v>
      </c>
      <c r="F42" s="935">
        <v>-74082.78</v>
      </c>
      <c r="G42" s="875"/>
      <c r="H42" s="875"/>
      <c r="I42" s="469">
        <f t="shared" si="2"/>
        <v>7308866.2199999997</v>
      </c>
      <c r="J42" s="599">
        <f>IF(J$18='5.Variables'!$B$16,+'5.Variables'!$M28,+IF(J$18='5.Variables'!$B$39,+'5.Variables'!$M51,+IF(J$18='5.Variables'!$B$62,+'5.Variables'!$M65,+IF(J$18='5.Variables'!$B$76,+'5.Variables'!$M79,+IF(J$18='5.Variables'!$B$90,+'5.Variables'!$M93,+IF(J$18='5.Variables'!$B$104,+'5.Variables'!$M107,0))))))</f>
        <v>510.6</v>
      </c>
      <c r="K42" s="599">
        <f>IF(K$18='5.Variables'!$B$16,+'5.Variables'!$M27,+IF(K$18='5.Variables'!$B$39,+'5.Variables'!$M51,+IF(K$18='5.Variables'!$B$62,+'5.Variables'!$M65,+IF(K$18='5.Variables'!$B$76,+'5.Variables'!$M79,+IF(K$18='5.Variables'!$B$90,+'5.Variables'!$M93,+IF(K$18='5.Variables'!$B$104,+'5.Variables'!$M107,0))))))</f>
        <v>0</v>
      </c>
      <c r="L42" s="599">
        <f>IF(L$18='5.Variables'!$B$16,+'5.Variables'!$M27,+IF(L$18='5.Variables'!$B$39,+'5.Variables'!$M51,+IF(L$18='5.Variables'!$B$62,+'5.Variables'!$M65,+IF(L$18='5.Variables'!$B$76,+'5.Variables'!$M79,+IF(L$18='5.Variables'!$B$90,+'5.Variables'!$M93,+IF(L$18='5.Variables'!$B$104,+'5.Variables'!$M107,0))))))</f>
        <v>30</v>
      </c>
      <c r="M42" s="599">
        <f>IF(M$18='5.Variables'!$B$16,+'5.Variables'!$M27,+IF(M$18='5.Variables'!$B$39,+'5.Variables'!$M51,+IF(M$18='5.Variables'!$B$62,+'5.Variables'!$M65,+IF(M$18='5.Variables'!$B$76,+'5.Variables'!$M79,+IF(M$18='5.Variables'!$B$90,+'5.Variables'!$M93,+IF(M$18='5.Variables'!$B$104,+'5.Variables'!$M107,0))))))</f>
        <v>9.2799999999999994</v>
      </c>
      <c r="N42" s="599">
        <f>IF(N$18='5.Variables'!$B$16,+'5.Variables'!$M27,+IF(N$18='5.Variables'!$B$39,+'5.Variables'!$M51,+IF(N$18='5.Variables'!$B$62,+'5.Variables'!$M65,+IF(N$18='5.Variables'!$B$76,+'5.Variables'!$M79,+IF(N$18='5.Variables'!$B$90,+'5.Variables'!$M93,+IF(N$18='5.Variables'!$B$104,+'5.Variables'!$M107,0))))))</f>
        <v>0</v>
      </c>
      <c r="O42" s="928">
        <v>0</v>
      </c>
      <c r="P42" s="200"/>
      <c r="Q42" s="469">
        <f t="shared" si="0"/>
        <v>7432000.7799906442</v>
      </c>
      <c r="R42" s="216"/>
      <c r="S42" s="200"/>
      <c r="U42"/>
      <c r="V42"/>
      <c r="W42"/>
      <c r="X42"/>
      <c r="Y42"/>
      <c r="Z42"/>
      <c r="AA42"/>
      <c r="AB42"/>
      <c r="AC42" s="200"/>
      <c r="AD42" s="200"/>
      <c r="AE42" s="200"/>
      <c r="AF42" s="200"/>
      <c r="AG42" s="200"/>
      <c r="AH42" s="200"/>
      <c r="AI42" s="200"/>
      <c r="AJ42" s="200"/>
      <c r="AK42" s="200"/>
      <c r="AL42" s="200"/>
    </row>
    <row r="43" spans="1:38" ht="13.5" customHeight="1">
      <c r="A43" s="435">
        <f t="shared" si="1"/>
        <v>24</v>
      </c>
      <c r="B43" s="451" t="str">
        <f>CONCATENATE('3. Consumption by Rate Class'!B48,"-",'3. Consumption by Rate Class'!C48)</f>
        <v>2014-December</v>
      </c>
      <c r="C43" s="584">
        <v>8362346</v>
      </c>
      <c r="D43" s="937">
        <v>0</v>
      </c>
      <c r="E43" s="938">
        <v>-30674</v>
      </c>
      <c r="F43" s="939">
        <v>-80080.97</v>
      </c>
      <c r="G43" s="880"/>
      <c r="H43" s="880"/>
      <c r="I43" s="881">
        <f t="shared" si="2"/>
        <v>8251591.0300000003</v>
      </c>
      <c r="J43" s="599">
        <f>IF(J$18='5.Variables'!$B$16,+'5.Variables'!$N28,+IF(J$18='5.Variables'!$B$39,+'5.Variables'!$N51,+IF(J$18='5.Variables'!$B$62,+'5.Variables'!$N65,+IF(J$18='5.Variables'!$B$76,+'5.Variables'!$N79,+IF(J$18='5.Variables'!$B$90,+'5.Variables'!$N93,+IF(J$18='5.Variables'!$B$104,+'5.Variables'!$N107,0))))))</f>
        <v>696.4</v>
      </c>
      <c r="K43" s="599">
        <f>IF(K$18='5.Variables'!$B$16,+'5.Variables'!$N27,+IF(K$18='5.Variables'!$B$39,+'5.Variables'!$N51,+IF(K$18='5.Variables'!$B$62,+'5.Variables'!$N65,+IF(K$18='5.Variables'!$B$76,+'5.Variables'!$N79,+IF(K$18='5.Variables'!$B$90,+'5.Variables'!$N93,+IF(K$18='5.Variables'!$B$104,+'5.Variables'!$N107,0))))))</f>
        <v>0</v>
      </c>
      <c r="L43" s="599">
        <f>IF(L$18='5.Variables'!$B$16,+'5.Variables'!$N27,+IF(L$18='5.Variables'!$B$39,+'5.Variables'!$N51,+IF(L$18='5.Variables'!$B$62,+'5.Variables'!$N65,+IF(L$18='5.Variables'!$B$76,+'5.Variables'!$N79,+IF(L$18='5.Variables'!$B$90,+'5.Variables'!$N93,+IF(L$18='5.Variables'!$B$104,+'5.Variables'!$N107,0))))))</f>
        <v>31</v>
      </c>
      <c r="M43" s="599">
        <f>IF(M$18='5.Variables'!$B$16,+'5.Variables'!$N27,+IF(M$18='5.Variables'!$B$39,+'5.Variables'!$N51,+IF(M$18='5.Variables'!$B$62,+'5.Variables'!$N65,+IF(M$18='5.Variables'!$B$76,+'5.Variables'!$N79,+IF(M$18='5.Variables'!$B$90,+'5.Variables'!$N93,+IF(M$18='5.Variables'!$B$104,+'5.Variables'!$N107,0))))))</f>
        <v>8.4700000000000006</v>
      </c>
      <c r="N43" s="599">
        <f>IF(N$18='5.Variables'!$B$16,+'5.Variables'!$N27,+IF(N$18='5.Variables'!$B$39,+'5.Variables'!$N51,+IF(N$18='5.Variables'!$B$62,+'5.Variables'!$N65,+IF(N$18='5.Variables'!$B$76,+'5.Variables'!$N79,+IF(N$18='5.Variables'!$B$90,+'5.Variables'!$N93,+IF(N$18='5.Variables'!$B$104,+'5.Variables'!$N107,0))))))</f>
        <v>0</v>
      </c>
      <c r="O43" s="928">
        <v>0</v>
      </c>
      <c r="P43" s="200"/>
      <c r="Q43" s="469">
        <f t="shared" si="0"/>
        <v>8138763.3425507918</v>
      </c>
      <c r="R43" s="216">
        <f>SUM(Q32:Q43)</f>
        <v>88741305.06941998</v>
      </c>
      <c r="S43" s="200"/>
      <c r="T43"/>
      <c r="U43"/>
      <c r="V43"/>
      <c r="W43"/>
      <c r="X43"/>
      <c r="Y43"/>
      <c r="Z43"/>
      <c r="AA43"/>
      <c r="AB43"/>
      <c r="AC43" s="200"/>
      <c r="AD43" s="200"/>
      <c r="AE43" s="200"/>
      <c r="AF43" s="200"/>
      <c r="AG43" s="200"/>
      <c r="AH43" s="200"/>
      <c r="AI43" s="200"/>
      <c r="AJ43" s="200"/>
      <c r="AK43" s="200"/>
      <c r="AL43" s="200"/>
    </row>
    <row r="44" spans="1:38">
      <c r="A44" s="435">
        <f t="shared" si="1"/>
        <v>25</v>
      </c>
      <c r="B44" s="871" t="str">
        <f>CONCATENATE('3. Consumption by Rate Class'!B49,"-",'3. Consumption by Rate Class'!C49)</f>
        <v>2015-January</v>
      </c>
      <c r="C44" s="870">
        <v>9446128</v>
      </c>
      <c r="D44" s="934">
        <v>0</v>
      </c>
      <c r="E44" s="935">
        <v>-34207</v>
      </c>
      <c r="F44" s="935">
        <v>-78165.42</v>
      </c>
      <c r="G44" s="875"/>
      <c r="H44" s="875"/>
      <c r="I44" s="469">
        <f t="shared" si="2"/>
        <v>9333755.5800000001</v>
      </c>
      <c r="J44" s="599">
        <f>IF(J$18='5.Variables'!$B$16,+'5.Variables'!$C29,+IF(J$18='5.Variables'!$B$39,+'5.Variables'!$C52,+IF(J$18='5.Variables'!$B$62,+'5.Variables'!$C66,+IF(J$18='5.Variables'!$B$76,+'5.Variables'!$C80,+IF(J$18='5.Variables'!$B$90,+'5.Variables'!$C94,+IF(J$18='5.Variables'!$B$104,+'5.Variables'!$C108,0))))))</f>
        <v>968.2</v>
      </c>
      <c r="K44" s="599">
        <f>IF(K$18='5.Variables'!$B$16,+'5.Variables'!$C28,+IF(K$18='5.Variables'!$B$39,+'5.Variables'!$C52,+IF(K$18='5.Variables'!$B$62,+'5.Variables'!$C66,+IF(K$18='5.Variables'!$B$76,+'5.Variables'!$C80,+IF(K$18='5.Variables'!$B$90,+'5.Variables'!$C94,+IF(K$18='5.Variables'!$B$104,+'5.Variables'!$C108,0))))))</f>
        <v>0</v>
      </c>
      <c r="L44" s="599">
        <f>IF(L$18='5.Variables'!$B$16,+'5.Variables'!$C28,+IF(L$18='5.Variables'!$B$39,+'5.Variables'!$C52,+IF(L$18='5.Variables'!$B$62,+'5.Variables'!$C66,+IF(L$18='5.Variables'!$B$76,+'5.Variables'!$C80,+IF(L$18='5.Variables'!$B$90,+'5.Variables'!$C94,+IF(L$18='5.Variables'!$B$104,+'5.Variables'!$C108,0))))))</f>
        <v>31</v>
      </c>
      <c r="M44" s="599">
        <f>IF(M$18='5.Variables'!$B$16,+'5.Variables'!$C28,+IF(M$18='5.Variables'!$B$39,+'5.Variables'!$C52,+IF(M$18='5.Variables'!$B$62,+'5.Variables'!$C66,+IF(M$18='5.Variables'!$B$76,+'5.Variables'!$C80,+IF(M$18='5.Variables'!$B$90,+'5.Variables'!$C94,+IF(M$18='5.Variables'!$B$104,+'5.Variables'!$C108,0))))))</f>
        <v>9.09</v>
      </c>
      <c r="N44" s="599">
        <f>IF(N$18='5.Variables'!$B$16,+'5.Variables'!$C28,+IF(N$18='5.Variables'!$B$39,+'5.Variables'!$C52,+IF(N$18='5.Variables'!$B$62,+'5.Variables'!$C66,+IF(N$18='5.Variables'!$B$76,+'5.Variables'!$C80,+IF(N$18='5.Variables'!$B$90,+'5.Variables'!$C94,+IF(N$18='5.Variables'!$B$104,+'5.Variables'!$C108,0))))))</f>
        <v>0</v>
      </c>
      <c r="O44" s="928">
        <v>0</v>
      </c>
      <c r="P44" s="200"/>
      <c r="Q44" s="469">
        <f t="shared" si="0"/>
        <v>8941176.3951321803</v>
      </c>
      <c r="R44" s="216"/>
      <c r="S44" s="200"/>
      <c r="T44" s="217" t="s">
        <v>162</v>
      </c>
      <c r="U44" s="213"/>
      <c r="V44" s="213"/>
      <c r="W44" s="213"/>
      <c r="X44" s="213"/>
      <c r="Y44" s="213"/>
      <c r="Z44" s="213"/>
      <c r="AA44" s="213"/>
      <c r="AB44" s="213"/>
      <c r="AC44" s="200"/>
      <c r="AD44" s="200"/>
      <c r="AE44" s="200"/>
      <c r="AF44" s="200"/>
      <c r="AG44" s="200"/>
      <c r="AH44" s="200"/>
      <c r="AI44" s="200"/>
      <c r="AJ44" s="200"/>
      <c r="AK44" s="200"/>
      <c r="AL44" s="200"/>
    </row>
    <row r="45" spans="1:38">
      <c r="A45" s="435">
        <f t="shared" si="1"/>
        <v>26</v>
      </c>
      <c r="B45" s="871" t="str">
        <f>CONCATENATE('3. Consumption by Rate Class'!B50,"-",'3. Consumption by Rate Class'!C50)</f>
        <v>2015-February</v>
      </c>
      <c r="C45" s="870">
        <v>8809615</v>
      </c>
      <c r="D45" s="934">
        <v>0</v>
      </c>
      <c r="E45" s="935">
        <v>-34207</v>
      </c>
      <c r="F45" s="935">
        <v>-69750.110000000015</v>
      </c>
      <c r="G45" s="875"/>
      <c r="H45" s="875"/>
      <c r="I45" s="469">
        <f t="shared" si="2"/>
        <v>8705657.8900000006</v>
      </c>
      <c r="J45" s="599">
        <f>IF(J$18='5.Variables'!$B$16,+'5.Variables'!$D29,+IF(J$18='5.Variables'!$B$39,+'5.Variables'!$D52,+IF(J$18='5.Variables'!$B$62,+'5.Variables'!$D66,+IF(J$18='5.Variables'!$B$76,+'5.Variables'!$D80,+IF(J$18='5.Variables'!$B$90,+'5.Variables'!$D94,+IF(J$18='5.Variables'!$B$104,+'5.Variables'!$D108,0))))))</f>
        <v>957.8</v>
      </c>
      <c r="K45" s="599">
        <f>IF(K$18='5.Variables'!$B$16,+'5.Variables'!$D28,+IF(K$18='5.Variables'!$B$39,+'5.Variables'!$D52,+IF(K$18='5.Variables'!$B$62,+'5.Variables'!$D66,+IF(K$18='5.Variables'!$B$76,+'5.Variables'!$D80,+IF(K$18='5.Variables'!$B$90,+'5.Variables'!$D94,+IF(K$18='5.Variables'!$B$104,+'5.Variables'!$D108,0))))))</f>
        <v>0</v>
      </c>
      <c r="L45" s="599">
        <f>IF(L$18='5.Variables'!$B$16,+'5.Variables'!$D28,+IF(L$18='5.Variables'!$B$39,+'5.Variables'!$D52,+IF(L$18='5.Variables'!$B$62,+'5.Variables'!$D66,+IF(L$18='5.Variables'!$B$76,+'5.Variables'!$D80,+IF(L$18='5.Variables'!$B$90,+'5.Variables'!$D94,+IF(L$18='5.Variables'!$B$104,+'5.Variables'!$D108,0))))))</f>
        <v>28</v>
      </c>
      <c r="M45" s="599">
        <f>IF(M$18='5.Variables'!$B$16,+'5.Variables'!$D28,+IF(M$18='5.Variables'!$B$39,+'5.Variables'!$D52,+IF(M$18='5.Variables'!$B$62,+'5.Variables'!$D66,+IF(M$18='5.Variables'!$B$76,+'5.Variables'!$D80,+IF(M$18='5.Variables'!$B$90,+'5.Variables'!$D94,+IF(M$18='5.Variables'!$B$104,+'5.Variables'!$D108,0))))))</f>
        <v>10.19</v>
      </c>
      <c r="N45" s="599">
        <f>IF(N$18='5.Variables'!$B$16,+'5.Variables'!$D28,+IF(N$18='5.Variables'!$B$39,+'5.Variables'!$D52,+IF(N$18='5.Variables'!$B$62,+'5.Variables'!$D66,+IF(N$18='5.Variables'!$B$76,+'5.Variables'!$D80,+IF(N$18='5.Variables'!$B$90,+'5.Variables'!$D94,+IF(N$18='5.Variables'!$B$104,+'5.Variables'!$D108,0))))))</f>
        <v>0</v>
      </c>
      <c r="O45" s="928">
        <v>0</v>
      </c>
      <c r="P45" s="200"/>
      <c r="Q45" s="469">
        <f t="shared" si="0"/>
        <v>8435752.3563186172</v>
      </c>
      <c r="R45" s="216"/>
      <c r="S45" s="200"/>
      <c r="T45" s="922" t="s">
        <v>33</v>
      </c>
      <c r="U45" s="922" t="s">
        <v>264</v>
      </c>
      <c r="V45" s="922" t="s">
        <v>265</v>
      </c>
      <c r="W45" s="922" t="s">
        <v>266</v>
      </c>
      <c r="X45" s="922" t="s">
        <v>265</v>
      </c>
      <c r="Y45" s="922" t="s">
        <v>267</v>
      </c>
      <c r="Z45" s="200"/>
      <c r="AA45" s="200"/>
      <c r="AB45" s="200"/>
      <c r="AC45" s="200"/>
      <c r="AD45" s="200"/>
      <c r="AE45" s="200"/>
      <c r="AF45" s="200"/>
      <c r="AG45" s="200"/>
      <c r="AH45" s="200"/>
      <c r="AI45" s="200"/>
      <c r="AJ45" s="200"/>
      <c r="AK45" s="200"/>
      <c r="AL45" s="200"/>
    </row>
    <row r="46" spans="1:38">
      <c r="A46" s="435">
        <f t="shared" si="1"/>
        <v>27</v>
      </c>
      <c r="B46" s="871" t="str">
        <f>CONCATENATE('3. Consumption by Rate Class'!B51,"-",'3. Consumption by Rate Class'!C51)</f>
        <v>2015-March</v>
      </c>
      <c r="C46" s="870">
        <v>8471059</v>
      </c>
      <c r="D46" s="934">
        <v>0</v>
      </c>
      <c r="E46" s="935">
        <v>-34207</v>
      </c>
      <c r="F46" s="935">
        <v>-63508.26</v>
      </c>
      <c r="G46" s="875"/>
      <c r="H46" s="875"/>
      <c r="I46" s="469">
        <f t="shared" si="2"/>
        <v>8373343.7400000002</v>
      </c>
      <c r="J46" s="599">
        <f>IF(J$18='5.Variables'!$B$16,+'5.Variables'!$E29,+IF(J$18='5.Variables'!$B$39,+'5.Variables'!$E52,+IF(J$18='5.Variables'!$B$62,+'5.Variables'!$E66,+IF(J$18='5.Variables'!$B$76,+'5.Variables'!$E80,+IF(J$18='5.Variables'!$B$90,+'5.Variables'!$E94,+IF(J$18='5.Variables'!$B$104,+'5.Variables'!$E108,0))))))</f>
        <v>718.6</v>
      </c>
      <c r="K46" s="599">
        <f>IF(K$18='5.Variables'!$B$16,+'5.Variables'!$E28,+IF(K$18='5.Variables'!$B$39,+'5.Variables'!$E52,+IF(K$18='5.Variables'!$B$62,+'5.Variables'!$E66,+IF(K$18='5.Variables'!$B$76,+'5.Variables'!$E80,+IF(K$18='5.Variables'!$B$90,+'5.Variables'!$E94,+IF(K$18='5.Variables'!$B$104,+'5.Variables'!$E108,0))))))</f>
        <v>0</v>
      </c>
      <c r="L46" s="599">
        <f>IF(L$18='5.Variables'!$B$16,+'5.Variables'!$E28,+IF(L$18='5.Variables'!$B$39,+'5.Variables'!$E52,+IF(L$18='5.Variables'!$B$62,+'5.Variables'!$E66,+IF(L$18='5.Variables'!$B$76,+'5.Variables'!$E80,+IF(L$18='5.Variables'!$B$90,+'5.Variables'!$E94,+IF(L$18='5.Variables'!$B$104,+'5.Variables'!$E108,0))))))</f>
        <v>31</v>
      </c>
      <c r="M46" s="599">
        <f>IF(M$18='5.Variables'!$B$16,+'5.Variables'!$E28,+IF(M$18='5.Variables'!$B$39,+'5.Variables'!$E52,+IF(M$18='5.Variables'!$B$62,+'5.Variables'!$E66,+IF(M$18='5.Variables'!$B$76,+'5.Variables'!$E80,+IF(M$18='5.Variables'!$B$90,+'5.Variables'!$E94,+IF(M$18='5.Variables'!$B$104,+'5.Variables'!$E108,0))))))</f>
        <v>11.51</v>
      </c>
      <c r="N46" s="599">
        <f>IF(N$18='5.Variables'!$B$16,+'5.Variables'!$E28,+IF(N$18='5.Variables'!$B$39,+'5.Variables'!$E52,+IF(N$18='5.Variables'!$B$62,+'5.Variables'!$E66,+IF(N$18='5.Variables'!$B$76,+'5.Variables'!$E80,+IF(N$18='5.Variables'!$B$90,+'5.Variables'!$E94,+IF(N$18='5.Variables'!$B$104,+'5.Variables'!$E108,0))))))</f>
        <v>0</v>
      </c>
      <c r="O46" s="928">
        <v>0</v>
      </c>
      <c r="P46" s="200"/>
      <c r="Q46" s="469">
        <f t="shared" si="0"/>
        <v>8204302.5985011477</v>
      </c>
      <c r="R46" s="216"/>
      <c r="S46" s="200"/>
      <c r="T46" s="919">
        <f>'4. Customer Growth'!B17</f>
        <v>2013</v>
      </c>
      <c r="U46" s="931">
        <f>SUM(I20:I31)</f>
        <v>90874156.25999999</v>
      </c>
      <c r="V46" s="920"/>
      <c r="W46" s="931">
        <f>R31</f>
        <v>88474218.029769301</v>
      </c>
      <c r="X46" s="920"/>
      <c r="Y46" s="921">
        <f t="shared" ref="Y46:Y55" si="3">(W46-U46)/U46</f>
        <v>-2.6409469193466043E-2</v>
      </c>
      <c r="Z46" s="200"/>
      <c r="AA46" s="200"/>
      <c r="AB46" s="200"/>
      <c r="AC46" s="200"/>
      <c r="AD46" s="200"/>
      <c r="AE46" s="200"/>
      <c r="AF46" s="200"/>
      <c r="AG46" s="200"/>
      <c r="AH46" s="200"/>
      <c r="AI46" s="200"/>
      <c r="AJ46" s="200"/>
      <c r="AK46" s="200"/>
      <c r="AL46" s="200"/>
    </row>
    <row r="47" spans="1:38">
      <c r="A47" s="435">
        <f t="shared" si="1"/>
        <v>28</v>
      </c>
      <c r="B47" s="871" t="str">
        <f>CONCATENATE('3. Consumption by Rate Class'!B52,"-",'3. Consumption by Rate Class'!C52)</f>
        <v>2015-April</v>
      </c>
      <c r="C47" s="870">
        <v>6789448</v>
      </c>
      <c r="D47" s="934">
        <v>0</v>
      </c>
      <c r="E47" s="935">
        <v>-34207</v>
      </c>
      <c r="F47" s="935">
        <v>-53159.5</v>
      </c>
      <c r="G47" s="875"/>
      <c r="H47" s="875"/>
      <c r="I47" s="469">
        <f t="shared" si="2"/>
        <v>6702081.5</v>
      </c>
      <c r="J47" s="599">
        <f>IF(J$18='5.Variables'!$B$16,+'5.Variables'!$F29,+IF(J$18='5.Variables'!$B$39,+'5.Variables'!$F52,+IF(J$18='5.Variables'!$B$62,+'5.Variables'!$F66,+IF(J$18='5.Variables'!$B$76,+'5.Variables'!$F80,+IF(J$18='5.Variables'!$B$90,+'5.Variables'!$F94,+IF(J$18='5.Variables'!$B$104,+'5.Variables'!$F108,0))))))</f>
        <v>352.6</v>
      </c>
      <c r="K47" s="599">
        <f>IF(K$18='5.Variables'!$B$16,+'5.Variables'!$F28,+IF(K$18='5.Variables'!$B$39,+'5.Variables'!$F52,+IF(K$18='5.Variables'!$B$62,+'5.Variables'!$F66,+IF(K$18='5.Variables'!$B$76,+'5.Variables'!$F80,+IF(K$18='5.Variables'!$B$90,+'5.Variables'!$F94,+IF(K$18='5.Variables'!$B$104,+'5.Variables'!$F108,0))))))</f>
        <v>0</v>
      </c>
      <c r="L47" s="599">
        <f>IF(L$18='5.Variables'!$B$16,+'5.Variables'!$F28,+IF(L$18='5.Variables'!$B$39,+'5.Variables'!$F52,+IF(L$18='5.Variables'!$B$62,+'5.Variables'!$F66,+IF(L$18='5.Variables'!$B$76,+'5.Variables'!$F80,+IF(L$18='5.Variables'!$B$90,+'5.Variables'!$F94,+IF(L$18='5.Variables'!$B$104,+'5.Variables'!$F108,0))))))</f>
        <v>30</v>
      </c>
      <c r="M47" s="599">
        <f>IF(M$18='5.Variables'!$B$16,+'5.Variables'!$F28,+IF(M$18='5.Variables'!$B$39,+'5.Variables'!$F52,+IF(M$18='5.Variables'!$B$62,+'5.Variables'!$F66,+IF(M$18='5.Variables'!$B$76,+'5.Variables'!$F80,+IF(M$18='5.Variables'!$B$90,+'5.Variables'!$F94,+IF(M$18='5.Variables'!$B$104,+'5.Variables'!$F108,0))))))</f>
        <v>13.28</v>
      </c>
      <c r="N47" s="599">
        <f>IF(N$18='5.Variables'!$B$16,+'5.Variables'!$F28,+IF(N$18='5.Variables'!$B$39,+'5.Variables'!$F52,+IF(N$18='5.Variables'!$B$62,+'5.Variables'!$F66,+IF(N$18='5.Variables'!$B$76,+'5.Variables'!$F80,+IF(N$18='5.Variables'!$B$90,+'5.Variables'!$F94,+IF(N$18='5.Variables'!$B$104,+'5.Variables'!$F108,0))))))</f>
        <v>0</v>
      </c>
      <c r="O47" s="928">
        <v>0</v>
      </c>
      <c r="P47" s="200"/>
      <c r="Q47" s="469">
        <f t="shared" si="0"/>
        <v>6965550.2196232444</v>
      </c>
      <c r="R47" s="216"/>
      <c r="S47" s="200"/>
      <c r="T47" s="919">
        <f>'4. Customer Growth'!B18</f>
        <v>2014</v>
      </c>
      <c r="U47" s="931">
        <f>SUM(I32:I43)</f>
        <v>89376615.260000005</v>
      </c>
      <c r="V47" s="921">
        <f>(U47-U46)/U46</f>
        <v>-1.6479283677917973E-2</v>
      </c>
      <c r="W47" s="931">
        <f>R43</f>
        <v>88741305.06941998</v>
      </c>
      <c r="X47" s="921">
        <f>(W47-W46)/W46</f>
        <v>3.0188120968846618E-3</v>
      </c>
      <c r="Y47" s="921">
        <f t="shared" si="3"/>
        <v>-7.108237302698067E-3</v>
      </c>
      <c r="Z47" s="200"/>
      <c r="AA47" s="200"/>
      <c r="AB47" s="200"/>
      <c r="AC47" s="200"/>
      <c r="AD47" s="200"/>
      <c r="AE47" s="200"/>
      <c r="AF47" s="200"/>
      <c r="AG47" s="200"/>
      <c r="AH47" s="200"/>
      <c r="AI47" s="200"/>
      <c r="AJ47" s="200"/>
      <c r="AK47" s="200"/>
      <c r="AL47" s="200"/>
    </row>
    <row r="48" spans="1:38">
      <c r="A48" s="435">
        <f t="shared" si="1"/>
        <v>29</v>
      </c>
      <c r="B48" s="871" t="str">
        <f>CONCATENATE('3. Consumption by Rate Class'!B53,"-",'3. Consumption by Rate Class'!C53)</f>
        <v>2015-May</v>
      </c>
      <c r="C48" s="870">
        <v>6763079</v>
      </c>
      <c r="D48" s="934">
        <v>0</v>
      </c>
      <c r="E48" s="935">
        <v>-34207</v>
      </c>
      <c r="F48" s="935">
        <v>-47801.16</v>
      </c>
      <c r="G48" s="875"/>
      <c r="H48" s="875"/>
      <c r="I48" s="469">
        <f t="shared" si="2"/>
        <v>6681070.8399999999</v>
      </c>
      <c r="J48" s="599">
        <f>IF(J$18='5.Variables'!$B$16,+'5.Variables'!$G29,+IF(J$18='5.Variables'!$B$39,+'5.Variables'!$G52,+IF(J$18='5.Variables'!$B$62,+'5.Variables'!$G66,+IF(J$18='5.Variables'!$B$76,+'5.Variables'!$G80,+IF(J$18='5.Variables'!$B$90,+'5.Variables'!$G94,+IF(J$18='5.Variables'!$B$104,+'5.Variables'!$G108,0))))))</f>
        <v>94.2</v>
      </c>
      <c r="K48" s="599">
        <f>IF(K$18='5.Variables'!$B$16,+'5.Variables'!$G28,+IF(K$18='5.Variables'!$B$39,+'5.Variables'!$G52,+IF(K$18='5.Variables'!$B$62,+'5.Variables'!$G66,+IF(K$18='5.Variables'!$B$76,+'5.Variables'!$G80,+IF(K$18='5.Variables'!$B$90,+'5.Variables'!$G94,+IF(K$18='5.Variables'!$B$104,+'5.Variables'!$G108,0))))))</f>
        <v>25.3</v>
      </c>
      <c r="L48" s="599">
        <f>IF(L$18='5.Variables'!$B$16,+'5.Variables'!$G28,+IF(L$18='5.Variables'!$B$39,+'5.Variables'!$G52,+IF(L$18='5.Variables'!$B$62,+'5.Variables'!$G66,+IF(L$18='5.Variables'!$B$76,+'5.Variables'!$G80,+IF(L$18='5.Variables'!$B$90,+'5.Variables'!$G94,+IF(L$18='5.Variables'!$B$104,+'5.Variables'!$G108,0))))))</f>
        <v>31</v>
      </c>
      <c r="M48" s="599">
        <f>IF(M$18='5.Variables'!$B$16,+'5.Variables'!$G28,+IF(M$18='5.Variables'!$B$39,+'5.Variables'!$G52,+IF(M$18='5.Variables'!$B$62,+'5.Variables'!$G66,+IF(M$18='5.Variables'!$B$76,+'5.Variables'!$G80,+IF(M$18='5.Variables'!$B$90,+'5.Variables'!$G94,+IF(M$18='5.Variables'!$B$104,+'5.Variables'!$G108,0))))))</f>
        <v>14.52</v>
      </c>
      <c r="N48" s="599">
        <f>IF(N$18='5.Variables'!$B$16,+'5.Variables'!$G28,+IF(N$18='5.Variables'!$B$39,+'5.Variables'!$G52,+IF(N$18='5.Variables'!$B$62,+'5.Variables'!$G66,+IF(N$18='5.Variables'!$B$76,+'5.Variables'!$G80,+IF(N$18='5.Variables'!$B$90,+'5.Variables'!$G94,+IF(N$18='5.Variables'!$B$104,+'5.Variables'!$G108,0))))))</f>
        <v>0</v>
      </c>
      <c r="O48" s="928">
        <v>0</v>
      </c>
      <c r="P48" s="200"/>
      <c r="Q48" s="469">
        <f t="shared" si="0"/>
        <v>6749526.3840238564</v>
      </c>
      <c r="R48" s="216"/>
      <c r="S48" s="200"/>
      <c r="T48" s="919">
        <f>'4. Customer Growth'!B19</f>
        <v>2015</v>
      </c>
      <c r="U48" s="931">
        <f>SUM(I44:I55)</f>
        <v>89768282.25999999</v>
      </c>
      <c r="V48" s="921">
        <f t="shared" ref="V48:X55" si="4">(U48-U47)/U47</f>
        <v>4.3822089129310921E-3</v>
      </c>
      <c r="W48" s="931">
        <f>R55</f>
        <v>89116051.604816481</v>
      </c>
      <c r="X48" s="921">
        <f t="shared" si="4"/>
        <v>4.222909896393197E-3</v>
      </c>
      <c r="Y48" s="921">
        <f t="shared" si="3"/>
        <v>-7.265713888725457E-3</v>
      </c>
      <c r="Z48" s="200"/>
      <c r="AA48" s="200"/>
      <c r="AB48" s="200"/>
      <c r="AC48" s="200"/>
      <c r="AD48" s="200"/>
      <c r="AE48" s="200"/>
      <c r="AF48" s="200"/>
      <c r="AG48" s="200"/>
      <c r="AH48" s="200"/>
      <c r="AI48" s="200"/>
      <c r="AJ48" s="200"/>
      <c r="AK48" s="200"/>
      <c r="AL48" s="200"/>
    </row>
    <row r="49" spans="1:38">
      <c r="A49" s="435">
        <f t="shared" si="1"/>
        <v>30</v>
      </c>
      <c r="B49" s="871" t="str">
        <f>CONCATENATE('3. Consumption by Rate Class'!B54,"-",'3. Consumption by Rate Class'!C54)</f>
        <v>2015-June</v>
      </c>
      <c r="C49" s="870">
        <v>6744783</v>
      </c>
      <c r="D49" s="934">
        <v>0</v>
      </c>
      <c r="E49" s="935">
        <v>-34207</v>
      </c>
      <c r="F49" s="935">
        <v>-42187.28</v>
      </c>
      <c r="G49" s="875"/>
      <c r="H49" s="875"/>
      <c r="I49" s="469">
        <f t="shared" si="2"/>
        <v>6668388.7199999997</v>
      </c>
      <c r="J49" s="599">
        <f>IF(J$18='5.Variables'!$B$16,+'5.Variables'!$H29,+IF(J$18='5.Variables'!$B$39,+'5.Variables'!$H52,+IF(J$18='5.Variables'!$B$62,+'5.Variables'!$H66,+IF(J$18='5.Variables'!$B$76,+'5.Variables'!$H80,+IF(J$18='5.Variables'!$B$90,+'5.Variables'!$H94,+IF(J$18='5.Variables'!$B$104,+'5.Variables'!$H108,0))))))</f>
        <v>45.2</v>
      </c>
      <c r="K49" s="599">
        <f>IF(K$18='5.Variables'!$B$16,+'5.Variables'!$H28,+IF(K$18='5.Variables'!$B$39,+'5.Variables'!$H52,+IF(K$18='5.Variables'!$B$62,+'5.Variables'!$H66,+IF(K$18='5.Variables'!$B$76,+'5.Variables'!$H80,+IF(K$18='5.Variables'!$B$90,+'5.Variables'!$H94,+IF(K$18='5.Variables'!$B$104,+'5.Variables'!$H108,0))))))</f>
        <v>20.3</v>
      </c>
      <c r="L49" s="599">
        <f>IF(L$18='5.Variables'!$B$16,+'5.Variables'!$H28,+IF(L$18='5.Variables'!$B$39,+'5.Variables'!$H52,+IF(L$18='5.Variables'!$B$62,+'5.Variables'!$H66,+IF(L$18='5.Variables'!$B$76,+'5.Variables'!$H80,+IF(L$18='5.Variables'!$B$90,+'5.Variables'!$H94,+IF(L$18='5.Variables'!$B$104,+'5.Variables'!$H108,0))))))</f>
        <v>30</v>
      </c>
      <c r="M49" s="599">
        <f>IF(M$18='5.Variables'!$B$16,+'5.Variables'!$H28,+IF(M$18='5.Variables'!$B$39,+'5.Variables'!$H52,+IF(M$18='5.Variables'!$B$62,+'5.Variables'!$H66,+IF(M$18='5.Variables'!$B$76,+'5.Variables'!$H80,+IF(M$18='5.Variables'!$B$90,+'5.Variables'!$H94,+IF(M$18='5.Variables'!$B$104,+'5.Variables'!$H108,0))))))</f>
        <v>15.35</v>
      </c>
      <c r="N49" s="599">
        <f>IF(N$18='5.Variables'!$B$16,+'5.Variables'!$H28,+IF(N$18='5.Variables'!$B$39,+'5.Variables'!$H52,+IF(N$18='5.Variables'!$B$62,+'5.Variables'!$H66,+IF(N$18='5.Variables'!$B$76,+'5.Variables'!$H80,+IF(N$18='5.Variables'!$B$90,+'5.Variables'!$H94,+IF(N$18='5.Variables'!$B$104,+'5.Variables'!$H108,0))))))</f>
        <v>0</v>
      </c>
      <c r="O49" s="928">
        <v>0</v>
      </c>
      <c r="P49" s="200"/>
      <c r="Q49" s="469">
        <f t="shared" si="0"/>
        <v>6369831.0670293318</v>
      </c>
      <c r="R49" s="216"/>
      <c r="S49" s="200"/>
      <c r="T49" s="919">
        <f>'4. Customer Growth'!B20</f>
        <v>2016</v>
      </c>
      <c r="U49" s="931">
        <f>SUM(I56:I67)</f>
        <v>89085775.25999999</v>
      </c>
      <c r="V49" s="921">
        <f t="shared" si="4"/>
        <v>-7.6029860750061332E-3</v>
      </c>
      <c r="W49" s="931">
        <f>R67</f>
        <v>90068963.594215557</v>
      </c>
      <c r="X49" s="921">
        <f t="shared" si="4"/>
        <v>1.0692933228513607E-2</v>
      </c>
      <c r="Y49" s="921">
        <f t="shared" si="3"/>
        <v>1.1036423394712528E-2</v>
      </c>
      <c r="Z49" s="200"/>
      <c r="AA49" s="200"/>
      <c r="AB49" s="200"/>
      <c r="AC49" s="200"/>
      <c r="AD49" s="200"/>
      <c r="AE49" s="200"/>
      <c r="AF49" s="200"/>
      <c r="AG49" s="200"/>
      <c r="AH49" s="200"/>
      <c r="AI49" s="200"/>
      <c r="AJ49" s="200"/>
      <c r="AK49" s="200"/>
      <c r="AL49" s="200"/>
    </row>
    <row r="50" spans="1:38">
      <c r="A50" s="435">
        <f t="shared" si="1"/>
        <v>31</v>
      </c>
      <c r="B50" s="871" t="str">
        <f>CONCATENATE('3. Consumption by Rate Class'!B55,"-",'3. Consumption by Rate Class'!C55)</f>
        <v>2015-July</v>
      </c>
      <c r="C50" s="870">
        <v>7818096</v>
      </c>
      <c r="D50" s="934">
        <v>0</v>
      </c>
      <c r="E50" s="935">
        <v>-34207</v>
      </c>
      <c r="F50" s="935">
        <v>-45847.020000000004</v>
      </c>
      <c r="G50" s="875"/>
      <c r="H50" s="875"/>
      <c r="I50" s="469">
        <f t="shared" si="2"/>
        <v>7738041.9800000004</v>
      </c>
      <c r="J50" s="599">
        <f>IF(J$18='5.Variables'!$B$16,+'5.Variables'!$I29,+IF(J$18='5.Variables'!$B$39,+'5.Variables'!$I52,+IF(J$18='5.Variables'!$B$62,+'5.Variables'!$I66,+IF(J$18='5.Variables'!$B$76,+'5.Variables'!$I80,+IF(J$18='5.Variables'!$B$90,+'5.Variables'!$I94,+IF(J$18='5.Variables'!$B$104,+'5.Variables'!$I108,0))))))</f>
        <v>9.3000000000000007</v>
      </c>
      <c r="K50" s="599">
        <f>IF(K$18='5.Variables'!$B$16,+'5.Variables'!$I28,+IF(K$18='5.Variables'!$B$39,+'5.Variables'!$I52,+IF(K$18='5.Variables'!$B$62,+'5.Variables'!$I66,+IF(K$18='5.Variables'!$B$76,+'5.Variables'!$I80,+IF(K$18='5.Variables'!$B$90,+'5.Variables'!$I94,+IF(K$18='5.Variables'!$B$104,+'5.Variables'!$I108,0))))))</f>
        <v>100</v>
      </c>
      <c r="L50" s="599">
        <f>IF(L$18='5.Variables'!$B$16,+'5.Variables'!$I28,+IF(L$18='5.Variables'!$B$39,+'5.Variables'!$I52,+IF(L$18='5.Variables'!$B$62,+'5.Variables'!$I66,+IF(L$18='5.Variables'!$B$76,+'5.Variables'!$I80,+IF(L$18='5.Variables'!$B$90,+'5.Variables'!$I94,+IF(L$18='5.Variables'!$B$104,+'5.Variables'!$I108,0))))))</f>
        <v>31</v>
      </c>
      <c r="M50" s="599">
        <f>IF(M$18='5.Variables'!$B$16,+'5.Variables'!$I28,+IF(M$18='5.Variables'!$B$39,+'5.Variables'!$I52,+IF(M$18='5.Variables'!$B$62,+'5.Variables'!$I66,+IF(M$18='5.Variables'!$B$76,+'5.Variables'!$I80,+IF(M$18='5.Variables'!$B$90,+'5.Variables'!$I94,+IF(M$18='5.Variables'!$B$104,+'5.Variables'!$I108,0))))))</f>
        <v>15.15</v>
      </c>
      <c r="N50" s="599">
        <f>IF(N$18='5.Variables'!$B$16,+'5.Variables'!$I28,+IF(N$18='5.Variables'!$B$39,+'5.Variables'!$I52,+IF(N$18='5.Variables'!$B$62,+'5.Variables'!$I66,+IF(N$18='5.Variables'!$B$76,+'5.Variables'!$I80,+IF(N$18='5.Variables'!$B$90,+'5.Variables'!$I94,+IF(N$18='5.Variables'!$B$104,+'5.Variables'!$I108,0))))))</f>
        <v>0</v>
      </c>
      <c r="O50" s="928">
        <v>0</v>
      </c>
      <c r="P50" s="200"/>
      <c r="Q50" s="469">
        <f t="shared" si="0"/>
        <v>7646219.4004583508</v>
      </c>
      <c r="R50" s="216"/>
      <c r="S50" s="200"/>
      <c r="T50" s="919">
        <f>'4. Customer Growth'!B21</f>
        <v>2017</v>
      </c>
      <c r="U50" s="931">
        <f>SUM(I68:I79)</f>
        <v>88171491.929999992</v>
      </c>
      <c r="V50" s="921">
        <f t="shared" si="4"/>
        <v>-1.0262955307192758E-2</v>
      </c>
      <c r="W50" s="931">
        <f>R79</f>
        <v>88229509.970870882</v>
      </c>
      <c r="X50" s="921">
        <f t="shared" si="4"/>
        <v>-2.0422724431824246E-2</v>
      </c>
      <c r="Y50" s="921">
        <f t="shared" si="3"/>
        <v>6.580136005518765E-4</v>
      </c>
      <c r="Z50" s="200"/>
      <c r="AA50" s="200"/>
      <c r="AB50" s="200"/>
      <c r="AC50" s="200"/>
      <c r="AD50" s="200"/>
      <c r="AE50" s="200"/>
      <c r="AF50" s="200"/>
      <c r="AG50" s="200"/>
      <c r="AH50" s="200"/>
      <c r="AI50" s="200"/>
      <c r="AJ50" s="200"/>
      <c r="AK50" s="200"/>
      <c r="AL50" s="200"/>
    </row>
    <row r="51" spans="1:38">
      <c r="A51" s="435">
        <f t="shared" si="1"/>
        <v>32</v>
      </c>
      <c r="B51" s="871" t="str">
        <f>CONCATENATE('3. Consumption by Rate Class'!B56,"-",'3. Consumption by Rate Class'!C56)</f>
        <v>2015-August</v>
      </c>
      <c r="C51" s="870">
        <v>7422834</v>
      </c>
      <c r="D51" s="934">
        <v>0</v>
      </c>
      <c r="E51" s="935">
        <v>-34207</v>
      </c>
      <c r="F51" s="935">
        <v>-52436.47</v>
      </c>
      <c r="G51" s="875"/>
      <c r="H51" s="875"/>
      <c r="I51" s="469">
        <f t="shared" si="2"/>
        <v>7336190.5300000003</v>
      </c>
      <c r="J51" s="599">
        <f>IF(J$18='5.Variables'!$B$16,+'5.Variables'!$J29,+IF(J$18='5.Variables'!$B$39,+'5.Variables'!$J52,+IF(J$18='5.Variables'!$B$62,+'5.Variables'!$J66,+IF(J$18='5.Variables'!$B$76,+'5.Variables'!$J80,+IF(J$18='5.Variables'!$B$90,+'5.Variables'!$J94,+IF(J$18='5.Variables'!$B$104,+'5.Variables'!$J108,0))))))</f>
        <v>5.6</v>
      </c>
      <c r="K51" s="599">
        <f>IF(K$18='5.Variables'!$B$16,+'5.Variables'!$J28,+IF(K$18='5.Variables'!$B$39,+'5.Variables'!$J52,+IF(K$18='5.Variables'!$B$62,+'5.Variables'!$J66,+IF(K$18='5.Variables'!$B$76,+'5.Variables'!$J80,+IF(K$18='5.Variables'!$B$90,+'5.Variables'!$J94,+IF(K$18='5.Variables'!$B$104,+'5.Variables'!$J108,0))))))</f>
        <v>67.400000000000006</v>
      </c>
      <c r="L51" s="599">
        <f>IF(L$18='5.Variables'!$B$16,+'5.Variables'!$J28,+IF(L$18='5.Variables'!$B$39,+'5.Variables'!$J52,+IF(L$18='5.Variables'!$B$62,+'5.Variables'!$J66,+IF(L$18='5.Variables'!$B$76,+'5.Variables'!$J80,+IF(L$18='5.Variables'!$B$90,+'5.Variables'!$J94,+IF(L$18='5.Variables'!$B$104,+'5.Variables'!$J108,0))))))</f>
        <v>31</v>
      </c>
      <c r="M51" s="599">
        <f>IF(M$18='5.Variables'!$B$16,+'5.Variables'!$J28,+IF(M$18='5.Variables'!$B$39,+'5.Variables'!$J52,+IF(M$18='5.Variables'!$B$62,+'5.Variables'!$J66,+IF(M$18='5.Variables'!$B$76,+'5.Variables'!$J80,+IF(M$18='5.Variables'!$B$90,+'5.Variables'!$J94,+IF(M$18='5.Variables'!$B$104,+'5.Variables'!$J108,0))))))</f>
        <v>14.03</v>
      </c>
      <c r="N51" s="599">
        <f>IF(N$18='5.Variables'!$B$16,+'5.Variables'!$J28,+IF(N$18='5.Variables'!$B$39,+'5.Variables'!$J52,+IF(N$18='5.Variables'!$B$62,+'5.Variables'!$J66,+IF(N$18='5.Variables'!$B$76,+'5.Variables'!$J80,+IF(N$18='5.Variables'!$B$90,+'5.Variables'!$J94,+IF(N$18='5.Variables'!$B$104,+'5.Variables'!$J108,0))))))</f>
        <v>0</v>
      </c>
      <c r="O51" s="928">
        <v>0</v>
      </c>
      <c r="P51" s="200"/>
      <c r="Q51" s="469">
        <f t="shared" si="0"/>
        <v>7134584.4612600384</v>
      </c>
      <c r="R51" s="216"/>
      <c r="S51" s="200"/>
      <c r="T51" s="919">
        <f>'4. Customer Growth'!B22</f>
        <v>2018</v>
      </c>
      <c r="U51" s="931">
        <f>SUM(I80:I91)</f>
        <v>89884663.680000007</v>
      </c>
      <c r="V51" s="921">
        <f t="shared" si="4"/>
        <v>1.9429996164294406E-2</v>
      </c>
      <c r="W51" s="931">
        <f>R91</f>
        <v>91059144.075471699</v>
      </c>
      <c r="X51" s="921">
        <f t="shared" si="4"/>
        <v>3.2071288909289251E-2</v>
      </c>
      <c r="Y51" s="921">
        <f t="shared" si="3"/>
        <v>1.306652711805187E-2</v>
      </c>
      <c r="Z51" s="200"/>
      <c r="AA51" s="200"/>
      <c r="AB51" s="200"/>
      <c r="AC51" s="200"/>
      <c r="AD51" s="200"/>
      <c r="AE51" s="200"/>
      <c r="AF51" s="200"/>
      <c r="AG51" s="200"/>
      <c r="AH51" s="200"/>
      <c r="AI51" s="200"/>
      <c r="AJ51" s="200"/>
      <c r="AK51" s="200"/>
      <c r="AL51" s="200"/>
    </row>
    <row r="52" spans="1:38">
      <c r="A52" s="435">
        <f t="shared" si="1"/>
        <v>33</v>
      </c>
      <c r="B52" s="871" t="str">
        <f>CONCATENATE('3. Consumption by Rate Class'!B57,"-",'3. Consumption by Rate Class'!C57)</f>
        <v>2015-September</v>
      </c>
      <c r="C52" s="870">
        <v>7183196</v>
      </c>
      <c r="D52" s="934">
        <v>0</v>
      </c>
      <c r="E52" s="935">
        <v>-34207</v>
      </c>
      <c r="F52" s="935">
        <v>-58560.43</v>
      </c>
      <c r="G52" s="875"/>
      <c r="H52" s="875"/>
      <c r="I52" s="469">
        <f t="shared" si="2"/>
        <v>7090428.5700000003</v>
      </c>
      <c r="J52" s="599">
        <f>IF(J$18='5.Variables'!$B$16,+'5.Variables'!$K29,+IF(J$18='5.Variables'!$B$39,+'5.Variables'!$K52,+IF(J$18='5.Variables'!$B$62,+'5.Variables'!$K66,+IF(J$18='5.Variables'!$B$76,+'5.Variables'!$K80,+IF(J$18='5.Variables'!$B$90,+'5.Variables'!$K94,+IF(J$18='5.Variables'!$B$104,+'5.Variables'!$K108,0))))))</f>
        <v>48.4</v>
      </c>
      <c r="K52" s="599">
        <f>IF(K$18='5.Variables'!$B$16,+'5.Variables'!$K28,+IF(K$18='5.Variables'!$B$39,+'5.Variables'!$K52,+IF(K$18='5.Variables'!$B$62,+'5.Variables'!$K66,+IF(K$18='5.Variables'!$B$76,+'5.Variables'!$K80,+IF(K$18='5.Variables'!$B$90,+'5.Variables'!$K94,+IF(K$18='5.Variables'!$B$104,+'5.Variables'!$K108,0))))))</f>
        <v>46.5</v>
      </c>
      <c r="L52" s="599">
        <f>IF(L$18='5.Variables'!$B$16,+'5.Variables'!$K28,+IF(L$18='5.Variables'!$B$39,+'5.Variables'!$K52,+IF(L$18='5.Variables'!$B$62,+'5.Variables'!$K66,+IF(L$18='5.Variables'!$B$76,+'5.Variables'!$K80,+IF(L$18='5.Variables'!$B$90,+'5.Variables'!$K94,+IF(L$18='5.Variables'!$B$104,+'5.Variables'!$K108,0))))))</f>
        <v>30</v>
      </c>
      <c r="M52" s="599">
        <f>IF(M$18='5.Variables'!$B$16,+'5.Variables'!$K28,+IF(M$18='5.Variables'!$B$39,+'5.Variables'!$K52,+IF(M$18='5.Variables'!$B$62,+'5.Variables'!$K66,+IF(M$18='5.Variables'!$B$76,+'5.Variables'!$K80,+IF(M$18='5.Variables'!$B$90,+'5.Variables'!$K94,+IF(M$18='5.Variables'!$B$104,+'5.Variables'!$K108,0))))))</f>
        <v>12.29</v>
      </c>
      <c r="N52" s="599">
        <f>IF(N$18='5.Variables'!$B$16,+'5.Variables'!$K28,+IF(N$18='5.Variables'!$B$39,+'5.Variables'!$K52,+IF(N$18='5.Variables'!$B$62,+'5.Variables'!$K66,+IF(N$18='5.Variables'!$B$76,+'5.Variables'!$K80,+IF(N$18='5.Variables'!$B$90,+'5.Variables'!$K94,+IF(N$18='5.Variables'!$B$104,+'5.Variables'!$K108,0))))))</f>
        <v>0</v>
      </c>
      <c r="O52" s="928">
        <v>0</v>
      </c>
      <c r="P52" s="200"/>
      <c r="Q52" s="469">
        <f t="shared" si="0"/>
        <v>6781690.6615468524</v>
      </c>
      <c r="R52" s="216"/>
      <c r="S52" s="200"/>
      <c r="T52" s="919">
        <f>'4. Customer Growth'!B23</f>
        <v>2019</v>
      </c>
      <c r="U52" s="931">
        <f>SUM(I92:I103)</f>
        <v>89565183.469999999</v>
      </c>
      <c r="V52" s="921">
        <f t="shared" si="4"/>
        <v>-3.5543350435998239E-3</v>
      </c>
      <c r="W52" s="931">
        <f>R103:R103</f>
        <v>89389191.658139586</v>
      </c>
      <c r="X52" s="921">
        <f t="shared" si="4"/>
        <v>-1.8339206175142848E-2</v>
      </c>
      <c r="Y52" s="921">
        <f t="shared" si="3"/>
        <v>-1.964957866907749E-3</v>
      </c>
      <c r="Z52" s="200"/>
      <c r="AA52" s="200"/>
      <c r="AB52" s="200"/>
      <c r="AC52" s="200"/>
      <c r="AD52" s="200"/>
      <c r="AE52" s="200"/>
      <c r="AF52" s="200"/>
      <c r="AG52" s="200"/>
      <c r="AH52" s="200"/>
      <c r="AI52" s="200"/>
      <c r="AJ52" s="200"/>
      <c r="AK52" s="200"/>
      <c r="AL52" s="200"/>
    </row>
    <row r="53" spans="1:38">
      <c r="A53" s="435">
        <f t="shared" si="1"/>
        <v>34</v>
      </c>
      <c r="B53" s="871" t="str">
        <f>CONCATENATE('3. Consumption by Rate Class'!B58,"-",'3. Consumption by Rate Class'!C58)</f>
        <v>2015-October</v>
      </c>
      <c r="C53" s="870">
        <v>6840217</v>
      </c>
      <c r="D53" s="934">
        <v>0</v>
      </c>
      <c r="E53" s="935">
        <v>-34207</v>
      </c>
      <c r="F53" s="935">
        <v>-69149.34</v>
      </c>
      <c r="G53" s="875"/>
      <c r="H53" s="875"/>
      <c r="I53" s="469">
        <f t="shared" si="2"/>
        <v>6736860.6600000001</v>
      </c>
      <c r="J53" s="599">
        <f>IF(J$18='5.Variables'!$B$16,+'5.Variables'!$L29,+IF(J$18='5.Variables'!$B$39,+'5.Variables'!$L52,+IF(J$18='5.Variables'!$B$62,+'5.Variables'!$L66,+IF(J$18='5.Variables'!$B$76,+'5.Variables'!$L80,+IF(J$18='5.Variables'!$B$90,+'5.Variables'!$L94,+IF(J$18='5.Variables'!$B$104,+'5.Variables'!$L108,0))))))</f>
        <v>337.3</v>
      </c>
      <c r="K53" s="599">
        <f>IF(K$18='5.Variables'!$B$16,+'5.Variables'!$L28,+IF(K$18='5.Variables'!$B$39,+'5.Variables'!$L52,+IF(K$18='5.Variables'!$B$62,+'5.Variables'!$L66,+IF(K$18='5.Variables'!$B$76,+'5.Variables'!$L80,+IF(K$18='5.Variables'!$B$90,+'5.Variables'!$L94,+IF(K$18='5.Variables'!$B$104,+'5.Variables'!$L108,0))))))</f>
        <v>0</v>
      </c>
      <c r="L53" s="599">
        <f>IF(L$18='5.Variables'!$B$16,+'5.Variables'!$L28,+IF(L$18='5.Variables'!$B$39,+'5.Variables'!$L52,+IF(L$18='5.Variables'!$B$62,+'5.Variables'!$L66,+IF(L$18='5.Variables'!$B$76,+'5.Variables'!$L80,+IF(L$18='5.Variables'!$B$90,+'5.Variables'!$L94,+IF(L$18='5.Variables'!$B$104,+'5.Variables'!$L108,0))))))</f>
        <v>31</v>
      </c>
      <c r="M53" s="599">
        <f>IF(M$18='5.Variables'!$B$16,+'5.Variables'!$L28,+IF(M$18='5.Variables'!$B$39,+'5.Variables'!$L52,+IF(M$18='5.Variables'!$B$62,+'5.Variables'!$L66,+IF(M$18='5.Variables'!$B$76,+'5.Variables'!$L80,+IF(M$18='5.Variables'!$B$90,+'5.Variables'!$L94,+IF(M$18='5.Variables'!$B$104,+'5.Variables'!$L108,0))))))</f>
        <v>10.51</v>
      </c>
      <c r="N53" s="599">
        <f>IF(N$18='5.Variables'!$B$16,+'5.Variables'!$L28,+IF(N$18='5.Variables'!$B$39,+'5.Variables'!$L52,+IF(N$18='5.Variables'!$B$62,+'5.Variables'!$L66,+IF(N$18='5.Variables'!$B$76,+'5.Variables'!$L80,+IF(N$18='5.Variables'!$B$90,+'5.Variables'!$L94,+IF(N$18='5.Variables'!$B$104,+'5.Variables'!$L108,0))))))</f>
        <v>0</v>
      </c>
      <c r="O53" s="928">
        <v>0</v>
      </c>
      <c r="P53" s="200"/>
      <c r="Q53" s="469">
        <f t="shared" si="0"/>
        <v>7078621.5942727346</v>
      </c>
      <c r="R53" s="216"/>
      <c r="S53" s="200"/>
      <c r="T53" s="919">
        <f>'4. Customer Growth'!B24</f>
        <v>2020</v>
      </c>
      <c r="U53" s="931">
        <f>SUM(I104:I115)</f>
        <v>87584142.184</v>
      </c>
      <c r="V53" s="921">
        <f t="shared" si="4"/>
        <v>-2.2118430502222456E-2</v>
      </c>
      <c r="W53" s="931">
        <f>R115</f>
        <v>90085048.360016435</v>
      </c>
      <c r="X53" s="921">
        <f t="shared" si="4"/>
        <v>7.7845731566528352E-3</v>
      </c>
      <c r="Y53" s="921">
        <f t="shared" si="3"/>
        <v>2.8554326315857942E-2</v>
      </c>
      <c r="Z53" s="200"/>
      <c r="AA53" s="200"/>
      <c r="AB53" s="200"/>
      <c r="AC53" s="200"/>
      <c r="AD53" s="200"/>
      <c r="AE53" s="200"/>
      <c r="AF53" s="200"/>
      <c r="AG53" s="200"/>
      <c r="AH53" s="200"/>
      <c r="AI53" s="200"/>
      <c r="AJ53" s="200"/>
      <c r="AK53" s="200"/>
      <c r="AL53" s="200"/>
    </row>
    <row r="54" spans="1:38">
      <c r="A54" s="435">
        <f t="shared" si="1"/>
        <v>35</v>
      </c>
      <c r="B54" s="871" t="str">
        <f>CONCATENATE('3. Consumption by Rate Class'!B59,"-",'3. Consumption by Rate Class'!C59)</f>
        <v>2015-November</v>
      </c>
      <c r="C54" s="870">
        <v>7093015</v>
      </c>
      <c r="D54" s="934">
        <v>0</v>
      </c>
      <c r="E54" s="935">
        <v>-34207</v>
      </c>
      <c r="F54" s="935">
        <v>-74082.78</v>
      </c>
      <c r="G54" s="875"/>
      <c r="H54" s="875"/>
      <c r="I54" s="469">
        <f t="shared" si="2"/>
        <v>6984725.2199999997</v>
      </c>
      <c r="J54" s="599">
        <f>IF(J$18='5.Variables'!$B$16,+'5.Variables'!$M29,+IF(J$18='5.Variables'!$B$39,+'5.Variables'!$M52,+IF(J$18='5.Variables'!$B$62,+'5.Variables'!$M66,+IF(J$18='5.Variables'!$B$76,+'5.Variables'!$M80,+IF(J$18='5.Variables'!$B$90,+'5.Variables'!$M94,+IF(J$18='5.Variables'!$B$104,+'5.Variables'!$M108,0))))))</f>
        <v>429</v>
      </c>
      <c r="K54" s="599">
        <f>IF(K$18='5.Variables'!$B$16,+'5.Variables'!$M28,+IF(K$18='5.Variables'!$B$39,+'5.Variables'!$M52,+IF(K$18='5.Variables'!$B$62,+'5.Variables'!$M66,+IF(K$18='5.Variables'!$B$76,+'5.Variables'!$M80,+IF(K$18='5.Variables'!$B$90,+'5.Variables'!$M94,+IF(K$18='5.Variables'!$B$104,+'5.Variables'!$M108,0))))))</f>
        <v>0</v>
      </c>
      <c r="L54" s="599">
        <f>IF(L$18='5.Variables'!$B$16,+'5.Variables'!$M28,+IF(L$18='5.Variables'!$B$39,+'5.Variables'!$M52,+IF(L$18='5.Variables'!$B$62,+'5.Variables'!$M66,+IF(L$18='5.Variables'!$B$76,+'5.Variables'!$M80,+IF(L$18='5.Variables'!$B$90,+'5.Variables'!$M94,+IF(L$18='5.Variables'!$B$104,+'5.Variables'!$M108,0))))))</f>
        <v>30</v>
      </c>
      <c r="M54" s="599">
        <f>IF(M$18='5.Variables'!$B$16,+'5.Variables'!$M28,+IF(M$18='5.Variables'!$B$39,+'5.Variables'!$M52,+IF(M$18='5.Variables'!$B$62,+'5.Variables'!$M66,+IF(M$18='5.Variables'!$B$76,+'5.Variables'!$M80,+IF(M$18='5.Variables'!$B$90,+'5.Variables'!$M94,+IF(M$18='5.Variables'!$B$104,+'5.Variables'!$M108,0))))))</f>
        <v>9.2799999999999994</v>
      </c>
      <c r="N54" s="599">
        <f>IF(N$18='5.Variables'!$B$16,+'5.Variables'!$M28,+IF(N$18='5.Variables'!$B$39,+'5.Variables'!$M52,+IF(N$18='5.Variables'!$B$62,+'5.Variables'!$M66,+IF(N$18='5.Variables'!$B$76,+'5.Variables'!$M80,+IF(N$18='5.Variables'!$B$90,+'5.Variables'!$M94,+IF(N$18='5.Variables'!$B$104,+'5.Variables'!$M108,0))))))</f>
        <v>0</v>
      </c>
      <c r="O54" s="928">
        <v>0</v>
      </c>
      <c r="P54" s="200"/>
      <c r="Q54" s="469">
        <f t="shared" si="0"/>
        <v>7191099.7310920376</v>
      </c>
      <c r="R54" s="216"/>
      <c r="S54" s="200"/>
      <c r="T54" s="919">
        <f>'4. Customer Growth'!B25</f>
        <v>2021</v>
      </c>
      <c r="U54" s="931">
        <f>SUM(I116:I127)</f>
        <v>87828569.654158607</v>
      </c>
      <c r="V54" s="921">
        <f t="shared" si="4"/>
        <v>2.7907731247182226E-3</v>
      </c>
      <c r="W54" s="931">
        <f>R127</f>
        <v>88573665.33966735</v>
      </c>
      <c r="X54" s="921">
        <f t="shared" si="4"/>
        <v>-1.6777290436799069E-2</v>
      </c>
      <c r="Y54" s="921">
        <f t="shared" si="3"/>
        <v>8.4835229406865706E-3</v>
      </c>
      <c r="Z54" s="200"/>
      <c r="AA54" s="200"/>
      <c r="AB54" s="200"/>
      <c r="AC54" s="200"/>
      <c r="AD54" s="200"/>
      <c r="AE54" s="200"/>
      <c r="AF54" s="200"/>
      <c r="AG54" s="200"/>
      <c r="AH54" s="200"/>
      <c r="AI54" s="200"/>
      <c r="AJ54" s="200"/>
      <c r="AK54" s="200"/>
      <c r="AL54" s="200"/>
    </row>
    <row r="55" spans="1:38">
      <c r="A55" s="435">
        <f t="shared" si="1"/>
        <v>36</v>
      </c>
      <c r="B55" s="451" t="str">
        <f>CONCATENATE('3. Consumption by Rate Class'!B60,"-",'3. Consumption by Rate Class'!C60)</f>
        <v>2015-December</v>
      </c>
      <c r="C55" s="584">
        <v>7532024</v>
      </c>
      <c r="D55" s="940">
        <v>0</v>
      </c>
      <c r="E55" s="939">
        <v>-34207</v>
      </c>
      <c r="F55" s="939">
        <v>-80079.97</v>
      </c>
      <c r="G55" s="880"/>
      <c r="H55" s="880"/>
      <c r="I55" s="881">
        <f t="shared" si="2"/>
        <v>7417737.0300000003</v>
      </c>
      <c r="J55" s="599">
        <f>IF(J$18='5.Variables'!$B$16,+'5.Variables'!$N29,+IF(J$18='5.Variables'!$B$39,+'5.Variables'!$N52,+IF(J$18='5.Variables'!$B$62,+'5.Variables'!$N66,+IF(J$18='5.Variables'!$B$76,+'5.Variables'!$N80,+IF(J$18='5.Variables'!$B$90,+'5.Variables'!$N94,+IF(J$18='5.Variables'!$B$104,+'5.Variables'!$N108,0))))))</f>
        <v>519.9</v>
      </c>
      <c r="K55" s="599">
        <f>IF(K$18='5.Variables'!$B$16,+'5.Variables'!$N28,+IF(K$18='5.Variables'!$B$39,+'5.Variables'!$N52,+IF(K$18='5.Variables'!$B$62,+'5.Variables'!$N66,+IF(K$18='5.Variables'!$B$76,+'5.Variables'!$N80,+IF(K$18='5.Variables'!$B$90,+'5.Variables'!$N94,+IF(K$18='5.Variables'!$B$104,+'5.Variables'!$N108,0))))))</f>
        <v>0</v>
      </c>
      <c r="L55" s="599">
        <f>IF(L$18='5.Variables'!$B$16,+'5.Variables'!$N28,+IF(L$18='5.Variables'!$B$39,+'5.Variables'!$N52,+IF(L$18='5.Variables'!$B$62,+'5.Variables'!$N66,+IF(L$18='5.Variables'!$B$76,+'5.Variables'!$N80,+IF(L$18='5.Variables'!$B$90,+'5.Variables'!$N94,+IF(L$18='5.Variables'!$B$104,+'5.Variables'!$N108,0))))))</f>
        <v>31</v>
      </c>
      <c r="M55" s="599">
        <f>IF(M$18='5.Variables'!$B$16,+'5.Variables'!$N28,+IF(M$18='5.Variables'!$B$39,+'5.Variables'!$N52,+IF(M$18='5.Variables'!$B$62,+'5.Variables'!$N66,+IF(M$18='5.Variables'!$B$76,+'5.Variables'!$N80,+IF(M$18='5.Variables'!$B$90,+'5.Variables'!$N94,+IF(M$18='5.Variables'!$B$104,+'5.Variables'!$N108,0))))))</f>
        <v>8.4700000000000006</v>
      </c>
      <c r="N55" s="599">
        <f>IF(N$18='5.Variables'!$B$16,+'5.Variables'!$N28,+IF(N$18='5.Variables'!$B$39,+'5.Variables'!$N52,+IF(N$18='5.Variables'!$B$62,+'5.Variables'!$N66,+IF(N$18='5.Variables'!$B$76,+'5.Variables'!$N80,+IF(N$18='5.Variables'!$B$90,+'5.Variables'!$N94,+IF(N$18='5.Variables'!$B$104,+'5.Variables'!$N108,0))))))</f>
        <v>0</v>
      </c>
      <c r="O55" s="928">
        <v>0</v>
      </c>
      <c r="P55" s="200"/>
      <c r="Q55" s="469">
        <f t="shared" si="0"/>
        <v>7617696.7355580954</v>
      </c>
      <c r="R55" s="216">
        <f>SUM(Q44:Q55)</f>
        <v>89116051.604816481</v>
      </c>
      <c r="S55" s="200"/>
      <c r="T55" s="919">
        <f>'4. Customer Growth'!B26</f>
        <v>2022</v>
      </c>
      <c r="U55" s="931">
        <f>SUM(I128:I139)</f>
        <v>90017844.810154736</v>
      </c>
      <c r="V55" s="921">
        <f t="shared" si="4"/>
        <v>2.4926685754041181E-2</v>
      </c>
      <c r="W55" s="931">
        <f>R139</f>
        <v>88419627.065925986</v>
      </c>
      <c r="X55" s="921">
        <f t="shared" si="4"/>
        <v>-1.7390978814148619E-3</v>
      </c>
      <c r="Y55" s="921">
        <f t="shared" si="3"/>
        <v>-1.7754454659510564E-2</v>
      </c>
      <c r="Z55" s="200"/>
      <c r="AA55" s="200"/>
      <c r="AB55" s="200"/>
      <c r="AC55" s="200"/>
      <c r="AD55" s="200"/>
      <c r="AE55" s="200"/>
      <c r="AF55" s="200"/>
      <c r="AG55" s="200"/>
      <c r="AH55" s="200"/>
      <c r="AI55" s="200"/>
      <c r="AJ55" s="200"/>
      <c r="AK55" s="200"/>
      <c r="AL55" s="200"/>
    </row>
    <row r="56" spans="1:38">
      <c r="A56" s="435">
        <f t="shared" si="1"/>
        <v>37</v>
      </c>
      <c r="B56" s="871" t="str">
        <f>CONCATENATE('3. Consumption by Rate Class'!B61,"-",'3. Consumption by Rate Class'!C61)</f>
        <v>2016-January</v>
      </c>
      <c r="C56" s="870">
        <v>8537882.3000000007</v>
      </c>
      <c r="D56" s="934">
        <v>0</v>
      </c>
      <c r="E56" s="935">
        <v>0</v>
      </c>
      <c r="F56" s="935">
        <v>-78165.42</v>
      </c>
      <c r="G56" s="875"/>
      <c r="H56" s="875"/>
      <c r="I56" s="469">
        <f t="shared" si="2"/>
        <v>8459716.8800000008</v>
      </c>
      <c r="J56" s="599">
        <f>IF(J$18='5.Variables'!$B$16,+'5.Variables'!$C30,+IF(J$18='5.Variables'!$B$39,+'5.Variables'!$C53,+IF(J$18='5.Variables'!$B$62,+'5.Variables'!$C67,+IF(J$18='5.Variables'!$B$76,+'5.Variables'!$C81,+IF(J$18='5.Variables'!$B$90,+'5.Variables'!$C95,+IF(J$18='5.Variables'!$B$104,+'5.Variables'!$C109,0))))))</f>
        <v>804.8</v>
      </c>
      <c r="K56" s="599">
        <f>IF(K$18='5.Variables'!$B$16,+'5.Variables'!$C29,+IF(K$18='5.Variables'!$B$39,+'5.Variables'!$C53,+IF(K$18='5.Variables'!$B$62,+'5.Variables'!$C67,+IF(K$18='5.Variables'!$B$76,+'5.Variables'!$C81,+IF(K$18='5.Variables'!$B$90,+'5.Variables'!$C95,+IF(K$18='5.Variables'!$B$104,+'5.Variables'!$C109,0))))))</f>
        <v>0</v>
      </c>
      <c r="L56" s="599">
        <f>IF(L$18='5.Variables'!$B$16,+'5.Variables'!$C29,+IF(L$18='5.Variables'!$B$39,+'5.Variables'!$C53,+IF(L$18='5.Variables'!$B$62,+'5.Variables'!$C67,+IF(L$18='5.Variables'!$B$76,+'5.Variables'!$C81,+IF(L$18='5.Variables'!$B$90,+'5.Variables'!$C95,+IF(L$18='5.Variables'!$B$104,+'5.Variables'!$C109,0))))))</f>
        <v>31</v>
      </c>
      <c r="M56" s="599">
        <f>IF(M$18='5.Variables'!$B$16,+'5.Variables'!$C29,+IF(M$18='5.Variables'!$B$39,+'5.Variables'!$C53,+IF(M$18='5.Variables'!$B$62,+'5.Variables'!$C67,+IF(M$18='5.Variables'!$B$76,+'5.Variables'!$C81,+IF(M$18='5.Variables'!$B$90,+'5.Variables'!$C95,+IF(M$18='5.Variables'!$B$104,+'5.Variables'!$C109,0))))))</f>
        <v>9.09</v>
      </c>
      <c r="N56" s="599">
        <f>IF(N$18='5.Variables'!$B$16,+'5.Variables'!$C29,+IF(N$18='5.Variables'!$B$39,+'5.Variables'!$C53,+IF(N$18='5.Variables'!$B$62,+'5.Variables'!$C67,+IF(N$18='5.Variables'!$B$76,+'5.Variables'!$C81,+IF(N$18='5.Variables'!$B$90,+'5.Variables'!$C95,+IF(N$18='5.Variables'!$B$104,+'5.Variables'!$C109,0))))))</f>
        <v>0</v>
      </c>
      <c r="O56" s="928">
        <v>0</v>
      </c>
      <c r="P56" s="200"/>
      <c r="Q56" s="469">
        <f t="shared" si="0"/>
        <v>8458783.8535876665</v>
      </c>
      <c r="R56" s="216"/>
      <c r="S56" s="200"/>
      <c r="T56" s="603"/>
      <c r="U56" s="604"/>
      <c r="V56" s="605"/>
      <c r="W56" s="604"/>
      <c r="X56" s="605"/>
      <c r="Y56" s="605"/>
      <c r="Z56" s="200"/>
      <c r="AA56" s="200"/>
      <c r="AB56" s="200"/>
      <c r="AC56" s="200"/>
      <c r="AD56" s="200"/>
      <c r="AE56" s="200"/>
      <c r="AF56" s="200"/>
      <c r="AG56" s="200"/>
      <c r="AH56" s="200"/>
      <c r="AI56" s="200"/>
      <c r="AJ56" s="200"/>
      <c r="AK56" s="200"/>
      <c r="AL56" s="200"/>
    </row>
    <row r="57" spans="1:38">
      <c r="A57" s="435">
        <f t="shared" si="1"/>
        <v>38</v>
      </c>
      <c r="B57" s="871" t="str">
        <f>CONCATENATE('3. Consumption by Rate Class'!B62,"-",'3. Consumption by Rate Class'!C62)</f>
        <v>2016-February</v>
      </c>
      <c r="C57" s="870">
        <v>8138281</v>
      </c>
      <c r="D57" s="934">
        <v>0</v>
      </c>
      <c r="E57" s="935">
        <v>0</v>
      </c>
      <c r="F57" s="935">
        <v>-73452.110000000015</v>
      </c>
      <c r="G57" s="875"/>
      <c r="H57" s="875"/>
      <c r="I57" s="469">
        <f t="shared" si="2"/>
        <v>8064828.8899999997</v>
      </c>
      <c r="J57" s="599">
        <f>IF(J$18='5.Variables'!$B$16,+'5.Variables'!$D30,+IF(J$18='5.Variables'!$B$39,+'5.Variables'!$D53,+IF(J$18='5.Variables'!$B$62,+'5.Variables'!$D67,+IF(J$18='5.Variables'!$B$76,+'5.Variables'!$D81,+IF(J$18='5.Variables'!$B$90,+'5.Variables'!$D95,+IF(J$18='5.Variables'!$B$104,+'5.Variables'!$D109,0))))))</f>
        <v>756.3</v>
      </c>
      <c r="K57" s="599">
        <f>IF(K$18='5.Variables'!$B$16,+'5.Variables'!$D29,+IF(K$18='5.Variables'!$B$39,+'5.Variables'!$D53,+IF(K$18='5.Variables'!$B$62,+'5.Variables'!$D67,+IF(K$18='5.Variables'!$B$76,+'5.Variables'!$D81,+IF(K$18='5.Variables'!$B$90,+'5.Variables'!$D95,+IF(K$18='5.Variables'!$B$104,+'5.Variables'!$D109,0))))))</f>
        <v>0</v>
      </c>
      <c r="L57" s="599">
        <f>IF(L$18='5.Variables'!$B$16,+'5.Variables'!$D29,+IF(L$18='5.Variables'!$B$39,+'5.Variables'!$D53,+IF(L$18='5.Variables'!$B$62,+'5.Variables'!$D67,+IF(L$18='5.Variables'!$B$76,+'5.Variables'!$D81,+IF(L$18='5.Variables'!$B$90,+'5.Variables'!$D95,+IF(L$18='5.Variables'!$B$104,+'5.Variables'!$D109,0))))))</f>
        <v>29</v>
      </c>
      <c r="M57" s="599">
        <f>IF(M$18='5.Variables'!$B$16,+'5.Variables'!$D29,+IF(M$18='5.Variables'!$B$39,+'5.Variables'!$D53,+IF(M$18='5.Variables'!$B$62,+'5.Variables'!$D67,+IF(M$18='5.Variables'!$B$76,+'5.Variables'!$D81,+IF(M$18='5.Variables'!$B$90,+'5.Variables'!$D95,+IF(M$18='5.Variables'!$B$104,+'5.Variables'!$D109,0))))))</f>
        <v>10.19</v>
      </c>
      <c r="N57" s="599">
        <f>IF(N$18='5.Variables'!$B$16,+'5.Variables'!$D29,+IF(N$18='5.Variables'!$B$39,+'5.Variables'!$D53,+IF(N$18='5.Variables'!$B$62,+'5.Variables'!$D67,+IF(N$18='5.Variables'!$B$76,+'5.Variables'!$D81,+IF(N$18='5.Variables'!$B$90,+'5.Variables'!$D95,+IF(N$18='5.Variables'!$B$104,+'5.Variables'!$D109,0))))))</f>
        <v>0</v>
      </c>
      <c r="O57" s="928">
        <v>0</v>
      </c>
      <c r="P57" s="200"/>
      <c r="Q57" s="469">
        <f t="shared" si="0"/>
        <v>7999120.6022313368</v>
      </c>
      <c r="R57" s="216"/>
      <c r="S57" s="200"/>
      <c r="T57" s="200"/>
      <c r="U57" s="220"/>
      <c r="V57" s="220"/>
      <c r="W57" s="221"/>
      <c r="X57" s="200"/>
      <c r="Y57" s="200"/>
      <c r="Z57" s="200"/>
      <c r="AA57" s="200"/>
      <c r="AB57" s="200"/>
      <c r="AC57" s="200"/>
      <c r="AD57" s="200"/>
      <c r="AE57" s="200"/>
      <c r="AF57" s="200"/>
      <c r="AG57" s="200"/>
      <c r="AH57" s="200"/>
      <c r="AI57" s="200"/>
      <c r="AJ57" s="200"/>
      <c r="AK57" s="200"/>
      <c r="AL57" s="200"/>
    </row>
    <row r="58" spans="1:38">
      <c r="A58" s="435">
        <f t="shared" si="1"/>
        <v>39</v>
      </c>
      <c r="B58" s="871" t="str">
        <f>CONCATENATE('3. Consumption by Rate Class'!B63,"-",'3. Consumption by Rate Class'!C63)</f>
        <v>2016-March</v>
      </c>
      <c r="C58" s="870">
        <v>7812372.5999999996</v>
      </c>
      <c r="D58" s="934">
        <v>0</v>
      </c>
      <c r="E58" s="935">
        <v>0</v>
      </c>
      <c r="F58" s="935">
        <v>-63508.26</v>
      </c>
      <c r="G58" s="875"/>
      <c r="H58" s="875"/>
      <c r="I58" s="469">
        <f t="shared" si="2"/>
        <v>7748864.3399999999</v>
      </c>
      <c r="J58" s="599">
        <f>IF(J$18='5.Variables'!$B$16,+'5.Variables'!$E30,+IF(J$18='5.Variables'!$B$39,+'5.Variables'!$E53,+IF(J$18='5.Variables'!$B$62,+'5.Variables'!$E67,+IF(J$18='5.Variables'!$B$76,+'5.Variables'!$E81,+IF(J$18='5.Variables'!$B$90,+'5.Variables'!$E95,+IF(J$18='5.Variables'!$B$104,+'5.Variables'!$E109,0))))))</f>
        <v>591.4</v>
      </c>
      <c r="K58" s="599">
        <f>IF(K$18='5.Variables'!$B$16,+'5.Variables'!$E29,+IF(K$18='5.Variables'!$B$39,+'5.Variables'!$E53,+IF(K$18='5.Variables'!$B$62,+'5.Variables'!$E67,+IF(K$18='5.Variables'!$B$76,+'5.Variables'!$E81,+IF(K$18='5.Variables'!$B$90,+'5.Variables'!$E95,+IF(K$18='5.Variables'!$B$104,+'5.Variables'!$E109,0))))))</f>
        <v>0</v>
      </c>
      <c r="L58" s="599">
        <f>IF(L$18='5.Variables'!$B$16,+'5.Variables'!$E29,+IF(L$18='5.Variables'!$B$39,+'5.Variables'!$E53,+IF(L$18='5.Variables'!$B$62,+'5.Variables'!$E67,+IF(L$18='5.Variables'!$B$76,+'5.Variables'!$E81,+IF(L$18='5.Variables'!$B$90,+'5.Variables'!$E95,+IF(L$18='5.Variables'!$B$104,+'5.Variables'!$E109,0))))))</f>
        <v>31</v>
      </c>
      <c r="M58" s="599">
        <f>IF(M$18='5.Variables'!$B$16,+'5.Variables'!$E29,+IF(M$18='5.Variables'!$B$39,+'5.Variables'!$E53,+IF(M$18='5.Variables'!$B$62,+'5.Variables'!$E67,+IF(M$18='5.Variables'!$B$76,+'5.Variables'!$E81,+IF(M$18='5.Variables'!$B$90,+'5.Variables'!$E95,+IF(M$18='5.Variables'!$B$104,+'5.Variables'!$E109,0))))))</f>
        <v>11.51</v>
      </c>
      <c r="N58" s="599">
        <f>IF(N$18='5.Variables'!$B$16,+'5.Variables'!$E29,+IF(N$18='5.Variables'!$B$39,+'5.Variables'!$E53,+IF(N$18='5.Variables'!$B$62,+'5.Variables'!$E67,+IF(N$18='5.Variables'!$B$76,+'5.Variables'!$E81,+IF(N$18='5.Variables'!$B$90,+'5.Variables'!$E95,+IF(N$18='5.Variables'!$B$104,+'5.Variables'!$E109,0))))))</f>
        <v>0</v>
      </c>
      <c r="O58" s="928">
        <v>0</v>
      </c>
      <c r="P58" s="200"/>
      <c r="Q58" s="469">
        <f t="shared" si="0"/>
        <v>7828780.3752180263</v>
      </c>
      <c r="R58" s="216"/>
      <c r="S58" s="200"/>
      <c r="T58" s="203" t="s">
        <v>33</v>
      </c>
      <c r="U58" s="203" t="s">
        <v>43</v>
      </c>
      <c r="V58" s="203" t="s">
        <v>31</v>
      </c>
      <c r="W58" s="203" t="s">
        <v>30</v>
      </c>
      <c r="X58" s="200"/>
      <c r="Y58" s="200"/>
      <c r="Z58" s="200"/>
      <c r="AA58" s="200"/>
      <c r="AB58" s="200"/>
      <c r="AC58" s="200"/>
      <c r="AD58" s="200"/>
      <c r="AE58" s="200"/>
      <c r="AF58" s="200"/>
      <c r="AG58" s="200"/>
      <c r="AH58" s="200"/>
      <c r="AI58" s="200"/>
      <c r="AJ58" s="200"/>
      <c r="AK58" s="200"/>
      <c r="AL58" s="200"/>
    </row>
    <row r="59" spans="1:38">
      <c r="A59" s="435">
        <f t="shared" si="1"/>
        <v>40</v>
      </c>
      <c r="B59" s="871" t="str">
        <f>CONCATENATE('3. Consumption by Rate Class'!B64,"-",'3. Consumption by Rate Class'!C64)</f>
        <v>2016-April</v>
      </c>
      <c r="C59" s="870">
        <v>6841396.5</v>
      </c>
      <c r="D59" s="934">
        <v>0</v>
      </c>
      <c r="E59" s="935">
        <v>0</v>
      </c>
      <c r="F59" s="935">
        <v>-53159.5</v>
      </c>
      <c r="G59" s="875"/>
      <c r="H59" s="875"/>
      <c r="I59" s="469">
        <f t="shared" si="2"/>
        <v>6788237</v>
      </c>
      <c r="J59" s="599">
        <f>IF(J$18='5.Variables'!$B$16,+'5.Variables'!$F30,+IF(J$18='5.Variables'!$B$39,+'5.Variables'!$F53,+IF(J$18='5.Variables'!$B$62,+'5.Variables'!$F67,+IF(J$18='5.Variables'!$B$76,+'5.Variables'!$F81,+IF(J$18='5.Variables'!$B$90,+'5.Variables'!$F95,+IF(J$18='5.Variables'!$B$104,+'5.Variables'!$F109,0))))))</f>
        <v>433.8</v>
      </c>
      <c r="K59" s="599">
        <f>IF(K$18='5.Variables'!$B$16,+'5.Variables'!$F29,+IF(K$18='5.Variables'!$B$39,+'5.Variables'!$F53,+IF(K$18='5.Variables'!$B$62,+'5.Variables'!$F67,+IF(K$18='5.Variables'!$B$76,+'5.Variables'!$F81,+IF(K$18='5.Variables'!$B$90,+'5.Variables'!$F95,+IF(K$18='5.Variables'!$B$104,+'5.Variables'!$F109,0))))))</f>
        <v>0</v>
      </c>
      <c r="L59" s="599">
        <f>IF(L$18='5.Variables'!$B$16,+'5.Variables'!$F29,+IF(L$18='5.Variables'!$B$39,+'5.Variables'!$F53,+IF(L$18='5.Variables'!$B$62,+'5.Variables'!$F67,+IF(L$18='5.Variables'!$B$76,+'5.Variables'!$F81,+IF(L$18='5.Variables'!$B$90,+'5.Variables'!$F95,+IF(L$18='5.Variables'!$B$104,+'5.Variables'!$F109,0))))))</f>
        <v>30</v>
      </c>
      <c r="M59" s="599">
        <f>IF(M$18='5.Variables'!$B$16,+'5.Variables'!$F29,+IF(M$18='5.Variables'!$B$39,+'5.Variables'!$F53,+IF(M$18='5.Variables'!$B$62,+'5.Variables'!$F67,+IF(M$18='5.Variables'!$B$76,+'5.Variables'!$F81,+IF(M$18='5.Variables'!$B$90,+'5.Variables'!$F95,+IF(M$18='5.Variables'!$B$104,+'5.Variables'!$F109,0))))))</f>
        <v>13.28</v>
      </c>
      <c r="N59" s="599">
        <f>IF(N$18='5.Variables'!$B$16,+'5.Variables'!$F29,+IF(N$18='5.Variables'!$B$39,+'5.Variables'!$F53,+IF(N$18='5.Variables'!$B$62,+'5.Variables'!$F67,+IF(N$18='5.Variables'!$B$76,+'5.Variables'!$F81,+IF(N$18='5.Variables'!$B$90,+'5.Variables'!$F95,+IF(N$18='5.Variables'!$B$104,+'5.Variables'!$F109,0))))))</f>
        <v>0</v>
      </c>
      <c r="O59" s="928">
        <v>0</v>
      </c>
      <c r="P59" s="200"/>
      <c r="Q59" s="469">
        <f t="shared" si="0"/>
        <v>7205270.3810272496</v>
      </c>
      <c r="R59" s="216"/>
      <c r="S59" s="200"/>
      <c r="T59" s="204">
        <f>'4. Customer Growth'!B17</f>
        <v>2013</v>
      </c>
      <c r="U59" s="218">
        <f>U46</f>
        <v>90874156.25999999</v>
      </c>
      <c r="V59" s="218">
        <f t="shared" ref="V59:V68" si="5">W46</f>
        <v>88474218.029769301</v>
      </c>
      <c r="W59" s="219">
        <f>IF(ABS(U59-V59)=0,0,ABS(U59-V59)/U59)</f>
        <v>2.6409469193466043E-2</v>
      </c>
      <c r="X59" s="200"/>
      <c r="Y59" s="200"/>
      <c r="Z59" s="200"/>
      <c r="AA59" s="200"/>
      <c r="AB59" s="200"/>
      <c r="AC59" s="200"/>
      <c r="AD59" s="200"/>
      <c r="AE59" s="200"/>
      <c r="AF59" s="200"/>
      <c r="AG59" s="200"/>
      <c r="AH59" s="200"/>
      <c r="AI59" s="200"/>
      <c r="AJ59" s="200"/>
      <c r="AK59" s="200"/>
      <c r="AL59" s="200"/>
    </row>
    <row r="60" spans="1:38">
      <c r="A60" s="435">
        <f t="shared" si="1"/>
        <v>41</v>
      </c>
      <c r="B60" s="871" t="str">
        <f>CONCATENATE('3. Consumption by Rate Class'!B65,"-",'3. Consumption by Rate Class'!C65)</f>
        <v>2016-May</v>
      </c>
      <c r="C60" s="870">
        <v>6762966.2999999998</v>
      </c>
      <c r="D60" s="934">
        <v>0</v>
      </c>
      <c r="E60" s="935">
        <v>0</v>
      </c>
      <c r="F60" s="935">
        <v>-47801.16</v>
      </c>
      <c r="G60" s="875"/>
      <c r="H60" s="875"/>
      <c r="I60" s="469">
        <f t="shared" si="2"/>
        <v>6715165.1399999997</v>
      </c>
      <c r="J60" s="599">
        <f>IF(J$18='5.Variables'!$B$16,+'5.Variables'!$G30,+IF(J$18='5.Variables'!$B$39,+'5.Variables'!$G53,+IF(J$18='5.Variables'!$B$62,+'5.Variables'!$G67,+IF(J$18='5.Variables'!$B$76,+'5.Variables'!$G81,+IF(J$18='5.Variables'!$B$90,+'5.Variables'!$G95,+IF(J$18='5.Variables'!$B$104,+'5.Variables'!$G109,0))))))</f>
        <v>145.4</v>
      </c>
      <c r="K60" s="599">
        <f>IF(K$18='5.Variables'!$B$16,+'5.Variables'!$G29,+IF(K$18='5.Variables'!$B$39,+'5.Variables'!$G53,+IF(K$18='5.Variables'!$B$62,+'5.Variables'!$G67,+IF(K$18='5.Variables'!$B$76,+'5.Variables'!$G81,+IF(K$18='5.Variables'!$B$90,+'5.Variables'!$G95,+IF(K$18='5.Variables'!$B$104,+'5.Variables'!$G109,0))))))</f>
        <v>28.7</v>
      </c>
      <c r="L60" s="599">
        <f>IF(L$18='5.Variables'!$B$16,+'5.Variables'!$G29,+IF(L$18='5.Variables'!$B$39,+'5.Variables'!$G53,+IF(L$18='5.Variables'!$B$62,+'5.Variables'!$G67,+IF(L$18='5.Variables'!$B$76,+'5.Variables'!$G81,+IF(L$18='5.Variables'!$B$90,+'5.Variables'!$G95,+IF(L$18='5.Variables'!$B$104,+'5.Variables'!$G109,0))))))</f>
        <v>31</v>
      </c>
      <c r="M60" s="599">
        <f>IF(M$18='5.Variables'!$B$16,+'5.Variables'!$G29,+IF(M$18='5.Variables'!$B$39,+'5.Variables'!$G53,+IF(M$18='5.Variables'!$B$62,+'5.Variables'!$G67,+IF(M$18='5.Variables'!$B$76,+'5.Variables'!$G81,+IF(M$18='5.Variables'!$B$90,+'5.Variables'!$G95,+IF(M$18='5.Variables'!$B$104,+'5.Variables'!$G109,0))))))</f>
        <v>14.52</v>
      </c>
      <c r="N60" s="599">
        <f>IF(N$18='5.Variables'!$B$16,+'5.Variables'!$G29,+IF(N$18='5.Variables'!$B$39,+'5.Variables'!$G53,+IF(N$18='5.Variables'!$B$62,+'5.Variables'!$G67,+IF(N$18='5.Variables'!$B$76,+'5.Variables'!$G81,+IF(N$18='5.Variables'!$B$90,+'5.Variables'!$G95,+IF(N$18='5.Variables'!$B$104,+'5.Variables'!$G109,0))))))</f>
        <v>0</v>
      </c>
      <c r="O60" s="928">
        <v>0</v>
      </c>
      <c r="P60" s="200"/>
      <c r="Q60" s="469">
        <f t="shared" si="0"/>
        <v>6952901.452092573</v>
      </c>
      <c r="R60" s="216"/>
      <c r="S60" s="200"/>
      <c r="T60" s="204">
        <f>'4. Customer Growth'!B18</f>
        <v>2014</v>
      </c>
      <c r="U60" s="218">
        <f>U47</f>
        <v>89376615.260000005</v>
      </c>
      <c r="V60" s="218">
        <f t="shared" si="5"/>
        <v>88741305.06941998</v>
      </c>
      <c r="W60" s="219">
        <f t="shared" ref="W60:W68" si="6">IF(ABS(U60-V60)=0,0,ABS(U60-V60)/U60)</f>
        <v>7.108237302698067E-3</v>
      </c>
      <c r="X60" s="222"/>
      <c r="Y60" s="200"/>
      <c r="Z60" s="200"/>
      <c r="AA60" s="200"/>
      <c r="AB60" s="200"/>
      <c r="AC60" s="200"/>
      <c r="AD60" s="200"/>
      <c r="AE60" s="200"/>
      <c r="AF60" s="200"/>
      <c r="AG60" s="200"/>
      <c r="AH60" s="200"/>
      <c r="AI60" s="200"/>
      <c r="AJ60" s="200"/>
      <c r="AK60" s="200"/>
      <c r="AL60" s="200"/>
    </row>
    <row r="61" spans="1:38">
      <c r="A61" s="435">
        <f t="shared" si="1"/>
        <v>42</v>
      </c>
      <c r="B61" s="871" t="str">
        <f>CONCATENATE('3. Consumption by Rate Class'!B66,"-",'3. Consumption by Rate Class'!C66)</f>
        <v>2016-June</v>
      </c>
      <c r="C61" s="870">
        <v>7313366.9000000004</v>
      </c>
      <c r="D61" s="934">
        <v>0</v>
      </c>
      <c r="E61" s="935">
        <v>0</v>
      </c>
      <c r="F61" s="935">
        <v>-42187.28</v>
      </c>
      <c r="G61" s="875"/>
      <c r="H61" s="875"/>
      <c r="I61" s="469">
        <f t="shared" si="2"/>
        <v>7271179.6200000001</v>
      </c>
      <c r="J61" s="599">
        <f>IF(J$18='5.Variables'!$B$16,+'5.Variables'!$H30,+IF(J$18='5.Variables'!$B$39,+'5.Variables'!$H53,+IF(J$18='5.Variables'!$B$62,+'5.Variables'!$H67,+IF(J$18='5.Variables'!$B$76,+'5.Variables'!$H81,+IF(J$18='5.Variables'!$B$90,+'5.Variables'!$H95,+IF(J$18='5.Variables'!$B$104,+'5.Variables'!$H109,0))))))</f>
        <v>36.299999999999997</v>
      </c>
      <c r="K61" s="599">
        <f>IF(K$18='5.Variables'!$B$16,+'5.Variables'!$H29,+IF(K$18='5.Variables'!$B$39,+'5.Variables'!$H53,+IF(K$18='5.Variables'!$B$62,+'5.Variables'!$H67,+IF(K$18='5.Variables'!$B$76,+'5.Variables'!$H81,+IF(K$18='5.Variables'!$B$90,+'5.Variables'!$H95,+IF(K$18='5.Variables'!$B$104,+'5.Variables'!$H109,0))))))</f>
        <v>52</v>
      </c>
      <c r="L61" s="599">
        <f>IF(L$18='5.Variables'!$B$16,+'5.Variables'!$H29,+IF(L$18='5.Variables'!$B$39,+'5.Variables'!$H53,+IF(L$18='5.Variables'!$B$62,+'5.Variables'!$H67,+IF(L$18='5.Variables'!$B$76,+'5.Variables'!$H81,+IF(L$18='5.Variables'!$B$90,+'5.Variables'!$H95,+IF(L$18='5.Variables'!$B$104,+'5.Variables'!$H109,0))))))</f>
        <v>30</v>
      </c>
      <c r="M61" s="599">
        <f>IF(M$18='5.Variables'!$B$16,+'5.Variables'!$H29,+IF(M$18='5.Variables'!$B$39,+'5.Variables'!$H53,+IF(M$18='5.Variables'!$B$62,+'5.Variables'!$H67,+IF(M$18='5.Variables'!$B$76,+'5.Variables'!$H81,+IF(M$18='5.Variables'!$B$90,+'5.Variables'!$H95,+IF(M$18='5.Variables'!$B$104,+'5.Variables'!$H109,0))))))</f>
        <v>15.35</v>
      </c>
      <c r="N61" s="599">
        <f>IF(N$18='5.Variables'!$B$16,+'5.Variables'!$H29,+IF(N$18='5.Variables'!$B$39,+'5.Variables'!$H53,+IF(N$18='5.Variables'!$B$62,+'5.Variables'!$H67,+IF(N$18='5.Variables'!$B$76,+'5.Variables'!$H81,+IF(N$18='5.Variables'!$B$90,+'5.Variables'!$H95,+IF(N$18='5.Variables'!$B$104,+'5.Variables'!$H109,0))))))</f>
        <v>0</v>
      </c>
      <c r="O61" s="928">
        <v>0</v>
      </c>
      <c r="P61" s="200"/>
      <c r="Q61" s="469">
        <f t="shared" si="0"/>
        <v>6830444.720181887</v>
      </c>
      <c r="R61" s="216"/>
      <c r="S61" s="200"/>
      <c r="T61" s="204">
        <f>'4. Customer Growth'!B19</f>
        <v>2015</v>
      </c>
      <c r="U61" s="218">
        <f t="shared" ref="U61:U68" si="7">U48</f>
        <v>89768282.25999999</v>
      </c>
      <c r="V61" s="218">
        <f t="shared" si="5"/>
        <v>89116051.604816481</v>
      </c>
      <c r="W61" s="219">
        <f t="shared" si="6"/>
        <v>7.265713888725457E-3</v>
      </c>
      <c r="X61" s="222"/>
      <c r="Y61" s="200"/>
      <c r="Z61" s="200"/>
      <c r="AA61" s="200"/>
      <c r="AB61" s="200"/>
      <c r="AC61" s="200"/>
      <c r="AD61" s="200"/>
      <c r="AE61" s="200"/>
      <c r="AF61" s="200"/>
      <c r="AG61" s="200"/>
      <c r="AH61" s="200"/>
      <c r="AI61" s="200"/>
      <c r="AJ61" s="200"/>
      <c r="AK61" s="200"/>
      <c r="AL61" s="200"/>
    </row>
    <row r="62" spans="1:38">
      <c r="A62" s="435">
        <f t="shared" si="1"/>
        <v>43</v>
      </c>
      <c r="B62" s="871" t="str">
        <f>CONCATENATE('3. Consumption by Rate Class'!B67,"-",'3. Consumption by Rate Class'!C67)</f>
        <v>2016-July</v>
      </c>
      <c r="C62" s="870">
        <v>7890808.2999999998</v>
      </c>
      <c r="D62" s="934">
        <v>0</v>
      </c>
      <c r="E62" s="935">
        <v>0</v>
      </c>
      <c r="F62" s="935">
        <v>-45845.020000000004</v>
      </c>
      <c r="G62" s="875"/>
      <c r="H62" s="875"/>
      <c r="I62" s="469">
        <f t="shared" si="2"/>
        <v>7844963.2800000003</v>
      </c>
      <c r="J62" s="599">
        <f>IF(J$18='5.Variables'!$B$16,+'5.Variables'!$I30,+IF(J$18='5.Variables'!$B$39,+'5.Variables'!$I53,+IF(J$18='5.Variables'!$B$62,+'5.Variables'!$I67,+IF(J$18='5.Variables'!$B$76,+'5.Variables'!$I81,+IF(J$18='5.Variables'!$B$90,+'5.Variables'!$I95,+IF(J$18='5.Variables'!$B$104,+'5.Variables'!$I109,0))))))</f>
        <v>3.4</v>
      </c>
      <c r="K62" s="599">
        <f>IF(K$18='5.Variables'!$B$16,+'5.Variables'!$I29,+IF(K$18='5.Variables'!$B$39,+'5.Variables'!$I53,+IF(K$18='5.Variables'!$B$62,+'5.Variables'!$I67,+IF(K$18='5.Variables'!$B$76,+'5.Variables'!$I81,+IF(K$18='5.Variables'!$B$90,+'5.Variables'!$I95,+IF(K$18='5.Variables'!$B$104,+'5.Variables'!$I109,0))))))</f>
        <v>112.6</v>
      </c>
      <c r="L62" s="599">
        <f>IF(L$18='5.Variables'!$B$16,+'5.Variables'!$I29,+IF(L$18='5.Variables'!$B$39,+'5.Variables'!$I53,+IF(L$18='5.Variables'!$B$62,+'5.Variables'!$I67,+IF(L$18='5.Variables'!$B$76,+'5.Variables'!$I81,+IF(L$18='5.Variables'!$B$90,+'5.Variables'!$I95,+IF(L$18='5.Variables'!$B$104,+'5.Variables'!$I109,0))))))</f>
        <v>31</v>
      </c>
      <c r="M62" s="599">
        <f>IF(M$18='5.Variables'!$B$16,+'5.Variables'!$I29,+IF(M$18='5.Variables'!$B$39,+'5.Variables'!$I53,+IF(M$18='5.Variables'!$B$62,+'5.Variables'!$I67,+IF(M$18='5.Variables'!$B$76,+'5.Variables'!$I81,+IF(M$18='5.Variables'!$B$90,+'5.Variables'!$I95,+IF(M$18='5.Variables'!$B$104,+'5.Variables'!$I109,0))))))</f>
        <v>15.15</v>
      </c>
      <c r="N62" s="599">
        <f>IF(N$18='5.Variables'!$B$16,+'5.Variables'!$I29,+IF(N$18='5.Variables'!$B$39,+'5.Variables'!$I53,+IF(N$18='5.Variables'!$B$62,+'5.Variables'!$I67,+IF(N$18='5.Variables'!$B$76,+'5.Variables'!$I81,+IF(N$18='5.Variables'!$B$90,+'5.Variables'!$I95,+IF(N$18='5.Variables'!$B$104,+'5.Variables'!$I109,0))))))</f>
        <v>0</v>
      </c>
      <c r="O62" s="928">
        <v>0</v>
      </c>
      <c r="P62" s="200"/>
      <c r="Q62" s="469">
        <f t="shared" si="0"/>
        <v>7822327.9294345509</v>
      </c>
      <c r="R62" s="216"/>
      <c r="S62" s="200"/>
      <c r="T62" s="204">
        <f>'4. Customer Growth'!B20</f>
        <v>2016</v>
      </c>
      <c r="U62" s="218">
        <f t="shared" si="7"/>
        <v>89085775.25999999</v>
      </c>
      <c r="V62" s="218">
        <f t="shared" si="5"/>
        <v>90068963.594215557</v>
      </c>
      <c r="W62" s="219">
        <f t="shared" si="6"/>
        <v>1.1036423394712528E-2</v>
      </c>
      <c r="X62" s="222"/>
      <c r="Y62" s="200"/>
      <c r="Z62" s="200"/>
      <c r="AA62" s="200"/>
      <c r="AB62" s="200"/>
      <c r="AC62" s="200"/>
      <c r="AD62" s="200"/>
      <c r="AE62" s="200"/>
      <c r="AF62" s="200"/>
      <c r="AG62" s="200"/>
      <c r="AH62" s="200"/>
      <c r="AI62" s="200"/>
      <c r="AJ62" s="200"/>
      <c r="AK62" s="200"/>
      <c r="AL62" s="200"/>
    </row>
    <row r="63" spans="1:38">
      <c r="A63" s="435">
        <f t="shared" si="1"/>
        <v>44</v>
      </c>
      <c r="B63" s="871" t="str">
        <f>CONCATENATE('3. Consumption by Rate Class'!B68,"-",'3. Consumption by Rate Class'!C68)</f>
        <v>2016-August</v>
      </c>
      <c r="C63" s="870">
        <v>7863376.7000000002</v>
      </c>
      <c r="D63" s="934">
        <v>0</v>
      </c>
      <c r="E63" s="935">
        <v>0</v>
      </c>
      <c r="F63" s="935">
        <v>-52436.47</v>
      </c>
      <c r="G63" s="875"/>
      <c r="H63" s="875"/>
      <c r="I63" s="469">
        <f t="shared" si="2"/>
        <v>7810940.2300000004</v>
      </c>
      <c r="J63" s="599">
        <f>IF(J$18='5.Variables'!$B$16,+'5.Variables'!$J30,+IF(J$18='5.Variables'!$B$39,+'5.Variables'!$J53,+IF(J$18='5.Variables'!$B$62,+'5.Variables'!$J67,+IF(J$18='5.Variables'!$B$76,+'5.Variables'!$J81,+IF(J$18='5.Variables'!$B$90,+'5.Variables'!$J95,+IF(J$18='5.Variables'!$B$104,+'5.Variables'!$J109,0))))))</f>
        <v>1.4</v>
      </c>
      <c r="K63" s="599">
        <f>IF(K$18='5.Variables'!$B$16,+'5.Variables'!$J29,+IF(K$18='5.Variables'!$B$39,+'5.Variables'!$J53,+IF(K$18='5.Variables'!$B$62,+'5.Variables'!$J67,+IF(K$18='5.Variables'!$B$76,+'5.Variables'!$J81,+IF(K$18='5.Variables'!$B$90,+'5.Variables'!$J95,+IF(K$18='5.Variables'!$B$104,+'5.Variables'!$J109,0))))))</f>
        <v>124.6</v>
      </c>
      <c r="L63" s="599">
        <f>IF(L$18='5.Variables'!$B$16,+'5.Variables'!$J29,+IF(L$18='5.Variables'!$B$39,+'5.Variables'!$J53,+IF(L$18='5.Variables'!$B$62,+'5.Variables'!$J67,+IF(L$18='5.Variables'!$B$76,+'5.Variables'!$J81,+IF(L$18='5.Variables'!$B$90,+'5.Variables'!$J95,+IF(L$18='5.Variables'!$B$104,+'5.Variables'!$J109,0))))))</f>
        <v>31</v>
      </c>
      <c r="M63" s="599">
        <f>IF(M$18='5.Variables'!$B$16,+'5.Variables'!$J29,+IF(M$18='5.Variables'!$B$39,+'5.Variables'!$J53,+IF(M$18='5.Variables'!$B$62,+'5.Variables'!$J67,+IF(M$18='5.Variables'!$B$76,+'5.Variables'!$J81,+IF(M$18='5.Variables'!$B$90,+'5.Variables'!$J95,+IF(M$18='5.Variables'!$B$104,+'5.Variables'!$J109,0))))))</f>
        <v>14.03</v>
      </c>
      <c r="N63" s="599">
        <f>IF(N$18='5.Variables'!$B$16,+'5.Variables'!$J29,+IF(N$18='5.Variables'!$B$39,+'5.Variables'!$J53,+IF(N$18='5.Variables'!$B$62,+'5.Variables'!$J67,+IF(N$18='5.Variables'!$B$76,+'5.Variables'!$J81,+IF(N$18='5.Variables'!$B$90,+'5.Variables'!$J95,+IF(N$18='5.Variables'!$B$104,+'5.Variables'!$J109,0))))))</f>
        <v>0</v>
      </c>
      <c r="O63" s="928">
        <v>0</v>
      </c>
      <c r="P63" s="200"/>
      <c r="Q63" s="469">
        <f t="shared" si="0"/>
        <v>8000734.5581725594</v>
      </c>
      <c r="R63" s="216"/>
      <c r="S63" s="200"/>
      <c r="T63" s="204">
        <f>'4. Customer Growth'!B21</f>
        <v>2017</v>
      </c>
      <c r="U63" s="218">
        <f t="shared" si="7"/>
        <v>88171491.929999992</v>
      </c>
      <c r="V63" s="218">
        <f t="shared" si="5"/>
        <v>88229509.970870882</v>
      </c>
      <c r="W63" s="219">
        <f t="shared" si="6"/>
        <v>6.580136005518765E-4</v>
      </c>
      <c r="X63" s="222"/>
      <c r="Y63" s="200"/>
      <c r="Z63" s="200"/>
      <c r="AA63" s="200"/>
      <c r="AB63" s="200"/>
      <c r="AC63" s="200"/>
      <c r="AD63" s="200"/>
      <c r="AE63" s="200"/>
      <c r="AF63" s="200"/>
      <c r="AG63" s="200"/>
      <c r="AH63" s="200"/>
      <c r="AI63" s="200"/>
      <c r="AJ63" s="200"/>
      <c r="AK63" s="200"/>
      <c r="AL63" s="200"/>
    </row>
    <row r="64" spans="1:38">
      <c r="A64" s="435">
        <f t="shared" si="1"/>
        <v>45</v>
      </c>
      <c r="B64" s="871" t="str">
        <f>CONCATENATE('3. Consumption by Rate Class'!B69,"-",'3. Consumption by Rate Class'!C69)</f>
        <v>2016-September</v>
      </c>
      <c r="C64" s="870">
        <v>6765932.9000000004</v>
      </c>
      <c r="D64" s="934">
        <v>0</v>
      </c>
      <c r="E64" s="935">
        <v>0</v>
      </c>
      <c r="F64" s="935">
        <v>-58560.43</v>
      </c>
      <c r="G64" s="875"/>
      <c r="H64" s="875"/>
      <c r="I64" s="469">
        <f>C64-D64+E64+F64</f>
        <v>6707372.4700000007</v>
      </c>
      <c r="J64" s="599">
        <f>IF(J$18='5.Variables'!$B$16,+'5.Variables'!$K30,+IF(J$18='5.Variables'!$B$39,+'5.Variables'!$K53,+IF(J$18='5.Variables'!$B$62,+'5.Variables'!$K67,+IF(J$18='5.Variables'!$B$76,+'5.Variables'!$K81,+IF(J$18='5.Variables'!$B$90,+'5.Variables'!$K95,+IF(J$18='5.Variables'!$B$104,+'5.Variables'!$K109,0))))))</f>
        <v>75.099999999999994</v>
      </c>
      <c r="K64" s="599">
        <f>IF(K$18='5.Variables'!$B$16,+'5.Variables'!$K29,+IF(K$18='5.Variables'!$B$39,+'5.Variables'!$K53,+IF(K$18='5.Variables'!$B$62,+'5.Variables'!$K67,+IF(K$18='5.Variables'!$B$76,+'5.Variables'!$K81,+IF(K$18='5.Variables'!$B$90,+'5.Variables'!$K95,+IF(K$18='5.Variables'!$B$104,+'5.Variables'!$K109,0))))))</f>
        <v>24.9</v>
      </c>
      <c r="L64" s="599">
        <f>IF(L$18='5.Variables'!$B$16,+'5.Variables'!$K29,+IF(L$18='5.Variables'!$B$39,+'5.Variables'!$K53,+IF(L$18='5.Variables'!$B$62,+'5.Variables'!$K67,+IF(L$18='5.Variables'!$B$76,+'5.Variables'!$K81,+IF(L$18='5.Variables'!$B$90,+'5.Variables'!$K95,+IF(L$18='5.Variables'!$B$104,+'5.Variables'!$K109,0))))))</f>
        <v>30</v>
      </c>
      <c r="M64" s="599">
        <f>IF(M$18='5.Variables'!$B$16,+'5.Variables'!$K29,+IF(M$18='5.Variables'!$B$39,+'5.Variables'!$K53,+IF(M$18='5.Variables'!$B$62,+'5.Variables'!$K67,+IF(M$18='5.Variables'!$B$76,+'5.Variables'!$K81,+IF(M$18='5.Variables'!$B$90,+'5.Variables'!$K95,+IF(M$18='5.Variables'!$B$104,+'5.Variables'!$K109,0))))))</f>
        <v>12.29</v>
      </c>
      <c r="N64" s="599">
        <f>IF(N$18='5.Variables'!$B$16,+'5.Variables'!$K29,+IF(N$18='5.Variables'!$B$39,+'5.Variables'!$K53,+IF(N$18='5.Variables'!$B$62,+'5.Variables'!$K67,+IF(N$18='5.Variables'!$B$76,+'5.Variables'!$K81,+IF(N$18='5.Variables'!$B$90,+'5.Variables'!$K95,+IF(N$18='5.Variables'!$B$104,+'5.Variables'!$K109,0))))))</f>
        <v>0</v>
      </c>
      <c r="O64" s="928">
        <v>0</v>
      </c>
      <c r="P64" s="200"/>
      <c r="Q64" s="469">
        <f t="shared" si="0"/>
        <v>6528754.9826316461</v>
      </c>
      <c r="R64" s="216"/>
      <c r="S64" s="200"/>
      <c r="T64" s="204">
        <f>'4. Customer Growth'!B22</f>
        <v>2018</v>
      </c>
      <c r="U64" s="218">
        <f t="shared" si="7"/>
        <v>89884663.680000007</v>
      </c>
      <c r="V64" s="218">
        <f t="shared" si="5"/>
        <v>91059144.075471699</v>
      </c>
      <c r="W64" s="219">
        <f t="shared" si="6"/>
        <v>1.306652711805187E-2</v>
      </c>
      <c r="X64" s="222"/>
      <c r="Y64" s="200"/>
      <c r="Z64" s="200"/>
      <c r="AA64" s="200"/>
      <c r="AB64" s="200"/>
      <c r="AC64" s="200"/>
      <c r="AD64" s="200"/>
      <c r="AE64" s="200"/>
      <c r="AF64" s="200"/>
      <c r="AG64" s="200"/>
      <c r="AH64" s="200"/>
      <c r="AI64" s="200"/>
      <c r="AJ64" s="200"/>
      <c r="AK64" s="200"/>
      <c r="AL64" s="200"/>
    </row>
    <row r="65" spans="1:38">
      <c r="A65" s="435">
        <f t="shared" si="1"/>
        <v>46</v>
      </c>
      <c r="B65" s="871" t="str">
        <f>CONCATENATE('3. Consumption by Rate Class'!B70,"-",'3. Consumption by Rate Class'!C70)</f>
        <v>2016-October</v>
      </c>
      <c r="C65" s="870">
        <v>6759649.2999999998</v>
      </c>
      <c r="D65" s="934">
        <v>0</v>
      </c>
      <c r="E65" s="935">
        <v>0</v>
      </c>
      <c r="F65" s="935">
        <v>-69149.34</v>
      </c>
      <c r="G65" s="876"/>
      <c r="H65" s="875"/>
      <c r="I65" s="469">
        <f t="shared" si="2"/>
        <v>6690499.96</v>
      </c>
      <c r="J65" s="599">
        <f>IF(J$18='5.Variables'!$B$16,+'5.Variables'!$L30,+IF(J$18='5.Variables'!$B$39,+'5.Variables'!$L53,+IF(J$18='5.Variables'!$B$62,+'5.Variables'!$L67,+IF(J$18='5.Variables'!$B$76,+'5.Variables'!$L81,+IF(J$18='5.Variables'!$B$90,+'5.Variables'!$L95,+IF(J$18='5.Variables'!$B$104,+'5.Variables'!$L109,0))))))</f>
        <v>291.10000000000002</v>
      </c>
      <c r="K65" s="599">
        <f>IF(K$18='5.Variables'!$B$16,+'5.Variables'!$L29,+IF(K$18='5.Variables'!$B$39,+'5.Variables'!$L53,+IF(K$18='5.Variables'!$B$62,+'5.Variables'!$L67,+IF(K$18='5.Variables'!$B$76,+'5.Variables'!$L81,+IF(K$18='5.Variables'!$B$90,+'5.Variables'!$L95,+IF(K$18='5.Variables'!$B$104,+'5.Variables'!$L109,0))))))</f>
        <v>0</v>
      </c>
      <c r="L65" s="599">
        <f>IF(L$18='5.Variables'!$B$16,+'5.Variables'!$L29,+IF(L$18='5.Variables'!$B$39,+'5.Variables'!$L53,+IF(L$18='5.Variables'!$B$62,+'5.Variables'!$L67,+IF(L$18='5.Variables'!$B$76,+'5.Variables'!$L81,+IF(L$18='5.Variables'!$B$90,+'5.Variables'!$L95,+IF(L$18='5.Variables'!$B$104,+'5.Variables'!$L109,0))))))</f>
        <v>31</v>
      </c>
      <c r="M65" s="599">
        <f>IF(M$18='5.Variables'!$B$16,+'5.Variables'!$L29,+IF(M$18='5.Variables'!$B$39,+'5.Variables'!$L53,+IF(M$18='5.Variables'!$B$62,+'5.Variables'!$L67,+IF(M$18='5.Variables'!$B$76,+'5.Variables'!$L81,+IF(M$18='5.Variables'!$B$90,+'5.Variables'!$L95,+IF(M$18='5.Variables'!$B$104,+'5.Variables'!$L109,0))))))</f>
        <v>10.51</v>
      </c>
      <c r="N65" s="599">
        <f>IF(N$18='5.Variables'!$B$16,+'5.Variables'!$L29,+IF(N$18='5.Variables'!$B$39,+'5.Variables'!$L53,+IF(N$18='5.Variables'!$B$62,+'5.Variables'!$L67,+IF(N$18='5.Variables'!$B$76,+'5.Variables'!$L81,+IF(N$18='5.Variables'!$B$90,+'5.Variables'!$L95,+IF(N$18='5.Variables'!$B$104,+'5.Variables'!$L109,0))))))</f>
        <v>0</v>
      </c>
      <c r="O65" s="928">
        <v>0</v>
      </c>
      <c r="P65" s="200"/>
      <c r="Q65" s="469">
        <f t="shared" si="0"/>
        <v>6942229.0886463169</v>
      </c>
      <c r="R65" s="216"/>
      <c r="S65" s="200"/>
      <c r="T65" s="204">
        <f>'4. Customer Growth'!B23</f>
        <v>2019</v>
      </c>
      <c r="U65" s="218">
        <f t="shared" si="7"/>
        <v>89565183.469999999</v>
      </c>
      <c r="V65" s="218">
        <f t="shared" si="5"/>
        <v>89389191.658139586</v>
      </c>
      <c r="W65" s="219">
        <f t="shared" si="6"/>
        <v>1.964957866907749E-3</v>
      </c>
      <c r="X65" s="222"/>
      <c r="Y65" s="200"/>
      <c r="Z65" s="200"/>
      <c r="AA65" s="200"/>
      <c r="AB65" s="200"/>
      <c r="AC65" s="200"/>
      <c r="AD65" s="200"/>
      <c r="AE65" s="200"/>
      <c r="AF65" s="200"/>
      <c r="AG65" s="200"/>
      <c r="AH65" s="200"/>
      <c r="AI65" s="200"/>
      <c r="AJ65" s="200"/>
      <c r="AK65" s="200"/>
      <c r="AL65" s="200"/>
    </row>
    <row r="66" spans="1:38">
      <c r="A66" s="435">
        <f t="shared" si="1"/>
        <v>47</v>
      </c>
      <c r="B66" s="871" t="str">
        <f>CONCATENATE('3. Consumption by Rate Class'!B71,"-",'3. Consumption by Rate Class'!C71)</f>
        <v>2016-November</v>
      </c>
      <c r="C66" s="870">
        <v>7073734.7000000002</v>
      </c>
      <c r="D66" s="934">
        <v>0</v>
      </c>
      <c r="E66" s="935">
        <v>0</v>
      </c>
      <c r="F66" s="935">
        <v>-74082.78</v>
      </c>
      <c r="G66" s="876"/>
      <c r="H66" s="875"/>
      <c r="I66" s="469">
        <f t="shared" si="2"/>
        <v>6999651.9199999999</v>
      </c>
      <c r="J66" s="599">
        <f>IF(J$18='5.Variables'!$B$16,+'5.Variables'!$M30,+IF(J$18='5.Variables'!$B$39,+'5.Variables'!$M53,+IF(J$18='5.Variables'!$B$62,+'5.Variables'!$M67,+IF(J$18='5.Variables'!$B$76,+'5.Variables'!$M81,+IF(J$18='5.Variables'!$B$90,+'5.Variables'!$M95,+IF(J$18='5.Variables'!$B$104,+'5.Variables'!$M109,0))))))</f>
        <v>449.5</v>
      </c>
      <c r="K66" s="599">
        <f>IF(K$18='5.Variables'!$B$16,+'5.Variables'!$M29,+IF(K$18='5.Variables'!$B$39,+'5.Variables'!$M53,+IF(K$18='5.Variables'!$B$62,+'5.Variables'!$M67,+IF(K$18='5.Variables'!$B$76,+'5.Variables'!$M81,+IF(K$18='5.Variables'!$B$90,+'5.Variables'!$M95,+IF(K$18='5.Variables'!$B$104,+'5.Variables'!$M109,0))))))</f>
        <v>0</v>
      </c>
      <c r="L66" s="599">
        <f>IF(L$18='5.Variables'!$B$16,+'5.Variables'!$M29,+IF(L$18='5.Variables'!$B$39,+'5.Variables'!$M53,+IF(L$18='5.Variables'!$B$62,+'5.Variables'!$M67,+IF(L$18='5.Variables'!$B$76,+'5.Variables'!$M81,+IF(L$18='5.Variables'!$B$90,+'5.Variables'!$M95,+IF(L$18='5.Variables'!$B$104,+'5.Variables'!$M109,0))))))</f>
        <v>30</v>
      </c>
      <c r="M66" s="599">
        <f>IF(M$18='5.Variables'!$B$16,+'5.Variables'!$M29,+IF(M$18='5.Variables'!$B$39,+'5.Variables'!$M53,+IF(M$18='5.Variables'!$B$62,+'5.Variables'!$M67,+IF(M$18='5.Variables'!$B$76,+'5.Variables'!$M81,+IF(M$18='5.Variables'!$B$90,+'5.Variables'!$M95,+IF(M$18='5.Variables'!$B$104,+'5.Variables'!$M109,0))))))</f>
        <v>9.2799999999999994</v>
      </c>
      <c r="N66" s="599">
        <f>IF(N$18='5.Variables'!$B$16,+'5.Variables'!$M29,+IF(N$18='5.Variables'!$B$39,+'5.Variables'!$M53,+IF(N$18='5.Variables'!$B$62,+'5.Variables'!$M67,+IF(N$18='5.Variables'!$B$76,+'5.Variables'!$M81,+IF(N$18='5.Variables'!$B$90,+'5.Variables'!$M95,+IF(N$18='5.Variables'!$B$104,+'5.Variables'!$M109,0))))))</f>
        <v>0</v>
      </c>
      <c r="O66" s="928">
        <v>0</v>
      </c>
      <c r="P66" s="200"/>
      <c r="Q66" s="469">
        <f t="shared" si="0"/>
        <v>7251620.2151903398</v>
      </c>
      <c r="R66" s="216"/>
      <c r="S66" s="200"/>
      <c r="T66" s="204">
        <f>'4. Customer Growth'!B24</f>
        <v>2020</v>
      </c>
      <c r="U66" s="218">
        <f t="shared" si="7"/>
        <v>87584142.184</v>
      </c>
      <c r="V66" s="218">
        <f t="shared" si="5"/>
        <v>90085048.360016435</v>
      </c>
      <c r="W66" s="219">
        <f t="shared" si="6"/>
        <v>2.8554326315857942E-2</v>
      </c>
      <c r="X66" s="222"/>
      <c r="Y66" s="200"/>
      <c r="Z66" s="200"/>
      <c r="AA66" s="200"/>
      <c r="AB66" s="200"/>
      <c r="AC66" s="200"/>
      <c r="AD66" s="200"/>
      <c r="AE66" s="200"/>
      <c r="AF66" s="200"/>
      <c r="AG66" s="200"/>
      <c r="AH66" s="200"/>
      <c r="AI66" s="200"/>
      <c r="AJ66" s="200"/>
      <c r="AK66" s="200"/>
      <c r="AL66" s="200"/>
    </row>
    <row r="67" spans="1:38">
      <c r="A67" s="435">
        <f t="shared" si="1"/>
        <v>48</v>
      </c>
      <c r="B67" s="451" t="str">
        <f>CONCATENATE('3. Consumption by Rate Class'!B72,"-",'3. Consumption by Rate Class'!C72)</f>
        <v>2016-December</v>
      </c>
      <c r="C67" s="584">
        <v>8064436.5</v>
      </c>
      <c r="D67" s="940">
        <v>0</v>
      </c>
      <c r="E67" s="939">
        <v>0</v>
      </c>
      <c r="F67" s="939">
        <v>-80080.97</v>
      </c>
      <c r="G67" s="884"/>
      <c r="H67" s="880"/>
      <c r="I67" s="881">
        <f t="shared" si="2"/>
        <v>7984355.5300000003</v>
      </c>
      <c r="J67" s="599">
        <f>IF(J$18='5.Variables'!$B$16,+'5.Variables'!$N30,+IF(J$18='5.Variables'!$B$39,+'5.Variables'!$N53,+IF(J$18='5.Variables'!$B$62,+'5.Variables'!$N67,+IF(J$18='5.Variables'!$B$76,+'5.Variables'!$N81,+IF(J$18='5.Variables'!$B$90,+'5.Variables'!$N95,+IF(J$18='5.Variables'!$B$104,+'5.Variables'!$N109,0))))))</f>
        <v>733.4</v>
      </c>
      <c r="K67" s="599">
        <f>IF(K$18='5.Variables'!$B$16,+'5.Variables'!$N29,+IF(K$18='5.Variables'!$B$39,+'5.Variables'!$N53,+IF(K$18='5.Variables'!$B$62,+'5.Variables'!$N67,+IF(K$18='5.Variables'!$B$76,+'5.Variables'!$N81,+IF(K$18='5.Variables'!$B$90,+'5.Variables'!$N95,+IF(K$18='5.Variables'!$B$104,+'5.Variables'!$N109,0))))))</f>
        <v>0</v>
      </c>
      <c r="L67" s="599">
        <f>IF(L$18='5.Variables'!$B$16,+'5.Variables'!$N29,+IF(L$18='5.Variables'!$B$39,+'5.Variables'!$N53,+IF(L$18='5.Variables'!$B$62,+'5.Variables'!$N67,+IF(L$18='5.Variables'!$B$76,+'5.Variables'!$N81,+IF(L$18='5.Variables'!$B$90,+'5.Variables'!$N95,+IF(L$18='5.Variables'!$B$104,+'5.Variables'!$N109,0))))))</f>
        <v>31</v>
      </c>
      <c r="M67" s="599">
        <f>IF(M$18='5.Variables'!$B$16,+'5.Variables'!$N29,+IF(M$18='5.Variables'!$B$39,+'5.Variables'!$N53,+IF(M$18='5.Variables'!$B$62,+'5.Variables'!$N67,+IF(M$18='5.Variables'!$B$76,+'5.Variables'!$N81,+IF(M$18='5.Variables'!$B$90,+'5.Variables'!$N95,+IF(M$18='5.Variables'!$B$104,+'5.Variables'!$N109,0))))))</f>
        <v>8.4700000000000006</v>
      </c>
      <c r="N67" s="599">
        <f>IF(N$18='5.Variables'!$B$16,+'5.Variables'!$N29,+IF(N$18='5.Variables'!$B$39,+'5.Variables'!$N53,+IF(N$18='5.Variables'!$B$62,+'5.Variables'!$N67,+IF(N$18='5.Variables'!$B$76,+'5.Variables'!$N81,+IF(N$18='5.Variables'!$B$90,+'5.Variables'!$N95,+IF(N$18='5.Variables'!$B$104,+'5.Variables'!$N109,0))))))</f>
        <v>0</v>
      </c>
      <c r="O67" s="928">
        <v>0</v>
      </c>
      <c r="P67" s="200"/>
      <c r="Q67" s="469">
        <f t="shared" si="0"/>
        <v>8247995.435801385</v>
      </c>
      <c r="R67" s="216">
        <f>SUM(Q56:Q67)</f>
        <v>90068963.594215557</v>
      </c>
      <c r="S67" s="200"/>
      <c r="T67" s="204">
        <f>'4. Customer Growth'!B25</f>
        <v>2021</v>
      </c>
      <c r="U67" s="218">
        <f t="shared" si="7"/>
        <v>87828569.654158607</v>
      </c>
      <c r="V67" s="218">
        <f t="shared" si="5"/>
        <v>88573665.33966735</v>
      </c>
      <c r="W67" s="219">
        <f t="shared" si="6"/>
        <v>8.4835229406865706E-3</v>
      </c>
      <c r="X67" s="222"/>
      <c r="Y67" s="200"/>
      <c r="Z67" s="200"/>
      <c r="AA67" s="200"/>
      <c r="AB67" s="200"/>
      <c r="AC67" s="200"/>
      <c r="AD67" s="200"/>
      <c r="AE67" s="200"/>
      <c r="AF67" s="200"/>
      <c r="AG67" s="200"/>
      <c r="AH67" s="200"/>
      <c r="AI67" s="200"/>
      <c r="AJ67" s="200"/>
      <c r="AK67" s="200"/>
      <c r="AL67" s="200"/>
    </row>
    <row r="68" spans="1:38">
      <c r="A68" s="435">
        <f t="shared" si="1"/>
        <v>49</v>
      </c>
      <c r="B68" s="871" t="str">
        <f>CONCATENATE('3. Consumption by Rate Class'!B73,"-",'3. Consumption by Rate Class'!C73)</f>
        <v>2017-January</v>
      </c>
      <c r="C68" s="870">
        <v>8319431.8399999999</v>
      </c>
      <c r="D68" s="934">
        <v>0</v>
      </c>
      <c r="E68" s="935">
        <v>0</v>
      </c>
      <c r="F68" s="935">
        <v>-78166.42</v>
      </c>
      <c r="G68" s="876"/>
      <c r="H68" s="875"/>
      <c r="I68" s="469">
        <f t="shared" si="2"/>
        <v>8241265.4199999999</v>
      </c>
      <c r="J68" s="599">
        <f>IF(J$18='5.Variables'!$B$16,+'5.Variables'!$C31,+IF(J$18='5.Variables'!$B$39,+'5.Variables'!$C54,+IF(J$18='5.Variables'!$B$62,+'5.Variables'!$C68,+IF(J$18='5.Variables'!$B$76,+'5.Variables'!$C82,+IF(J$18='5.Variables'!$B$90,+'5.Variables'!$C96,+IF(J$18='5.Variables'!$B$104,+'5.Variables'!$C110,0))))))</f>
        <v>732.5</v>
      </c>
      <c r="K68" s="599">
        <f>IF(K$18='5.Variables'!$B$16,+'5.Variables'!$C30,+IF(K$18='5.Variables'!$B$39,+'5.Variables'!$C54,+IF(K$18='5.Variables'!$B$62,+'5.Variables'!$C68,+IF(K$18='5.Variables'!$B$76,+'5.Variables'!$C82,+IF(K$18='5.Variables'!$B$90,+'5.Variables'!$C96,+IF(K$18='5.Variables'!$B$104,+'5.Variables'!$C110,0))))))</f>
        <v>0</v>
      </c>
      <c r="L68" s="599">
        <f>IF(L$18='5.Variables'!$B$16,+'5.Variables'!$C30,+IF(L$18='5.Variables'!$B$39,+'5.Variables'!$C54,+IF(L$18='5.Variables'!$B$62,+'5.Variables'!$C68,+IF(L$18='5.Variables'!$B$76,+'5.Variables'!$C82,+IF(L$18='5.Variables'!$B$90,+'5.Variables'!$C96,+IF(L$18='5.Variables'!$B$104,+'5.Variables'!$C110,0))))))</f>
        <v>31</v>
      </c>
      <c r="M68" s="599">
        <f>IF(M$18='5.Variables'!$B$16,+'5.Variables'!$C30,+IF(M$18='5.Variables'!$B$39,+'5.Variables'!$C54,+IF(M$18='5.Variables'!$B$62,+'5.Variables'!$C68,+IF(M$18='5.Variables'!$B$76,+'5.Variables'!$C82,+IF(M$18='5.Variables'!$B$90,+'5.Variables'!$C96,+IF(M$18='5.Variables'!$B$104,+'5.Variables'!$C110,0))))))</f>
        <v>9.09</v>
      </c>
      <c r="N68" s="599">
        <f>IF(N$18='5.Variables'!$B$16,+'5.Variables'!$C30,+IF(N$18='5.Variables'!$B$39,+'5.Variables'!$C54,+IF(N$18='5.Variables'!$B$62,+'5.Variables'!$C68,+IF(N$18='5.Variables'!$B$76,+'5.Variables'!$C82,+IF(N$18='5.Variables'!$B$90,+'5.Variables'!$C96,+IF(N$18='5.Variables'!$B$104,+'5.Variables'!$C110,0))))))</f>
        <v>0</v>
      </c>
      <c r="O68" s="928">
        <v>0</v>
      </c>
      <c r="P68" s="200"/>
      <c r="Q68" s="469">
        <f t="shared" si="0"/>
        <v>8245338.4389385339</v>
      </c>
      <c r="R68" s="216"/>
      <c r="S68" s="200"/>
      <c r="T68" s="204">
        <f>'4. Customer Growth'!B26</f>
        <v>2022</v>
      </c>
      <c r="U68" s="218">
        <f t="shared" si="7"/>
        <v>90017844.810154736</v>
      </c>
      <c r="V68" s="218">
        <f t="shared" si="5"/>
        <v>88419627.065925986</v>
      </c>
      <c r="W68" s="219">
        <f t="shared" si="6"/>
        <v>1.7754454659510564E-2</v>
      </c>
      <c r="X68" s="222"/>
      <c r="Y68" s="200"/>
      <c r="Z68" s="200"/>
      <c r="AA68" s="200"/>
      <c r="AB68" s="200"/>
      <c r="AC68" s="200"/>
      <c r="AD68" s="200"/>
      <c r="AE68" s="200"/>
      <c r="AF68" s="200"/>
      <c r="AG68" s="200"/>
      <c r="AH68" s="200"/>
      <c r="AI68" s="200"/>
      <c r="AJ68" s="200"/>
      <c r="AK68" s="200"/>
      <c r="AL68" s="200"/>
    </row>
    <row r="69" spans="1:38">
      <c r="A69" s="435">
        <f t="shared" si="1"/>
        <v>50</v>
      </c>
      <c r="B69" s="871" t="str">
        <f>CONCATENATE('3. Consumption by Rate Class'!B74,"-",'3. Consumption by Rate Class'!C74)</f>
        <v>2017-February</v>
      </c>
      <c r="C69" s="870">
        <v>7373671.3899999997</v>
      </c>
      <c r="D69" s="934">
        <v>0</v>
      </c>
      <c r="E69" s="935">
        <v>0</v>
      </c>
      <c r="F69" s="935">
        <v>-69750.110000000015</v>
      </c>
      <c r="G69" s="876"/>
      <c r="H69" s="875"/>
      <c r="I69" s="469">
        <f t="shared" si="2"/>
        <v>7303921.2799999993</v>
      </c>
      <c r="J69" s="599">
        <f>IF(J$18='5.Variables'!$B$16,+'5.Variables'!$D31,+IF(J$18='5.Variables'!$B$39,+'5.Variables'!$D54,+IF(J$18='5.Variables'!$B$62,+'5.Variables'!$D68,+IF(J$18='5.Variables'!$B$76,+'5.Variables'!$D82,+IF(J$18='5.Variables'!$B$90,+'5.Variables'!$D96,+IF(J$18='5.Variables'!$B$104,+'5.Variables'!$D110,0))))))</f>
        <v>662.1</v>
      </c>
      <c r="K69" s="599">
        <f>IF(K$18='5.Variables'!$B$16,+'5.Variables'!$D30,+IF(K$18='5.Variables'!$B$39,+'5.Variables'!$D54,+IF(K$18='5.Variables'!$B$62,+'5.Variables'!$D68,+IF(K$18='5.Variables'!$B$76,+'5.Variables'!$D82,+IF(K$18='5.Variables'!$B$90,+'5.Variables'!$D96,+IF(K$18='5.Variables'!$B$104,+'5.Variables'!$D110,0))))))</f>
        <v>0</v>
      </c>
      <c r="L69" s="599">
        <f>IF(L$18='5.Variables'!$B$16,+'5.Variables'!$D30,+IF(L$18='5.Variables'!$B$39,+'5.Variables'!$D54,+IF(L$18='5.Variables'!$B$62,+'5.Variables'!$D68,+IF(L$18='5.Variables'!$B$76,+'5.Variables'!$D82,+IF(L$18='5.Variables'!$B$90,+'5.Variables'!$D96,+IF(L$18='5.Variables'!$B$104,+'5.Variables'!$D110,0))))))</f>
        <v>28</v>
      </c>
      <c r="M69" s="599">
        <f>IF(M$18='5.Variables'!$B$16,+'5.Variables'!$D30,+IF(M$18='5.Variables'!$B$39,+'5.Variables'!$D54,+IF(M$18='5.Variables'!$B$62,+'5.Variables'!$D68,+IF(M$18='5.Variables'!$B$76,+'5.Variables'!$D82,+IF(M$18='5.Variables'!$B$90,+'5.Variables'!$D96,+IF(M$18='5.Variables'!$B$104,+'5.Variables'!$D110,0))))))</f>
        <v>10.19</v>
      </c>
      <c r="N69" s="599">
        <f>IF(N$18='5.Variables'!$B$16,+'5.Variables'!$D30,+IF(N$18='5.Variables'!$B$39,+'5.Variables'!$D54,+IF(N$18='5.Variables'!$B$62,+'5.Variables'!$D68,+IF(N$18='5.Variables'!$B$76,+'5.Variables'!$D82,+IF(N$18='5.Variables'!$B$90,+'5.Variables'!$D96,+IF(N$18='5.Variables'!$B$104,+'5.Variables'!$D110,0))))))</f>
        <v>0</v>
      </c>
      <c r="O69" s="928">
        <v>0</v>
      </c>
      <c r="P69" s="200"/>
      <c r="Q69" s="469">
        <f t="shared" si="0"/>
        <v>7562781.2759348201</v>
      </c>
      <c r="R69" s="216"/>
      <c r="S69" s="200"/>
      <c r="T69" s="223" t="s">
        <v>46</v>
      </c>
      <c r="U69" s="223"/>
      <c r="V69" s="223"/>
      <c r="W69" s="224">
        <f>AVERAGE(W59:W68)</f>
        <v>1.2230164628116866E-2</v>
      </c>
      <c r="X69" s="200"/>
      <c r="Y69" s="200"/>
      <c r="Z69" s="200"/>
      <c r="AA69" s="200"/>
      <c r="AB69" s="200"/>
      <c r="AC69" s="200"/>
      <c r="AD69" s="200"/>
      <c r="AE69" s="200"/>
      <c r="AF69" s="200"/>
      <c r="AG69" s="200"/>
      <c r="AH69" s="200"/>
      <c r="AI69" s="200"/>
      <c r="AJ69" s="200"/>
      <c r="AK69" s="200"/>
      <c r="AL69" s="200"/>
    </row>
    <row r="70" spans="1:38">
      <c r="A70" s="435">
        <f t="shared" si="1"/>
        <v>51</v>
      </c>
      <c r="B70" s="871" t="str">
        <f>CONCATENATE('3. Consumption by Rate Class'!B75,"-",'3. Consumption by Rate Class'!C75)</f>
        <v>2017-March</v>
      </c>
      <c r="C70" s="870">
        <v>8319192</v>
      </c>
      <c r="D70" s="934">
        <v>0</v>
      </c>
      <c r="E70" s="935">
        <v>0</v>
      </c>
      <c r="F70" s="935">
        <v>-63508.26</v>
      </c>
      <c r="G70" s="876"/>
      <c r="H70" s="875"/>
      <c r="I70" s="469">
        <f t="shared" si="2"/>
        <v>8255683.7400000002</v>
      </c>
      <c r="J70" s="599">
        <f>IF(J$18='5.Variables'!$B$16,+'5.Variables'!$E31,+IF(J$18='5.Variables'!$B$39,+'5.Variables'!$E54,+IF(J$18='5.Variables'!$B$62,+'5.Variables'!$E68,+IF(J$18='5.Variables'!$B$76,+'5.Variables'!$E82,+IF(J$18='5.Variables'!$B$90,+'5.Variables'!$E96,+IF(J$18='5.Variables'!$B$104,+'5.Variables'!$E110,0))))))</f>
        <v>731.7</v>
      </c>
      <c r="K70" s="599">
        <f>IF(K$18='5.Variables'!$B$16,+'5.Variables'!$E30,+IF(K$18='5.Variables'!$B$39,+'5.Variables'!$E54,+IF(K$18='5.Variables'!$B$62,+'5.Variables'!$E68,+IF(K$18='5.Variables'!$B$76,+'5.Variables'!$E82,+IF(K$18='5.Variables'!$B$90,+'5.Variables'!$E96,+IF(K$18='5.Variables'!$B$104,+'5.Variables'!$E110,0))))))</f>
        <v>0</v>
      </c>
      <c r="L70" s="599">
        <f>IF(L$18='5.Variables'!$B$16,+'5.Variables'!$E30,+IF(L$18='5.Variables'!$B$39,+'5.Variables'!$E54,+IF(L$18='5.Variables'!$B$62,+'5.Variables'!$E68,+IF(L$18='5.Variables'!$B$76,+'5.Variables'!$E82,+IF(L$18='5.Variables'!$B$90,+'5.Variables'!$E96,+IF(L$18='5.Variables'!$B$104,+'5.Variables'!$E110,0))))))</f>
        <v>31</v>
      </c>
      <c r="M70" s="599">
        <f>IF(M$18='5.Variables'!$B$16,+'5.Variables'!$E30,+IF(M$18='5.Variables'!$B$39,+'5.Variables'!$E54,+IF(M$18='5.Variables'!$B$62,+'5.Variables'!$E68,+IF(M$18='5.Variables'!$B$76,+'5.Variables'!$E82,+IF(M$18='5.Variables'!$B$90,+'5.Variables'!$E96,+IF(M$18='5.Variables'!$B$104,+'5.Variables'!$E110,0))))))</f>
        <v>11.51</v>
      </c>
      <c r="N70" s="599">
        <f>IF(N$18='5.Variables'!$B$16,+'5.Variables'!$E30,+IF(N$18='5.Variables'!$B$39,+'5.Variables'!$E54,+IF(N$18='5.Variables'!$B$62,+'5.Variables'!$E68,+IF(N$18='5.Variables'!$B$76,+'5.Variables'!$E82,+IF(N$18='5.Variables'!$B$90,+'5.Variables'!$E96,+IF(N$18='5.Variables'!$B$104,+'5.Variables'!$E110,0))))))</f>
        <v>0</v>
      </c>
      <c r="O70" s="928">
        <v>0</v>
      </c>
      <c r="P70" s="200"/>
      <c r="Q70" s="469">
        <f t="shared" si="0"/>
        <v>8242976.6639493313</v>
      </c>
      <c r="R70" s="216"/>
      <c r="S70" s="200"/>
      <c r="T70" s="223" t="s">
        <v>62</v>
      </c>
      <c r="U70" s="200"/>
      <c r="V70" s="200"/>
      <c r="W70" s="224">
        <f>MEDIAN(W59:W68)</f>
        <v>9.7599731676995503E-3</v>
      </c>
      <c r="X70" s="200"/>
      <c r="Y70" s="200"/>
      <c r="Z70" s="200"/>
      <c r="AA70" s="200"/>
      <c r="AB70" s="200"/>
      <c r="AC70" s="200"/>
      <c r="AD70" s="200"/>
      <c r="AE70" s="200"/>
      <c r="AF70" s="200"/>
      <c r="AG70" s="200"/>
      <c r="AH70" s="200"/>
      <c r="AI70" s="200"/>
      <c r="AJ70" s="200"/>
      <c r="AK70" s="200"/>
      <c r="AL70" s="200"/>
    </row>
    <row r="71" spans="1:38">
      <c r="A71" s="435">
        <f t="shared" si="1"/>
        <v>52</v>
      </c>
      <c r="B71" s="871" t="str">
        <f>CONCATENATE('3. Consumption by Rate Class'!B76,"-",'3. Consumption by Rate Class'!C76)</f>
        <v>2017-April</v>
      </c>
      <c r="C71" s="870">
        <v>6663155.4800000004</v>
      </c>
      <c r="D71" s="934">
        <v>0</v>
      </c>
      <c r="E71" s="935">
        <v>0</v>
      </c>
      <c r="F71" s="935">
        <v>-53159.5</v>
      </c>
      <c r="G71" s="876"/>
      <c r="H71" s="875"/>
      <c r="I71" s="469">
        <f t="shared" si="2"/>
        <v>6609995.9800000004</v>
      </c>
      <c r="J71" s="599">
        <f>IF(J$18='5.Variables'!$B$16,+'5.Variables'!$F31,+IF(J$18='5.Variables'!$B$39,+'5.Variables'!$F54,+IF(J$18='5.Variables'!$B$62,+'5.Variables'!$F68,+IF(J$18='5.Variables'!$B$76,+'5.Variables'!$F82,+IF(J$18='5.Variables'!$B$90,+'5.Variables'!$F96,+IF(J$18='5.Variables'!$B$104,+'5.Variables'!$F110,0))))))</f>
        <v>319.39999999999998</v>
      </c>
      <c r="K71" s="599">
        <f>IF(K$18='5.Variables'!$B$16,+'5.Variables'!$F30,+IF(K$18='5.Variables'!$B$39,+'5.Variables'!$F54,+IF(K$18='5.Variables'!$B$62,+'5.Variables'!$F68,+IF(K$18='5.Variables'!$B$76,+'5.Variables'!$F82,+IF(K$18='5.Variables'!$B$90,+'5.Variables'!$F96,+IF(K$18='5.Variables'!$B$104,+'5.Variables'!$F110,0))))))</f>
        <v>1.2</v>
      </c>
      <c r="L71" s="599">
        <f>IF(L$18='5.Variables'!$B$16,+'5.Variables'!$F30,+IF(L$18='5.Variables'!$B$39,+'5.Variables'!$F54,+IF(L$18='5.Variables'!$B$62,+'5.Variables'!$F68,+IF(L$18='5.Variables'!$B$76,+'5.Variables'!$F82,+IF(L$18='5.Variables'!$B$90,+'5.Variables'!$F96,+IF(L$18='5.Variables'!$B$104,+'5.Variables'!$F110,0))))))</f>
        <v>30</v>
      </c>
      <c r="M71" s="599">
        <f>IF(M$18='5.Variables'!$B$16,+'5.Variables'!$F30,+IF(M$18='5.Variables'!$B$39,+'5.Variables'!$F54,+IF(M$18='5.Variables'!$B$62,+'5.Variables'!$F68,+IF(M$18='5.Variables'!$B$76,+'5.Variables'!$F82,+IF(M$18='5.Variables'!$B$90,+'5.Variables'!$F96,+IF(M$18='5.Variables'!$B$104,+'5.Variables'!$F110,0))))))</f>
        <v>13.28</v>
      </c>
      <c r="N71" s="599">
        <f>IF(N$18='5.Variables'!$B$16,+'5.Variables'!$F30,+IF(N$18='5.Variables'!$B$39,+'5.Variables'!$F54,+IF(N$18='5.Variables'!$B$62,+'5.Variables'!$F68,+IF(N$18='5.Variables'!$B$76,+'5.Variables'!$F82,+IF(N$18='5.Variables'!$B$90,+'5.Variables'!$F96,+IF(N$18='5.Variables'!$B$104,+'5.Variables'!$F110,0))))))</f>
        <v>0</v>
      </c>
      <c r="O71" s="928">
        <v>0</v>
      </c>
      <c r="P71" s="200"/>
      <c r="Q71" s="469">
        <f t="shared" si="0"/>
        <v>6885967.6641924623</v>
      </c>
      <c r="R71" s="216"/>
      <c r="S71" s="200"/>
      <c r="T71" s="200"/>
      <c r="U71" s="200"/>
      <c r="V71" s="200"/>
      <c r="W71" s="200"/>
      <c r="X71" s="200"/>
      <c r="Y71" s="200"/>
      <c r="Z71" s="200"/>
      <c r="AA71" s="200"/>
      <c r="AB71" s="200"/>
      <c r="AC71" s="200"/>
      <c r="AD71" s="200"/>
      <c r="AE71" s="200"/>
      <c r="AF71" s="200"/>
      <c r="AG71" s="200"/>
      <c r="AH71" s="200"/>
      <c r="AI71" s="200"/>
      <c r="AJ71" s="200"/>
      <c r="AK71" s="200"/>
      <c r="AL71" s="200"/>
    </row>
    <row r="72" spans="1:38">
      <c r="A72" s="435">
        <f t="shared" si="1"/>
        <v>53</v>
      </c>
      <c r="B72" s="871" t="str">
        <f>CONCATENATE('3. Consumption by Rate Class'!B77,"-",'3. Consumption by Rate Class'!C77)</f>
        <v>2017-May</v>
      </c>
      <c r="C72" s="870">
        <v>6791118.1100000003</v>
      </c>
      <c r="D72" s="934">
        <v>0</v>
      </c>
      <c r="E72" s="935">
        <v>0</v>
      </c>
      <c r="F72" s="935">
        <v>-47801.16</v>
      </c>
      <c r="G72" s="876"/>
      <c r="H72" s="875"/>
      <c r="I72" s="469">
        <f t="shared" si="2"/>
        <v>6743316.9500000002</v>
      </c>
      <c r="J72" s="599">
        <f>IF(J$18='5.Variables'!$B$16,+'5.Variables'!$G31,+IF(J$18='5.Variables'!$B$39,+'5.Variables'!$G54,+IF(J$18='5.Variables'!$B$62,+'5.Variables'!$G68,+IF(J$18='5.Variables'!$B$76,+'5.Variables'!$G82,+IF(J$18='5.Variables'!$B$90,+'5.Variables'!$G96,+IF(J$18='5.Variables'!$B$104,+'5.Variables'!$G110,0))))))</f>
        <v>190.4</v>
      </c>
      <c r="K72" s="599">
        <f>IF(K$18='5.Variables'!$B$16,+'5.Variables'!$G30,+IF(K$18='5.Variables'!$B$39,+'5.Variables'!$G54,+IF(K$18='5.Variables'!$B$62,+'5.Variables'!$G68,+IF(K$18='5.Variables'!$B$76,+'5.Variables'!$G82,+IF(K$18='5.Variables'!$B$90,+'5.Variables'!$G96,+IF(K$18='5.Variables'!$B$104,+'5.Variables'!$G110,0))))))</f>
        <v>9.1</v>
      </c>
      <c r="L72" s="599">
        <f>IF(L$18='5.Variables'!$B$16,+'5.Variables'!$G30,+IF(L$18='5.Variables'!$B$39,+'5.Variables'!$G54,+IF(L$18='5.Variables'!$B$62,+'5.Variables'!$G68,+IF(L$18='5.Variables'!$B$76,+'5.Variables'!$G82,+IF(L$18='5.Variables'!$B$90,+'5.Variables'!$G96,+IF(L$18='5.Variables'!$B$104,+'5.Variables'!$G110,0))))))</f>
        <v>31</v>
      </c>
      <c r="M72" s="599">
        <f>IF(M$18='5.Variables'!$B$16,+'5.Variables'!$G30,+IF(M$18='5.Variables'!$B$39,+'5.Variables'!$G54,+IF(M$18='5.Variables'!$B$62,+'5.Variables'!$G68,+IF(M$18='5.Variables'!$B$76,+'5.Variables'!$G82,+IF(M$18='5.Variables'!$B$90,+'5.Variables'!$G96,+IF(M$18='5.Variables'!$B$104,+'5.Variables'!$G110,0))))))</f>
        <v>14.52</v>
      </c>
      <c r="N72" s="599">
        <f>IF(N$18='5.Variables'!$B$16,+'5.Variables'!$G30,+IF(N$18='5.Variables'!$B$39,+'5.Variables'!$G54,+IF(N$18='5.Variables'!$B$62,+'5.Variables'!$G68,+IF(N$18='5.Variables'!$B$76,+'5.Variables'!$G82,+IF(N$18='5.Variables'!$B$90,+'5.Variables'!$G96,+IF(N$18='5.Variables'!$B$104,+'5.Variables'!$G110,0))))))</f>
        <v>0</v>
      </c>
      <c r="O72" s="928">
        <v>0</v>
      </c>
      <c r="P72" s="200"/>
      <c r="Q72" s="469">
        <f t="shared" si="0"/>
        <v>6784709.8870905312</v>
      </c>
      <c r="R72" s="216"/>
      <c r="S72" s="200"/>
      <c r="T72" s="200" t="s">
        <v>122</v>
      </c>
      <c r="U72" s="200"/>
      <c r="V72" s="200"/>
      <c r="W72" s="200"/>
      <c r="X72" s="200"/>
      <c r="Y72" s="200"/>
      <c r="Z72" s="200"/>
      <c r="AA72" s="200"/>
      <c r="AB72" s="200"/>
      <c r="AC72" s="200"/>
      <c r="AD72" s="200"/>
      <c r="AE72" s="200"/>
      <c r="AF72" s="200"/>
      <c r="AG72" s="200"/>
      <c r="AH72" s="200"/>
      <c r="AI72" s="200"/>
      <c r="AJ72" s="200"/>
      <c r="AK72" s="200"/>
      <c r="AL72" s="200"/>
    </row>
    <row r="73" spans="1:38">
      <c r="A73" s="435">
        <f t="shared" si="1"/>
        <v>54</v>
      </c>
      <c r="B73" s="871" t="str">
        <f>CONCATENATE('3. Consumption by Rate Class'!B78,"-",'3. Consumption by Rate Class'!C78)</f>
        <v>2017-June</v>
      </c>
      <c r="C73" s="870">
        <v>6994241.5</v>
      </c>
      <c r="D73" s="934">
        <v>0</v>
      </c>
      <c r="E73" s="935">
        <v>0</v>
      </c>
      <c r="F73" s="935">
        <v>-42187.28</v>
      </c>
      <c r="G73" s="876"/>
      <c r="H73" s="875"/>
      <c r="I73" s="469">
        <f t="shared" si="2"/>
        <v>6952054.2199999997</v>
      </c>
      <c r="J73" s="599">
        <f>IF(J$18='5.Variables'!$B$16,+'5.Variables'!$H31,+IF(J$18='5.Variables'!$B$39,+'5.Variables'!$H54,+IF(J$18='5.Variables'!$B$62,+'5.Variables'!$H68,+IF(J$18='5.Variables'!$B$76,+'5.Variables'!$H82,+IF(J$18='5.Variables'!$B$90,+'5.Variables'!$H96,+IF(J$18='5.Variables'!$B$104,+'5.Variables'!$H110,0))))))</f>
        <v>52.1</v>
      </c>
      <c r="K73" s="599">
        <f>IF(K$18='5.Variables'!$B$16,+'5.Variables'!$H30,+IF(K$18='5.Variables'!$B$39,+'5.Variables'!$H54,+IF(K$18='5.Variables'!$B$62,+'5.Variables'!$H68,+IF(K$18='5.Variables'!$B$76,+'5.Variables'!$H82,+IF(K$18='5.Variables'!$B$90,+'5.Variables'!$H96,+IF(K$18='5.Variables'!$B$104,+'5.Variables'!$H110,0))))))</f>
        <v>45</v>
      </c>
      <c r="L73" s="599">
        <f>IF(L$18='5.Variables'!$B$16,+'5.Variables'!$H30,+IF(L$18='5.Variables'!$B$39,+'5.Variables'!$H54,+IF(L$18='5.Variables'!$B$62,+'5.Variables'!$H68,+IF(L$18='5.Variables'!$B$76,+'5.Variables'!$H82,+IF(L$18='5.Variables'!$B$90,+'5.Variables'!$H96,+IF(L$18='5.Variables'!$B$104,+'5.Variables'!$H110,0))))))</f>
        <v>30</v>
      </c>
      <c r="M73" s="599">
        <f>IF(M$18='5.Variables'!$B$16,+'5.Variables'!$H30,+IF(M$18='5.Variables'!$B$39,+'5.Variables'!$H54,+IF(M$18='5.Variables'!$B$62,+'5.Variables'!$H68,+IF(M$18='5.Variables'!$B$76,+'5.Variables'!$H82,+IF(M$18='5.Variables'!$B$90,+'5.Variables'!$H96,+IF(M$18='5.Variables'!$B$104,+'5.Variables'!$H110,0))))))</f>
        <v>15.35</v>
      </c>
      <c r="N73" s="599">
        <f>IF(N$18='5.Variables'!$B$16,+'5.Variables'!$H30,+IF(N$18='5.Variables'!$B$39,+'5.Variables'!$H54,+IF(N$18='5.Variables'!$B$62,+'5.Variables'!$H68,+IF(N$18='5.Variables'!$B$76,+'5.Variables'!$H82,+IF(N$18='5.Variables'!$B$90,+'5.Variables'!$H96,+IF(N$18='5.Variables'!$B$104,+'5.Variables'!$H110,0))))))</f>
        <v>0</v>
      </c>
      <c r="O73" s="928">
        <v>0</v>
      </c>
      <c r="P73" s="200"/>
      <c r="Q73" s="469">
        <f t="shared" si="0"/>
        <v>6769574.9875955358</v>
      </c>
      <c r="R73" s="216"/>
      <c r="S73" s="200"/>
      <c r="T73" s="200" t="s">
        <v>164</v>
      </c>
      <c r="U73" s="200"/>
      <c r="V73" s="200"/>
      <c r="W73" s="200"/>
      <c r="X73" s="200"/>
      <c r="Y73" s="200"/>
      <c r="Z73" s="200"/>
      <c r="AA73" s="200"/>
      <c r="AB73" s="200"/>
      <c r="AC73" s="200"/>
      <c r="AD73" s="200"/>
      <c r="AE73" s="200"/>
      <c r="AF73" s="200"/>
      <c r="AG73" s="200"/>
      <c r="AH73" s="200"/>
      <c r="AI73" s="200"/>
      <c r="AJ73" s="200"/>
      <c r="AK73" s="200"/>
      <c r="AL73" s="200"/>
    </row>
    <row r="74" spans="1:38">
      <c r="A74" s="435">
        <f t="shared" si="1"/>
        <v>55</v>
      </c>
      <c r="B74" s="871" t="str">
        <f>CONCATENATE('3. Consumption by Rate Class'!B79,"-",'3. Consumption by Rate Class'!C79)</f>
        <v>2017-July</v>
      </c>
      <c r="C74" s="870">
        <v>7297404.46</v>
      </c>
      <c r="D74" s="934">
        <v>0</v>
      </c>
      <c r="E74" s="935">
        <v>0</v>
      </c>
      <c r="F74" s="935">
        <v>-45845.020000000004</v>
      </c>
      <c r="G74" s="876"/>
      <c r="H74" s="875"/>
      <c r="I74" s="469">
        <f t="shared" si="2"/>
        <v>7251559.4400000004</v>
      </c>
      <c r="J74" s="599">
        <f>IF(J$18='5.Variables'!$B$16,+'5.Variables'!$I31,+IF(J$18='5.Variables'!$B$39,+'5.Variables'!$I54,+IF(J$18='5.Variables'!$B$62,+'5.Variables'!$I68,+IF(J$18='5.Variables'!$B$76,+'5.Variables'!$I82,+IF(J$18='5.Variables'!$B$90,+'5.Variables'!$I96,+IF(J$18='5.Variables'!$B$104,+'5.Variables'!$I110,0))))))</f>
        <v>4.8</v>
      </c>
      <c r="K74" s="599">
        <f>IF(K$18='5.Variables'!$B$16,+'5.Variables'!$I30,+IF(K$18='5.Variables'!$B$39,+'5.Variables'!$I54,+IF(K$18='5.Variables'!$B$62,+'5.Variables'!$I68,+IF(K$18='5.Variables'!$B$76,+'5.Variables'!$I82,+IF(K$18='5.Variables'!$B$90,+'5.Variables'!$I96,+IF(K$18='5.Variables'!$B$104,+'5.Variables'!$I110,0))))))</f>
        <v>63.8</v>
      </c>
      <c r="L74" s="599">
        <f>IF(L$18='5.Variables'!$B$16,+'5.Variables'!$I30,+IF(L$18='5.Variables'!$B$39,+'5.Variables'!$I54,+IF(L$18='5.Variables'!$B$62,+'5.Variables'!$I68,+IF(L$18='5.Variables'!$B$76,+'5.Variables'!$I82,+IF(L$18='5.Variables'!$B$90,+'5.Variables'!$I96,+IF(L$18='5.Variables'!$B$104,+'5.Variables'!$I110,0))))))</f>
        <v>31</v>
      </c>
      <c r="M74" s="599">
        <f>IF(M$18='5.Variables'!$B$16,+'5.Variables'!$I30,+IF(M$18='5.Variables'!$B$39,+'5.Variables'!$I54,+IF(M$18='5.Variables'!$B$62,+'5.Variables'!$I68,+IF(M$18='5.Variables'!$B$76,+'5.Variables'!$I82,+IF(M$18='5.Variables'!$B$90,+'5.Variables'!$I96,+IF(M$18='5.Variables'!$B$104,+'5.Variables'!$I110,0))))))</f>
        <v>15.15</v>
      </c>
      <c r="N74" s="599">
        <f>IF(N$18='5.Variables'!$B$16,+'5.Variables'!$I30,+IF(N$18='5.Variables'!$B$39,+'5.Variables'!$I54,+IF(N$18='5.Variables'!$B$62,+'5.Variables'!$I68,+IF(N$18='5.Variables'!$B$76,+'5.Variables'!$I82,+IF(N$18='5.Variables'!$B$90,+'5.Variables'!$I96,+IF(N$18='5.Variables'!$B$104,+'5.Variables'!$I110,0))))))</f>
        <v>0</v>
      </c>
      <c r="O74" s="928">
        <v>0</v>
      </c>
      <c r="P74" s="200"/>
      <c r="Q74" s="469">
        <f t="shared" si="0"/>
        <v>7076929.3664075322</v>
      </c>
      <c r="R74" s="216"/>
      <c r="S74" s="200"/>
      <c r="T74" s="200"/>
      <c r="U74" s="200"/>
      <c r="V74" s="200"/>
      <c r="W74" s="200"/>
      <c r="X74" s="200"/>
      <c r="Y74" s="200"/>
      <c r="Z74" s="200"/>
      <c r="AA74" s="200"/>
      <c r="AB74" s="200"/>
      <c r="AC74" s="200"/>
      <c r="AD74" s="200"/>
      <c r="AE74" s="200"/>
      <c r="AF74" s="200"/>
      <c r="AG74" s="200"/>
      <c r="AH74" s="200"/>
      <c r="AI74" s="200"/>
      <c r="AJ74" s="200"/>
      <c r="AK74" s="200"/>
      <c r="AL74" s="200"/>
    </row>
    <row r="75" spans="1:38">
      <c r="A75" s="435">
        <f t="shared" si="1"/>
        <v>56</v>
      </c>
      <c r="B75" s="871" t="str">
        <f>CONCATENATE('3. Consumption by Rate Class'!B80,"-",'3. Consumption by Rate Class'!C80)</f>
        <v>2017-August</v>
      </c>
      <c r="C75" s="870">
        <v>7278648.3700000001</v>
      </c>
      <c r="D75" s="934">
        <v>0</v>
      </c>
      <c r="E75" s="935">
        <v>0</v>
      </c>
      <c r="F75" s="935">
        <v>-52436.47</v>
      </c>
      <c r="G75" s="876"/>
      <c r="H75" s="875"/>
      <c r="I75" s="469">
        <f t="shared" si="2"/>
        <v>7226211.9000000004</v>
      </c>
      <c r="J75" s="599">
        <f>IF(J$18='5.Variables'!$B$16,+'5.Variables'!$J31,+IF(J$18='5.Variables'!$B$39,+'5.Variables'!$J54,+IF(J$18='5.Variables'!$B$62,+'5.Variables'!$J68,+IF(J$18='5.Variables'!$B$76,+'5.Variables'!$J82,+IF(J$18='5.Variables'!$B$90,+'5.Variables'!$J96,+IF(J$18='5.Variables'!$B$104,+'5.Variables'!$J110,0))))))</f>
        <v>26.9</v>
      </c>
      <c r="K75" s="599">
        <f>IF(K$18='5.Variables'!$B$16,+'5.Variables'!$J30,+IF(K$18='5.Variables'!$B$39,+'5.Variables'!$J54,+IF(K$18='5.Variables'!$B$62,+'5.Variables'!$J68,+IF(K$18='5.Variables'!$B$76,+'5.Variables'!$J82,+IF(K$18='5.Variables'!$B$90,+'5.Variables'!$J96,+IF(K$18='5.Variables'!$B$104,+'5.Variables'!$J110,0))))))</f>
        <v>51</v>
      </c>
      <c r="L75" s="599">
        <f>IF(L$18='5.Variables'!$B$16,+'5.Variables'!$J30,+IF(L$18='5.Variables'!$B$39,+'5.Variables'!$J54,+IF(L$18='5.Variables'!$B$62,+'5.Variables'!$J68,+IF(L$18='5.Variables'!$B$76,+'5.Variables'!$J82,+IF(L$18='5.Variables'!$B$90,+'5.Variables'!$J96,+IF(L$18='5.Variables'!$B$104,+'5.Variables'!$J110,0))))))</f>
        <v>31</v>
      </c>
      <c r="M75" s="599">
        <f>IF(M$18='5.Variables'!$B$16,+'5.Variables'!$J30,+IF(M$18='5.Variables'!$B$39,+'5.Variables'!$J54,+IF(M$18='5.Variables'!$B$62,+'5.Variables'!$J68,+IF(M$18='5.Variables'!$B$76,+'5.Variables'!$J82,+IF(M$18='5.Variables'!$B$90,+'5.Variables'!$J96,+IF(M$18='5.Variables'!$B$104,+'5.Variables'!$J110,0))))))</f>
        <v>14.03</v>
      </c>
      <c r="N75" s="599">
        <f>IF(N$18='5.Variables'!$B$16,+'5.Variables'!$J30,+IF(N$18='5.Variables'!$B$39,+'5.Variables'!$J54,+IF(N$18='5.Variables'!$B$62,+'5.Variables'!$J68,+IF(N$18='5.Variables'!$B$76,+'5.Variables'!$J82,+IF(N$18='5.Variables'!$B$90,+'5.Variables'!$J96,+IF(N$18='5.Variables'!$B$104,+'5.Variables'!$J110,0))))))</f>
        <v>0</v>
      </c>
      <c r="O75" s="928">
        <v>0</v>
      </c>
      <c r="P75" s="200"/>
      <c r="Q75" s="469">
        <f t="shared" si="0"/>
        <v>6945574.9298591567</v>
      </c>
      <c r="R75" s="216"/>
      <c r="S75" s="200"/>
      <c r="T75" s="460" t="s">
        <v>33</v>
      </c>
      <c r="U75" s="460" t="s">
        <v>237</v>
      </c>
      <c r="V75" s="461" t="s">
        <v>45</v>
      </c>
      <c r="W75" s="200"/>
      <c r="X75" s="200"/>
      <c r="Y75" s="200"/>
      <c r="Z75" s="200"/>
      <c r="AA75" s="200"/>
      <c r="AB75" s="200"/>
      <c r="AC75" s="200"/>
      <c r="AD75" s="200"/>
      <c r="AE75" s="200"/>
      <c r="AF75" s="200"/>
      <c r="AG75" s="200"/>
      <c r="AH75" s="200"/>
      <c r="AI75" s="200"/>
      <c r="AJ75" s="200"/>
      <c r="AK75" s="200"/>
      <c r="AL75" s="200"/>
    </row>
    <row r="76" spans="1:38">
      <c r="A76" s="435">
        <f t="shared" si="1"/>
        <v>57</v>
      </c>
      <c r="B76" s="871" t="str">
        <f>CONCATENATE('3. Consumption by Rate Class'!B81,"-",'3. Consumption by Rate Class'!C81)</f>
        <v>2017-September</v>
      </c>
      <c r="C76" s="870">
        <v>7089565.9100000001</v>
      </c>
      <c r="D76" s="934">
        <v>0</v>
      </c>
      <c r="E76" s="935">
        <v>0</v>
      </c>
      <c r="F76" s="935">
        <v>-58560.43</v>
      </c>
      <c r="G76" s="875"/>
      <c r="H76" s="875"/>
      <c r="I76" s="469">
        <f t="shared" si="2"/>
        <v>7031005.4800000004</v>
      </c>
      <c r="J76" s="599">
        <f>IF(J$18='5.Variables'!$B$16,+'5.Variables'!$K31,+IF(J$18='5.Variables'!$B$39,+'5.Variables'!$K54,+IF(J$18='5.Variables'!$B$62,+'5.Variables'!$K68,+IF(J$18='5.Variables'!$B$76,+'5.Variables'!$K82,+IF(J$18='5.Variables'!$B$90,+'5.Variables'!$K96,+IF(J$18='5.Variables'!$B$104,+'5.Variables'!$K110,0))))))</f>
        <v>69.8</v>
      </c>
      <c r="K76" s="599">
        <f>IF(K$18='5.Variables'!$B$16,+'5.Variables'!$K30,+IF(K$18='5.Variables'!$B$39,+'5.Variables'!$K54,+IF(K$18='5.Variables'!$B$62,+'5.Variables'!$K68,+IF(K$18='5.Variables'!$B$76,+'5.Variables'!$K82,+IF(K$18='5.Variables'!$B$90,+'5.Variables'!$K96,+IF(K$18='5.Variables'!$B$104,+'5.Variables'!$K110,0))))))</f>
        <v>52</v>
      </c>
      <c r="L76" s="599">
        <f>IF(L$18='5.Variables'!$B$16,+'5.Variables'!$K30,+IF(L$18='5.Variables'!$B$39,+'5.Variables'!$K54,+IF(L$18='5.Variables'!$B$62,+'5.Variables'!$K68,+IF(L$18='5.Variables'!$B$76,+'5.Variables'!$K82,+IF(L$18='5.Variables'!$B$90,+'5.Variables'!$K96,+IF(L$18='5.Variables'!$B$104,+'5.Variables'!$K110,0))))))</f>
        <v>30</v>
      </c>
      <c r="M76" s="599">
        <f>IF(M$18='5.Variables'!$B$16,+'5.Variables'!$K30,+IF(M$18='5.Variables'!$B$39,+'5.Variables'!$K54,+IF(M$18='5.Variables'!$B$62,+'5.Variables'!$K68,+IF(M$18='5.Variables'!$B$76,+'5.Variables'!$K82,+IF(M$18='5.Variables'!$B$90,+'5.Variables'!$K96,+IF(M$18='5.Variables'!$B$104,+'5.Variables'!$K110,0))))))</f>
        <v>12.29</v>
      </c>
      <c r="N76" s="599">
        <f>IF(N$18='5.Variables'!$B$16,+'5.Variables'!$K30,+IF(N$18='5.Variables'!$B$39,+'5.Variables'!$K54,+IF(N$18='5.Variables'!$B$62,+'5.Variables'!$K68,+IF(N$18='5.Variables'!$B$76,+'5.Variables'!$K82,+IF(N$18='5.Variables'!$B$90,+'5.Variables'!$K96,+IF(N$18='5.Variables'!$B$104,+'5.Variables'!$K110,0))))))</f>
        <v>0</v>
      </c>
      <c r="O76" s="928">
        <v>0</v>
      </c>
      <c r="P76" s="200"/>
      <c r="Q76" s="469">
        <f t="shared" si="0"/>
        <v>6929344.0478547215</v>
      </c>
      <c r="R76" s="216"/>
      <c r="S76" s="200"/>
      <c r="T76" s="459">
        <v>2015</v>
      </c>
      <c r="U76" s="457">
        <f>R151</f>
        <v>89215672.476831317</v>
      </c>
      <c r="V76" s="458">
        <f>(U76-U68)/U68</f>
        <v>-8.9112590399734563E-3</v>
      </c>
      <c r="W76" s="200"/>
      <c r="X76" s="200"/>
      <c r="Y76" s="200"/>
      <c r="Z76" s="200"/>
      <c r="AA76" s="200"/>
      <c r="AB76" s="200"/>
      <c r="AC76" s="200"/>
      <c r="AD76" s="200"/>
      <c r="AE76" s="200"/>
      <c r="AF76" s="200"/>
      <c r="AG76" s="200"/>
      <c r="AH76" s="200"/>
      <c r="AI76" s="200"/>
      <c r="AJ76" s="200"/>
      <c r="AK76" s="200"/>
      <c r="AL76" s="200"/>
    </row>
    <row r="77" spans="1:38">
      <c r="A77" s="435">
        <f t="shared" si="1"/>
        <v>58</v>
      </c>
      <c r="B77" s="871" t="str">
        <f>CONCATENATE('3. Consumption by Rate Class'!B82,"-",'3. Consumption by Rate Class'!C82)</f>
        <v>2017-October</v>
      </c>
      <c r="C77" s="870">
        <v>6787158.5899999999</v>
      </c>
      <c r="D77" s="934">
        <v>0</v>
      </c>
      <c r="E77" s="935">
        <v>0</v>
      </c>
      <c r="F77" s="935">
        <v>-69149.34</v>
      </c>
      <c r="G77" s="875"/>
      <c r="H77" s="875"/>
      <c r="I77" s="469">
        <f t="shared" si="2"/>
        <v>6718009.25</v>
      </c>
      <c r="J77" s="599">
        <f>IF(J$18='5.Variables'!$B$16,+'5.Variables'!$L31,+IF(J$18='5.Variables'!$B$39,+'5.Variables'!$L54,+IF(J$18='5.Variables'!$B$62,+'5.Variables'!$L68,+IF(J$18='5.Variables'!$B$76,+'5.Variables'!$L82,+IF(J$18='5.Variables'!$B$90,+'5.Variables'!$L96,+IF(J$18='5.Variables'!$B$104,+'5.Variables'!$L110,0))))))</f>
        <v>192.8</v>
      </c>
      <c r="K77" s="599">
        <f>IF(K$18='5.Variables'!$B$16,+'5.Variables'!$L30,+IF(K$18='5.Variables'!$B$39,+'5.Variables'!$L54,+IF(K$18='5.Variables'!$B$62,+'5.Variables'!$L68,+IF(K$18='5.Variables'!$B$76,+'5.Variables'!$L82,+IF(K$18='5.Variables'!$B$90,+'5.Variables'!$L96,+IF(K$18='5.Variables'!$B$104,+'5.Variables'!$L110,0))))))</f>
        <v>0.4</v>
      </c>
      <c r="L77" s="599">
        <f>IF(L$18='5.Variables'!$B$16,+'5.Variables'!$L30,+IF(L$18='5.Variables'!$B$39,+'5.Variables'!$L54,+IF(L$18='5.Variables'!$B$62,+'5.Variables'!$L68,+IF(L$18='5.Variables'!$B$76,+'5.Variables'!$L82,+IF(L$18='5.Variables'!$B$90,+'5.Variables'!$L96,+IF(L$18='5.Variables'!$B$104,+'5.Variables'!$L110,0))))))</f>
        <v>31</v>
      </c>
      <c r="M77" s="599">
        <f>IF(M$18='5.Variables'!$B$16,+'5.Variables'!$L30,+IF(M$18='5.Variables'!$B$39,+'5.Variables'!$L54,+IF(M$18='5.Variables'!$B$62,+'5.Variables'!$L68,+IF(M$18='5.Variables'!$B$76,+'5.Variables'!$L82,+IF(M$18='5.Variables'!$B$90,+'5.Variables'!$L96,+IF(M$18='5.Variables'!$B$104,+'5.Variables'!$L110,0))))))</f>
        <v>10.51</v>
      </c>
      <c r="N77" s="599">
        <f>IF(N$18='5.Variables'!$B$16,+'5.Variables'!$L30,+IF(N$18='5.Variables'!$B$39,+'5.Variables'!$L54,+IF(N$18='5.Variables'!$B$62,+'5.Variables'!$L68,+IF(N$18='5.Variables'!$B$76,+'5.Variables'!$L82,+IF(N$18='5.Variables'!$B$90,+'5.Variables'!$L96,+IF(N$18='5.Variables'!$B$104,+'5.Variables'!$L110,0))))))</f>
        <v>0</v>
      </c>
      <c r="O77" s="928">
        <v>0</v>
      </c>
      <c r="P77" s="200"/>
      <c r="Q77" s="469">
        <f t="shared" si="0"/>
        <v>6658169.6890551522</v>
      </c>
      <c r="R77" s="216"/>
      <c r="S77" s="200"/>
      <c r="T77" s="459">
        <v>2016</v>
      </c>
      <c r="U77" s="457">
        <f>R163</f>
        <v>89289817.921537519</v>
      </c>
      <c r="V77" s="458">
        <f>(U77-U76)/U76</f>
        <v>8.3108093732585614E-4</v>
      </c>
      <c r="W77" s="200"/>
      <c r="X77" s="200"/>
      <c r="Y77" s="200"/>
      <c r="Z77" s="200"/>
      <c r="AA77" s="200"/>
      <c r="AB77" s="200"/>
      <c r="AC77" s="200"/>
      <c r="AD77" s="200"/>
      <c r="AE77" s="200"/>
      <c r="AF77" s="200"/>
      <c r="AG77" s="200"/>
      <c r="AH77" s="200"/>
      <c r="AI77" s="200"/>
      <c r="AJ77" s="200"/>
      <c r="AK77" s="200"/>
      <c r="AL77" s="200"/>
    </row>
    <row r="78" spans="1:38">
      <c r="A78" s="435">
        <f t="shared" si="1"/>
        <v>59</v>
      </c>
      <c r="B78" s="871" t="str">
        <f>CONCATENATE('3. Consumption by Rate Class'!B83,"-",'3. Consumption by Rate Class'!C83)</f>
        <v>2017-November</v>
      </c>
      <c r="C78" s="870">
        <v>7469757.5300000003</v>
      </c>
      <c r="D78" s="934">
        <v>0</v>
      </c>
      <c r="E78" s="935">
        <v>0</v>
      </c>
      <c r="F78" s="935">
        <v>-74082.78</v>
      </c>
      <c r="G78" s="875"/>
      <c r="H78" s="875"/>
      <c r="I78" s="469">
        <f t="shared" si="2"/>
        <v>7395674.75</v>
      </c>
      <c r="J78" s="599">
        <f>IF(J$18='5.Variables'!$B$16,+'5.Variables'!$M31,+IF(J$18='5.Variables'!$B$39,+'5.Variables'!$M54,+IF(J$18='5.Variables'!$B$62,+'5.Variables'!$M68,+IF(J$18='5.Variables'!$B$76,+'5.Variables'!$M82,+IF(J$18='5.Variables'!$B$90,+'5.Variables'!$M96,+IF(J$18='5.Variables'!$B$104,+'5.Variables'!$M110,0))))))</f>
        <v>524.5</v>
      </c>
      <c r="K78" s="599">
        <f>IF(K$18='5.Variables'!$B$16,+'5.Variables'!$M30,+IF(K$18='5.Variables'!$B$39,+'5.Variables'!$M54,+IF(K$18='5.Variables'!$B$62,+'5.Variables'!$M68,+IF(K$18='5.Variables'!$B$76,+'5.Variables'!$M82,+IF(K$18='5.Variables'!$B$90,+'5.Variables'!$M96,+IF(K$18='5.Variables'!$B$104,+'5.Variables'!$M110,0))))))</f>
        <v>0</v>
      </c>
      <c r="L78" s="599">
        <f>IF(L$18='5.Variables'!$B$16,+'5.Variables'!$M30,+IF(L$18='5.Variables'!$B$39,+'5.Variables'!$M54,+IF(L$18='5.Variables'!$B$62,+'5.Variables'!$M68,+IF(L$18='5.Variables'!$B$76,+'5.Variables'!$M82,+IF(L$18='5.Variables'!$B$90,+'5.Variables'!$M96,+IF(L$18='5.Variables'!$B$104,+'5.Variables'!$M110,0))))))</f>
        <v>30</v>
      </c>
      <c r="M78" s="599">
        <f>IF(M$18='5.Variables'!$B$16,+'5.Variables'!$M30,+IF(M$18='5.Variables'!$B$39,+'5.Variables'!$M54,+IF(M$18='5.Variables'!$B$62,+'5.Variables'!$M68,+IF(M$18='5.Variables'!$B$76,+'5.Variables'!$M82,+IF(M$18='5.Variables'!$B$90,+'5.Variables'!$M96,+IF(M$18='5.Variables'!$B$104,+'5.Variables'!$M110,0))))))</f>
        <v>9.2799999999999994</v>
      </c>
      <c r="N78" s="599">
        <f>IF(N$18='5.Variables'!$B$16,+'5.Variables'!$M30,+IF(N$18='5.Variables'!$B$39,+'5.Variables'!$M54,+IF(N$18='5.Variables'!$B$62,+'5.Variables'!$M68,+IF(N$18='5.Variables'!$B$76,+'5.Variables'!$M82,+IF(N$18='5.Variables'!$B$90,+'5.Variables'!$M96,+IF(N$18='5.Variables'!$B$104,+'5.Variables'!$M110,0))))))</f>
        <v>0</v>
      </c>
      <c r="O78" s="928">
        <v>0</v>
      </c>
      <c r="P78" s="200"/>
      <c r="Q78" s="469">
        <f t="shared" si="0"/>
        <v>7473036.6204280294</v>
      </c>
      <c r="R78" s="216"/>
      <c r="S78" s="200"/>
      <c r="T78" s="200"/>
      <c r="U78" s="200"/>
      <c r="V78" s="200"/>
      <c r="W78" s="200"/>
      <c r="X78" s="200"/>
      <c r="Y78" s="200"/>
      <c r="Z78" s="200"/>
      <c r="AA78" s="200"/>
      <c r="AB78" s="200"/>
      <c r="AC78" s="200"/>
      <c r="AD78" s="200"/>
      <c r="AE78" s="200"/>
      <c r="AF78" s="200"/>
      <c r="AG78" s="200"/>
      <c r="AH78" s="200"/>
      <c r="AI78" s="200"/>
      <c r="AJ78" s="200"/>
      <c r="AK78" s="200"/>
      <c r="AL78" s="200"/>
    </row>
    <row r="79" spans="1:38">
      <c r="A79" s="435">
        <f t="shared" si="1"/>
        <v>60</v>
      </c>
      <c r="B79" s="451" t="str">
        <f>CONCATENATE('3. Consumption by Rate Class'!B84,"-",'3. Consumption by Rate Class'!C84)</f>
        <v>2017-December</v>
      </c>
      <c r="C79" s="584">
        <v>8522873.4900000002</v>
      </c>
      <c r="D79" s="940">
        <v>0</v>
      </c>
      <c r="E79" s="939">
        <v>0</v>
      </c>
      <c r="F79" s="939">
        <v>-80079.97</v>
      </c>
      <c r="G79" s="880"/>
      <c r="H79" s="880"/>
      <c r="I79" s="881">
        <f t="shared" si="2"/>
        <v>8442793.5199999996</v>
      </c>
      <c r="J79" s="599">
        <f>IF(J$18='5.Variables'!$B$16,+'5.Variables'!$N31,+IF(J$18='5.Variables'!$B$39,+'5.Variables'!$N54,+IF(J$18='5.Variables'!$B$62,+'5.Variables'!$N68,+IF(J$18='5.Variables'!$B$76,+'5.Variables'!$N82,+IF(J$18='5.Variables'!$B$90,+'5.Variables'!$N96,+IF(J$18='5.Variables'!$B$104,+'5.Variables'!$N110,0))))))</f>
        <v>871.3</v>
      </c>
      <c r="K79" s="599">
        <f>IF(K$18='5.Variables'!$B$16,+'5.Variables'!$N30,+IF(K$18='5.Variables'!$B$39,+'5.Variables'!$N54,+IF(K$18='5.Variables'!$B$62,+'5.Variables'!$N68,+IF(K$18='5.Variables'!$B$76,+'5.Variables'!$N82,+IF(K$18='5.Variables'!$B$90,+'5.Variables'!$N96,+IF(K$18='5.Variables'!$B$104,+'5.Variables'!$N110,0))))))</f>
        <v>0</v>
      </c>
      <c r="L79" s="599">
        <f>IF(L$18='5.Variables'!$B$16,+'5.Variables'!$N30,+IF(L$18='5.Variables'!$B$39,+'5.Variables'!$N54,+IF(L$18='5.Variables'!$B$62,+'5.Variables'!$N68,+IF(L$18='5.Variables'!$B$76,+'5.Variables'!$N82,+IF(L$18='5.Variables'!$B$90,+'5.Variables'!$N96,+IF(L$18='5.Variables'!$B$104,+'5.Variables'!$N110,0))))))</f>
        <v>31</v>
      </c>
      <c r="M79" s="599">
        <f>IF(M$18='5.Variables'!$B$16,+'5.Variables'!$N30,+IF(M$18='5.Variables'!$B$39,+'5.Variables'!$N54,+IF(M$18='5.Variables'!$B$62,+'5.Variables'!$N68,+IF(M$18='5.Variables'!$B$76,+'5.Variables'!$N82,+IF(M$18='5.Variables'!$B$90,+'5.Variables'!$N96,+IF(M$18='5.Variables'!$B$104,+'5.Variables'!$N110,0))))))</f>
        <v>8.4700000000000006</v>
      </c>
      <c r="N79" s="599">
        <f>IF(N$18='5.Variables'!$B$16,+'5.Variables'!$N30,+IF(N$18='5.Variables'!$B$39,+'5.Variables'!$N54,+IF(N$18='5.Variables'!$B$62,+'5.Variables'!$N68,+IF(N$18='5.Variables'!$B$76,+'5.Variables'!$N82,+IF(N$18='5.Variables'!$B$90,+'5.Variables'!$N96,+IF(N$18='5.Variables'!$B$104,+'5.Variables'!$N110,0))))))</f>
        <v>0</v>
      </c>
      <c r="O79" s="928">
        <v>0</v>
      </c>
      <c r="P79" s="200"/>
      <c r="Q79" s="469">
        <f t="shared" si="0"/>
        <v>8655106.3995650839</v>
      </c>
      <c r="R79" s="216">
        <f>SUM(Q68:Q79)</f>
        <v>88229509.970870882</v>
      </c>
      <c r="S79" s="200"/>
      <c r="T79" s="225"/>
      <c r="U79" s="200"/>
      <c r="V79" s="200"/>
      <c r="W79" s="200"/>
      <c r="X79" s="200"/>
      <c r="Y79" s="200"/>
      <c r="Z79" s="200"/>
      <c r="AA79" s="200"/>
      <c r="AB79" s="200"/>
      <c r="AC79" s="200"/>
      <c r="AD79" s="200"/>
      <c r="AE79" s="200"/>
      <c r="AF79" s="200"/>
      <c r="AG79" s="200"/>
      <c r="AH79" s="200"/>
      <c r="AI79" s="200"/>
      <c r="AJ79" s="200"/>
      <c r="AK79" s="200"/>
      <c r="AL79" s="200"/>
    </row>
    <row r="80" spans="1:38">
      <c r="A80" s="435">
        <f t="shared" si="1"/>
        <v>61</v>
      </c>
      <c r="B80" s="871" t="str">
        <f>CONCATENATE('3. Consumption by Rate Class'!B85,"-",'3. Consumption by Rate Class'!C85)</f>
        <v>2018-January</v>
      </c>
      <c r="C80" s="870">
        <v>8983839.4100000001</v>
      </c>
      <c r="D80" s="934">
        <v>0</v>
      </c>
      <c r="E80" s="935">
        <v>0</v>
      </c>
      <c r="F80" s="941">
        <v>-75169.42</v>
      </c>
      <c r="G80" s="875"/>
      <c r="H80" s="875"/>
      <c r="I80" s="469">
        <f t="shared" si="2"/>
        <v>8908669.9900000002</v>
      </c>
      <c r="J80" s="599">
        <f>IF(J$18='5.Variables'!$B$16,+'5.Variables'!$C32,+IF(J$18='5.Variables'!$B$39,+'5.Variables'!$C55,+IF(J$18='5.Variables'!$B$62,+'5.Variables'!$C69,+IF(J$18='5.Variables'!$B$76,+'5.Variables'!$C83,+IF(J$18='5.Variables'!$B$90,+'5.Variables'!$C97,+IF(J$18='5.Variables'!$B$104,+'5.Variables'!$C111,0))))))</f>
        <v>881.5</v>
      </c>
      <c r="K80" s="599">
        <f>IF(K$18='5.Variables'!$B$16,+'5.Variables'!$C31,+IF(K$18='5.Variables'!$B$39,+'5.Variables'!$C55,+IF(K$18='5.Variables'!$B$62,+'5.Variables'!$C69,+IF(K$18='5.Variables'!$B$76,+'5.Variables'!$C83,+IF(K$18='5.Variables'!$B$90,+'5.Variables'!$C97,+IF(K$18='5.Variables'!$B$104,+'5.Variables'!$C111,0))))))</f>
        <v>0</v>
      </c>
      <c r="L80" s="599">
        <f>IF(L$18='5.Variables'!$B$16,+'5.Variables'!$C31,+IF(L$18='5.Variables'!$B$39,+'5.Variables'!$C55,+IF(L$18='5.Variables'!$B$62,+'5.Variables'!$C69,+IF(L$18='5.Variables'!$B$76,+'5.Variables'!$C83,+IF(L$18='5.Variables'!$B$90,+'5.Variables'!$C97,+IF(L$18='5.Variables'!$B$104,+'5.Variables'!$C111,0))))))</f>
        <v>31</v>
      </c>
      <c r="M80" s="599">
        <f>IF(M$18='5.Variables'!$B$16,+'5.Variables'!$C31,+IF(M$18='5.Variables'!$B$39,+'5.Variables'!$C55,+IF(M$18='5.Variables'!$B$62,+'5.Variables'!$C69,+IF(M$18='5.Variables'!$B$76,+'5.Variables'!$C83,+IF(M$18='5.Variables'!$B$90,+'5.Variables'!$C97,+IF(M$18='5.Variables'!$B$104,+'5.Variables'!$C111,0))))))</f>
        <v>9.09</v>
      </c>
      <c r="N80" s="599">
        <f>IF(N$18='5.Variables'!$B$16,+'5.Variables'!$C31,+IF(N$18='5.Variables'!$B$39,+'5.Variables'!$C55,+IF(N$18='5.Variables'!$B$62,+'5.Variables'!$C69,+IF(N$18='5.Variables'!$B$76,+'5.Variables'!$C83,+IF(N$18='5.Variables'!$B$90,+'5.Variables'!$C97,+IF(N$18='5.Variables'!$B$104,+'5.Variables'!$C111,0))))))</f>
        <v>0</v>
      </c>
      <c r="O80" s="928">
        <v>0</v>
      </c>
      <c r="P80" s="200"/>
      <c r="Q80" s="469">
        <f t="shared" si="0"/>
        <v>8685219.0306774098</v>
      </c>
      <c r="R80" s="216"/>
      <c r="S80" s="200"/>
      <c r="T80" s="225"/>
      <c r="U80" s="200"/>
      <c r="V80" s="200"/>
      <c r="W80" s="200"/>
      <c r="X80" s="200"/>
      <c r="Y80" s="200"/>
      <c r="Z80" s="200"/>
      <c r="AA80" s="200"/>
      <c r="AB80" s="200"/>
      <c r="AC80" s="200"/>
      <c r="AD80" s="200"/>
      <c r="AE80" s="200"/>
      <c r="AF80" s="200"/>
      <c r="AG80" s="200"/>
      <c r="AH80" s="200"/>
      <c r="AI80" s="200"/>
      <c r="AJ80" s="200"/>
      <c r="AK80" s="200"/>
      <c r="AL80" s="200"/>
    </row>
    <row r="81" spans="1:38">
      <c r="A81" s="435">
        <f t="shared" si="1"/>
        <v>62</v>
      </c>
      <c r="B81" s="871" t="str">
        <f>CONCATENATE('3. Consumption by Rate Class'!B86,"-",'3. Consumption by Rate Class'!C86)</f>
        <v>2018-February</v>
      </c>
      <c r="C81" s="870">
        <v>7450746.9299999997</v>
      </c>
      <c r="D81" s="934">
        <v>0</v>
      </c>
      <c r="E81" s="935">
        <v>0</v>
      </c>
      <c r="F81" s="941">
        <v>-67033.110000000015</v>
      </c>
      <c r="G81" s="875"/>
      <c r="H81" s="875"/>
      <c r="I81" s="469">
        <f t="shared" si="2"/>
        <v>7383713.8199999994</v>
      </c>
      <c r="J81" s="599">
        <f>IF(J$18='5.Variables'!$B$16,+'5.Variables'!$D32,+IF(J$18='5.Variables'!$B$39,+'5.Variables'!$D55,+IF(J$18='5.Variables'!$B$62,+'5.Variables'!$D69,+IF(J$18='5.Variables'!$B$76,+'5.Variables'!$D83,+IF(J$18='5.Variables'!$B$90,+'5.Variables'!$D97,+IF(J$18='5.Variables'!$B$104,+'5.Variables'!$D111,0))))))</f>
        <v>644.6</v>
      </c>
      <c r="K81" s="599">
        <f>IF(K$18='5.Variables'!$B$16,+'5.Variables'!$D31,+IF(K$18='5.Variables'!$B$39,+'5.Variables'!$D55,+IF(K$18='5.Variables'!$B$62,+'5.Variables'!$D69,+IF(K$18='5.Variables'!$B$76,+'5.Variables'!$D83,+IF(K$18='5.Variables'!$B$90,+'5.Variables'!$D97,+IF(K$18='5.Variables'!$B$104,+'5.Variables'!$D111,0))))))</f>
        <v>0</v>
      </c>
      <c r="L81" s="599">
        <f>IF(L$18='5.Variables'!$B$16,+'5.Variables'!$D31,+IF(L$18='5.Variables'!$B$39,+'5.Variables'!$D55,+IF(L$18='5.Variables'!$B$62,+'5.Variables'!$D69,+IF(L$18='5.Variables'!$B$76,+'5.Variables'!$D83,+IF(L$18='5.Variables'!$B$90,+'5.Variables'!$D97,+IF(L$18='5.Variables'!$B$104,+'5.Variables'!$D111,0))))))</f>
        <v>28</v>
      </c>
      <c r="M81" s="599">
        <f>IF(M$18='5.Variables'!$B$16,+'5.Variables'!$D31,+IF(M$18='5.Variables'!$B$39,+'5.Variables'!$D55,+IF(M$18='5.Variables'!$B$62,+'5.Variables'!$D69,+IF(M$18='5.Variables'!$B$76,+'5.Variables'!$D83,+IF(M$18='5.Variables'!$B$90,+'5.Variables'!$D97,+IF(M$18='5.Variables'!$B$104,+'5.Variables'!$D111,0))))))</f>
        <v>10.19</v>
      </c>
      <c r="N81" s="599">
        <f>IF(N$18='5.Variables'!$B$16,+'5.Variables'!$D31,+IF(N$18='5.Variables'!$B$39,+'5.Variables'!$D55,+IF(N$18='5.Variables'!$B$62,+'5.Variables'!$D69,+IF(N$18='5.Variables'!$B$76,+'5.Variables'!$D83,+IF(N$18='5.Variables'!$B$90,+'5.Variables'!$D97,+IF(N$18='5.Variables'!$B$104,+'5.Variables'!$D111,0))))))</f>
        <v>0</v>
      </c>
      <c r="O81" s="928">
        <v>0</v>
      </c>
      <c r="P81" s="200"/>
      <c r="Q81" s="469">
        <f t="shared" si="0"/>
        <v>7511117.4480460258</v>
      </c>
      <c r="R81" s="216"/>
      <c r="S81" s="200"/>
      <c r="T81" s="225"/>
      <c r="U81" s="200"/>
      <c r="V81" s="200"/>
      <c r="W81" s="200"/>
      <c r="X81" s="200"/>
      <c r="Y81" s="200"/>
      <c r="Z81" s="200"/>
      <c r="AA81" s="200"/>
      <c r="AB81" s="200"/>
      <c r="AC81" s="200"/>
      <c r="AD81" s="200"/>
      <c r="AE81" s="200"/>
      <c r="AF81" s="200"/>
      <c r="AG81" s="200"/>
      <c r="AH81" s="200"/>
      <c r="AI81" s="200"/>
      <c r="AJ81" s="200"/>
      <c r="AK81" s="200"/>
      <c r="AL81" s="200"/>
    </row>
    <row r="82" spans="1:38">
      <c r="A82" s="435">
        <f t="shared" si="1"/>
        <v>63</v>
      </c>
      <c r="B82" s="871" t="str">
        <f>CONCATENATE('3. Consumption by Rate Class'!B87,"-",'3. Consumption by Rate Class'!C87)</f>
        <v>2018-March</v>
      </c>
      <c r="C82" s="870">
        <v>7802521.4100000001</v>
      </c>
      <c r="D82" s="934">
        <v>0</v>
      </c>
      <c r="E82" s="935">
        <v>0</v>
      </c>
      <c r="F82" s="941">
        <v>-61073.26</v>
      </c>
      <c r="G82" s="875"/>
      <c r="H82" s="875"/>
      <c r="I82" s="469">
        <f t="shared" si="2"/>
        <v>7741448.1500000004</v>
      </c>
      <c r="J82" s="599">
        <f>IF(J$18='5.Variables'!$B$16,+'5.Variables'!$E32,+IF(J$18='5.Variables'!$B$39,+'5.Variables'!$E55,+IF(J$18='5.Variables'!$B$62,+'5.Variables'!$E69,+IF(J$18='5.Variables'!$B$76,+'5.Variables'!$E83,+IF(J$18='5.Variables'!$B$90,+'5.Variables'!$E97,+IF(J$18='5.Variables'!$B$104,+'5.Variables'!$E111,0))))))</f>
        <v>591</v>
      </c>
      <c r="K82" s="599">
        <f>IF(K$18='5.Variables'!$B$16,+'5.Variables'!$E31,+IF(K$18='5.Variables'!$B$39,+'5.Variables'!$E55,+IF(K$18='5.Variables'!$B$62,+'5.Variables'!$E69,+IF(K$18='5.Variables'!$B$76,+'5.Variables'!$E83,+IF(K$18='5.Variables'!$B$90,+'5.Variables'!$E97,+IF(K$18='5.Variables'!$B$104,+'5.Variables'!$E111,0))))))</f>
        <v>0</v>
      </c>
      <c r="L82" s="599">
        <f>IF(L$18='5.Variables'!$B$16,+'5.Variables'!$E31,+IF(L$18='5.Variables'!$B$39,+'5.Variables'!$E55,+IF(L$18='5.Variables'!$B$62,+'5.Variables'!$E69,+IF(L$18='5.Variables'!$B$76,+'5.Variables'!$E83,+IF(L$18='5.Variables'!$B$90,+'5.Variables'!$E97,+IF(L$18='5.Variables'!$B$104,+'5.Variables'!$E111,0))))))</f>
        <v>31</v>
      </c>
      <c r="M82" s="599">
        <f>IF(M$18='5.Variables'!$B$16,+'5.Variables'!$E31,+IF(M$18='5.Variables'!$B$39,+'5.Variables'!$E55,+IF(M$18='5.Variables'!$B$62,+'5.Variables'!$E69,+IF(M$18='5.Variables'!$B$76,+'5.Variables'!$E83,+IF(M$18='5.Variables'!$B$90,+'5.Variables'!$E97,+IF(M$18='5.Variables'!$B$104,+'5.Variables'!$E111,0))))))</f>
        <v>11.51</v>
      </c>
      <c r="N82" s="599">
        <f>IF(N$18='5.Variables'!$B$16,+'5.Variables'!$E31,+IF(N$18='5.Variables'!$B$39,+'5.Variables'!$E55,+IF(N$18='5.Variables'!$B$62,+'5.Variables'!$E69,+IF(N$18='5.Variables'!$B$76,+'5.Variables'!$E83,+IF(N$18='5.Variables'!$B$90,+'5.Variables'!$E97,+IF(N$18='5.Variables'!$B$104,+'5.Variables'!$E111,0))))))</f>
        <v>0</v>
      </c>
      <c r="O82" s="928">
        <v>0</v>
      </c>
      <c r="P82" s="200"/>
      <c r="Q82" s="469">
        <f t="shared" si="0"/>
        <v>7827599.487723425</v>
      </c>
      <c r="R82" s="216"/>
      <c r="S82" s="200"/>
      <c r="T82" s="225"/>
      <c r="U82" s="200"/>
      <c r="V82" s="200"/>
      <c r="W82" s="200"/>
      <c r="X82" s="200"/>
      <c r="Y82" s="200"/>
      <c r="Z82" s="200"/>
      <c r="AA82" s="200"/>
      <c r="AB82" s="200"/>
      <c r="AC82" s="200"/>
      <c r="AD82" s="200"/>
      <c r="AE82" s="200"/>
      <c r="AF82" s="200"/>
      <c r="AG82" s="200"/>
      <c r="AH82" s="200"/>
      <c r="AI82" s="200"/>
      <c r="AJ82" s="200"/>
      <c r="AK82" s="200"/>
      <c r="AL82" s="200"/>
    </row>
    <row r="83" spans="1:38">
      <c r="A83" s="435">
        <f t="shared" si="1"/>
        <v>64</v>
      </c>
      <c r="B83" s="871" t="str">
        <f>CONCATENATE('3. Consumption by Rate Class'!B88,"-",'3. Consumption by Rate Class'!C88)</f>
        <v>2018-April</v>
      </c>
      <c r="C83" s="870">
        <v>7066438.4100000001</v>
      </c>
      <c r="D83" s="934">
        <v>0</v>
      </c>
      <c r="E83" s="935">
        <v>0</v>
      </c>
      <c r="F83" s="941">
        <v>-51121.5</v>
      </c>
      <c r="G83" s="875"/>
      <c r="H83" s="875"/>
      <c r="I83" s="469">
        <f t="shared" si="2"/>
        <v>7015316.9100000001</v>
      </c>
      <c r="J83" s="599">
        <f>IF(J$18='5.Variables'!$B$16,+'5.Variables'!$F32,+IF(J$18='5.Variables'!$B$39,+'5.Variables'!$F55,+IF(J$18='5.Variables'!$B$62,+'5.Variables'!$F69,+IF(J$18='5.Variables'!$B$76,+'5.Variables'!$F83,+IF(J$18='5.Variables'!$B$90,+'5.Variables'!$F97,+IF(J$18='5.Variables'!$B$104,+'5.Variables'!$F111,0))))))</f>
        <v>454.4</v>
      </c>
      <c r="K83" s="599">
        <f>IF(K$18='5.Variables'!$B$16,+'5.Variables'!$F31,+IF(K$18='5.Variables'!$B$39,+'5.Variables'!$F55,+IF(K$18='5.Variables'!$B$62,+'5.Variables'!$F69,+IF(K$18='5.Variables'!$B$76,+'5.Variables'!$F83,+IF(K$18='5.Variables'!$B$90,+'5.Variables'!$F97,+IF(K$18='5.Variables'!$B$104,+'5.Variables'!$F111,0))))))</f>
        <v>0</v>
      </c>
      <c r="L83" s="599">
        <f>IF(L$18='5.Variables'!$B$16,+'5.Variables'!$F31,+IF(L$18='5.Variables'!$B$39,+'5.Variables'!$F55,+IF(L$18='5.Variables'!$B$62,+'5.Variables'!$F69,+IF(L$18='5.Variables'!$B$76,+'5.Variables'!$F83,+IF(L$18='5.Variables'!$B$90,+'5.Variables'!$F97,+IF(L$18='5.Variables'!$B$104,+'5.Variables'!$F111,0))))))</f>
        <v>30</v>
      </c>
      <c r="M83" s="599">
        <f>IF(M$18='5.Variables'!$B$16,+'5.Variables'!$F31,+IF(M$18='5.Variables'!$B$39,+'5.Variables'!$F55,+IF(M$18='5.Variables'!$B$62,+'5.Variables'!$F69,+IF(M$18='5.Variables'!$B$76,+'5.Variables'!$F83,+IF(M$18='5.Variables'!$B$90,+'5.Variables'!$F97,+IF(M$18='5.Variables'!$B$104,+'5.Variables'!$F111,0))))))</f>
        <v>13.28</v>
      </c>
      <c r="N83" s="599">
        <f>IF(N$18='5.Variables'!$B$16,+'5.Variables'!$F31,+IF(N$18='5.Variables'!$B$39,+'5.Variables'!$F55,+IF(N$18='5.Variables'!$B$62,+'5.Variables'!$F69,+IF(N$18='5.Variables'!$B$76,+'5.Variables'!$F83,+IF(N$18='5.Variables'!$B$90,+'5.Variables'!$F97,+IF(N$18='5.Variables'!$B$104,+'5.Variables'!$F111,0))))))</f>
        <v>0</v>
      </c>
      <c r="O83" s="928">
        <v>0</v>
      </c>
      <c r="P83" s="200"/>
      <c r="Q83" s="469">
        <f t="shared" si="0"/>
        <v>7266086.0869992021</v>
      </c>
      <c r="R83" s="216"/>
      <c r="S83" s="200"/>
      <c r="T83" s="200"/>
      <c r="U83" s="200"/>
      <c r="V83" s="200"/>
      <c r="W83" s="200"/>
      <c r="X83" s="200"/>
      <c r="Y83" s="200"/>
      <c r="Z83" s="200"/>
      <c r="AA83" s="200"/>
      <c r="AB83" s="200"/>
      <c r="AC83" s="200"/>
      <c r="AD83" s="200"/>
      <c r="AE83" s="200"/>
      <c r="AF83" s="200"/>
      <c r="AG83" s="200"/>
      <c r="AH83" s="200"/>
      <c r="AI83" s="200"/>
      <c r="AJ83" s="200"/>
      <c r="AK83" s="200"/>
      <c r="AL83" s="200"/>
    </row>
    <row r="84" spans="1:38">
      <c r="A84" s="435">
        <f t="shared" si="1"/>
        <v>65</v>
      </c>
      <c r="B84" s="871" t="str">
        <f>CONCATENATE('3. Consumption by Rate Class'!B89,"-",'3. Consumption by Rate Class'!C89)</f>
        <v>2018-May</v>
      </c>
      <c r="C84" s="870">
        <v>6766722.5499999998</v>
      </c>
      <c r="D84" s="934">
        <v>0</v>
      </c>
      <c r="E84" s="935">
        <v>0</v>
      </c>
      <c r="F84" s="941">
        <v>-45969.16</v>
      </c>
      <c r="G84" s="875"/>
      <c r="H84" s="875"/>
      <c r="I84" s="469">
        <f t="shared" si="2"/>
        <v>6720753.3899999997</v>
      </c>
      <c r="J84" s="599">
        <f>IF(J$18='5.Variables'!$B$16,+'5.Variables'!$G32,+IF(J$18='5.Variables'!$B$39,+'5.Variables'!$G55,+IF(J$18='5.Variables'!$B$62,+'5.Variables'!$G69,+IF(J$18='5.Variables'!$B$76,+'5.Variables'!$G83,+IF(J$18='5.Variables'!$B$90,+'5.Variables'!$G97,+IF(J$18='5.Variables'!$B$104,+'5.Variables'!$G111,0))))))</f>
        <v>110.4</v>
      </c>
      <c r="K84" s="599">
        <f>IF(K$18='5.Variables'!$B$16,+'5.Variables'!$G31,+IF(K$18='5.Variables'!$B$39,+'5.Variables'!$G55,+IF(K$18='5.Variables'!$B$62,+'5.Variables'!$G69,+IF(K$18='5.Variables'!$B$76,+'5.Variables'!$G83,+IF(K$18='5.Variables'!$B$90,+'5.Variables'!$G97,+IF(K$18='5.Variables'!$B$104,+'5.Variables'!$G111,0))))))</f>
        <v>15.7</v>
      </c>
      <c r="L84" s="599">
        <f>IF(L$18='5.Variables'!$B$16,+'5.Variables'!$G31,+IF(L$18='5.Variables'!$B$39,+'5.Variables'!$G55,+IF(L$18='5.Variables'!$B$62,+'5.Variables'!$G69,+IF(L$18='5.Variables'!$B$76,+'5.Variables'!$G83,+IF(L$18='5.Variables'!$B$90,+'5.Variables'!$G97,+IF(L$18='5.Variables'!$B$104,+'5.Variables'!$G111,0))))))</f>
        <v>31</v>
      </c>
      <c r="M84" s="599">
        <f>IF(M$18='5.Variables'!$B$16,+'5.Variables'!$G31,+IF(M$18='5.Variables'!$B$39,+'5.Variables'!$G55,+IF(M$18='5.Variables'!$B$62,+'5.Variables'!$G69,+IF(M$18='5.Variables'!$B$76,+'5.Variables'!$G83,+IF(M$18='5.Variables'!$B$90,+'5.Variables'!$G97,+IF(M$18='5.Variables'!$B$104,+'5.Variables'!$G111,0))))))</f>
        <v>14.52</v>
      </c>
      <c r="N84" s="599">
        <f>IF(N$18='5.Variables'!$B$16,+'5.Variables'!$G31,+IF(N$18='5.Variables'!$B$39,+'5.Variables'!$G55,+IF(N$18='5.Variables'!$B$62,+'5.Variables'!$G69,+IF(N$18='5.Variables'!$B$76,+'5.Variables'!$G83,+IF(N$18='5.Variables'!$B$90,+'5.Variables'!$G97,+IF(N$18='5.Variables'!$B$104,+'5.Variables'!$G111,0))))))</f>
        <v>0</v>
      </c>
      <c r="O84" s="928">
        <v>0</v>
      </c>
      <c r="P84" s="200"/>
      <c r="Q84" s="469">
        <f t="shared" si="0"/>
        <v>6649903.4745863862</v>
      </c>
      <c r="R84" s="216"/>
      <c r="S84" s="200"/>
      <c r="T84" s="200"/>
      <c r="U84" s="200"/>
      <c r="V84" s="200"/>
      <c r="W84" s="200"/>
      <c r="X84" s="200"/>
      <c r="Y84" s="200"/>
      <c r="Z84" s="200"/>
      <c r="AA84" s="200"/>
      <c r="AB84" s="200"/>
      <c r="AC84" s="200"/>
      <c r="AD84" s="200"/>
      <c r="AE84" s="200"/>
      <c r="AF84" s="200"/>
      <c r="AG84" s="200"/>
      <c r="AH84" s="200"/>
      <c r="AI84" s="200"/>
      <c r="AJ84" s="200"/>
      <c r="AK84" s="200"/>
      <c r="AL84" s="200"/>
    </row>
    <row r="85" spans="1:38">
      <c r="A85" s="435">
        <f t="shared" si="1"/>
        <v>66</v>
      </c>
      <c r="B85" s="871" t="str">
        <f>CONCATENATE('3. Consumption by Rate Class'!B90,"-",'3. Consumption by Rate Class'!C90)</f>
        <v>2018-June</v>
      </c>
      <c r="C85" s="870">
        <v>6728887.5</v>
      </c>
      <c r="D85" s="934">
        <v>0</v>
      </c>
      <c r="E85" s="935">
        <v>0</v>
      </c>
      <c r="F85" s="941">
        <v>-40570.28</v>
      </c>
      <c r="G85" s="875"/>
      <c r="H85" s="875"/>
      <c r="I85" s="469">
        <f t="shared" si="2"/>
        <v>6688317.2199999997</v>
      </c>
      <c r="J85" s="599">
        <f>IF(J$18='5.Variables'!$B$16,+'5.Variables'!$H32,+IF(J$18='5.Variables'!$B$39,+'5.Variables'!$H55,+IF(J$18='5.Variables'!$B$62,+'5.Variables'!$H69,+IF(J$18='5.Variables'!$B$76,+'5.Variables'!$H83,+IF(J$18='5.Variables'!$B$90,+'5.Variables'!$H97,+IF(J$18='5.Variables'!$B$104,+'5.Variables'!$H111,0))))))</f>
        <v>39</v>
      </c>
      <c r="K85" s="599">
        <f>IF(K$18='5.Variables'!$B$16,+'5.Variables'!$H31,+IF(K$18='5.Variables'!$B$39,+'5.Variables'!$H55,+IF(K$18='5.Variables'!$B$62,+'5.Variables'!$H69,+IF(K$18='5.Variables'!$B$76,+'5.Variables'!$H83,+IF(K$18='5.Variables'!$B$90,+'5.Variables'!$H97,+IF(K$18='5.Variables'!$B$104,+'5.Variables'!$H111,0))))))</f>
        <v>36.200000000000003</v>
      </c>
      <c r="L85" s="599">
        <f>IF(L$18='5.Variables'!$B$16,+'5.Variables'!$H31,+IF(L$18='5.Variables'!$B$39,+'5.Variables'!$H55,+IF(L$18='5.Variables'!$B$62,+'5.Variables'!$H69,+IF(L$18='5.Variables'!$B$76,+'5.Variables'!$H83,+IF(L$18='5.Variables'!$B$90,+'5.Variables'!$H97,+IF(L$18='5.Variables'!$B$104,+'5.Variables'!$H111,0))))))</f>
        <v>30</v>
      </c>
      <c r="M85" s="599">
        <f>IF(M$18='5.Variables'!$B$16,+'5.Variables'!$H31,+IF(M$18='5.Variables'!$B$39,+'5.Variables'!$H55,+IF(M$18='5.Variables'!$B$62,+'5.Variables'!$H69,+IF(M$18='5.Variables'!$B$76,+'5.Variables'!$H83,+IF(M$18='5.Variables'!$B$90,+'5.Variables'!$H97,+IF(M$18='5.Variables'!$B$104,+'5.Variables'!$H111,0))))))</f>
        <v>15.35</v>
      </c>
      <c r="N85" s="599">
        <f>IF(N$18='5.Variables'!$B$16,+'5.Variables'!$H31,+IF(N$18='5.Variables'!$B$39,+'5.Variables'!$H55,+IF(N$18='5.Variables'!$B$62,+'5.Variables'!$H69,+IF(N$18='5.Variables'!$B$76,+'5.Variables'!$H83,+IF(N$18='5.Variables'!$B$90,+'5.Variables'!$H97,+IF(N$18='5.Variables'!$B$104,+'5.Variables'!$H111,0))))))</f>
        <v>0</v>
      </c>
      <c r="O85" s="928">
        <v>0</v>
      </c>
      <c r="P85" s="200"/>
      <c r="Q85" s="469">
        <f t="shared" ref="Q85:Q139" si="8">$U$34+(J85*$U$35)+(K85*$U$36)+(L85*$U$37)</f>
        <v>6595739.4735926092</v>
      </c>
      <c r="R85" s="216"/>
      <c r="S85" s="200"/>
      <c r="T85" s="200"/>
      <c r="U85" s="200"/>
      <c r="V85" s="200"/>
      <c r="W85" s="200"/>
      <c r="X85" s="200"/>
      <c r="Y85" s="200"/>
      <c r="Z85" s="200"/>
      <c r="AA85" s="200"/>
      <c r="AB85" s="200"/>
      <c r="AC85" s="200"/>
      <c r="AD85" s="200"/>
      <c r="AE85" s="200"/>
      <c r="AF85" s="200"/>
      <c r="AG85" s="200"/>
      <c r="AH85" s="200"/>
      <c r="AI85" s="200"/>
      <c r="AJ85" s="200"/>
      <c r="AK85" s="200"/>
      <c r="AL85" s="200"/>
    </row>
    <row r="86" spans="1:38">
      <c r="A86" s="435">
        <f t="shared" ref="A86:A149" si="9">+A85+1</f>
        <v>67</v>
      </c>
      <c r="B86" s="871" t="str">
        <f>CONCATENATE('3. Consumption by Rate Class'!B91,"-",'3. Consumption by Rate Class'!C91)</f>
        <v>2018-July</v>
      </c>
      <c r="C86" s="870">
        <v>8182323.6200000001</v>
      </c>
      <c r="D86" s="934">
        <v>0</v>
      </c>
      <c r="E86" s="935">
        <v>0</v>
      </c>
      <c r="F86" s="941">
        <v>-44087.020000000004</v>
      </c>
      <c r="G86" s="875"/>
      <c r="H86" s="875"/>
      <c r="I86" s="469">
        <f t="shared" ref="I86:I139" si="10">C86-D86+E86+F86</f>
        <v>8138236.6000000006</v>
      </c>
      <c r="J86" s="599">
        <f>IF(J$18='5.Variables'!$B$16,+'5.Variables'!$I32,+IF(J$18='5.Variables'!$B$39,+'5.Variables'!$I55,+IF(J$18='5.Variables'!$B$62,+'5.Variables'!$I69,+IF(J$18='5.Variables'!$B$76,+'5.Variables'!$I83,+IF(J$18='5.Variables'!$B$90,+'5.Variables'!$I97,+IF(J$18='5.Variables'!$B$104,+'5.Variables'!$I111,0))))))</f>
        <v>0</v>
      </c>
      <c r="K86" s="599">
        <f>IF(K$18='5.Variables'!$B$16,+'5.Variables'!$I31,+IF(K$18='5.Variables'!$B$39,+'5.Variables'!$I55,+IF(K$18='5.Variables'!$B$62,+'5.Variables'!$I69,+IF(K$18='5.Variables'!$B$76,+'5.Variables'!$I83,+IF(K$18='5.Variables'!$B$90,+'5.Variables'!$I97,+IF(K$18='5.Variables'!$B$104,+'5.Variables'!$I111,0))))))</f>
        <v>156.9</v>
      </c>
      <c r="L86" s="599">
        <f>IF(L$18='5.Variables'!$B$16,+'5.Variables'!$I31,+IF(L$18='5.Variables'!$B$39,+'5.Variables'!$I55,+IF(L$18='5.Variables'!$B$62,+'5.Variables'!$I69,+IF(L$18='5.Variables'!$B$76,+'5.Variables'!$I83,+IF(L$18='5.Variables'!$B$90,+'5.Variables'!$I97,+IF(L$18='5.Variables'!$B$104,+'5.Variables'!$I111,0))))))</f>
        <v>31</v>
      </c>
      <c r="M86" s="599">
        <f>IF(M$18='5.Variables'!$B$16,+'5.Variables'!$I31,+IF(M$18='5.Variables'!$B$39,+'5.Variables'!$I55,+IF(M$18='5.Variables'!$B$62,+'5.Variables'!$I69,+IF(M$18='5.Variables'!$B$76,+'5.Variables'!$I83,+IF(M$18='5.Variables'!$B$90,+'5.Variables'!$I97,+IF(M$18='5.Variables'!$B$104,+'5.Variables'!$I111,0))))))</f>
        <v>15.15</v>
      </c>
      <c r="N86" s="599">
        <f>IF(N$18='5.Variables'!$B$16,+'5.Variables'!$I31,+IF(N$18='5.Variables'!$B$39,+'5.Variables'!$I55,+IF(N$18='5.Variables'!$B$62,+'5.Variables'!$I69,+IF(N$18='5.Variables'!$B$76,+'5.Variables'!$I83,+IF(N$18='5.Variables'!$B$90,+'5.Variables'!$I97,+IF(N$18='5.Variables'!$B$104,+'5.Variables'!$I111,0))))))</f>
        <v>0</v>
      </c>
      <c r="O86" s="928">
        <v>0</v>
      </c>
      <c r="P86" s="200"/>
      <c r="Q86" s="469">
        <f t="shared" si="8"/>
        <v>8492705.4051594343</v>
      </c>
      <c r="R86" s="216"/>
      <c r="S86" s="200"/>
      <c r="T86" s="200"/>
      <c r="U86" s="200"/>
      <c r="V86" s="200"/>
      <c r="W86" s="200"/>
      <c r="X86" s="200"/>
      <c r="Y86" s="200"/>
      <c r="Z86" s="200"/>
      <c r="AA86" s="200"/>
      <c r="AB86" s="200"/>
      <c r="AC86" s="200"/>
      <c r="AD86" s="200"/>
      <c r="AE86" s="200"/>
      <c r="AF86" s="200"/>
      <c r="AG86" s="200"/>
      <c r="AH86" s="200"/>
      <c r="AI86" s="200"/>
      <c r="AJ86" s="200"/>
      <c r="AK86" s="200"/>
      <c r="AL86" s="200"/>
    </row>
    <row r="87" spans="1:38">
      <c r="A87" s="435">
        <f t="shared" si="9"/>
        <v>68</v>
      </c>
      <c r="B87" s="871" t="str">
        <f>CONCATENATE('3. Consumption by Rate Class'!B92,"-",'3. Consumption by Rate Class'!C92)</f>
        <v>2018-August</v>
      </c>
      <c r="C87" s="870">
        <v>7933671.6500000004</v>
      </c>
      <c r="D87" s="934">
        <v>0</v>
      </c>
      <c r="E87" s="935">
        <v>0</v>
      </c>
      <c r="F87" s="941">
        <v>-50426.47</v>
      </c>
      <c r="G87" s="875"/>
      <c r="H87" s="875"/>
      <c r="I87" s="469">
        <f t="shared" si="10"/>
        <v>7883245.1800000006</v>
      </c>
      <c r="J87" s="599">
        <f>IF(J$18='5.Variables'!$B$16,+'5.Variables'!$J32,+IF(J$18='5.Variables'!$B$39,+'5.Variables'!$J55,+IF(J$18='5.Variables'!$B$62,+'5.Variables'!$J69,+IF(J$18='5.Variables'!$B$76,+'5.Variables'!$J83,+IF(J$18='5.Variables'!$B$90,+'5.Variables'!$J97,+IF(J$18='5.Variables'!$B$104,+'5.Variables'!$J111,0))))))</f>
        <v>3.6</v>
      </c>
      <c r="K87" s="599">
        <f>IF(K$18='5.Variables'!$B$16,+'5.Variables'!$J31,+IF(K$18='5.Variables'!$B$39,+'5.Variables'!$J55,+IF(K$18='5.Variables'!$B$62,+'5.Variables'!$J69,+IF(K$18='5.Variables'!$B$76,+'5.Variables'!$J83,+IF(K$18='5.Variables'!$B$90,+'5.Variables'!$J97,+IF(K$18='5.Variables'!$B$104,+'5.Variables'!$J111,0))))))</f>
        <v>115.4</v>
      </c>
      <c r="L87" s="599">
        <f>IF(L$18='5.Variables'!$B$16,+'5.Variables'!$J31,+IF(L$18='5.Variables'!$B$39,+'5.Variables'!$J55,+IF(L$18='5.Variables'!$B$62,+'5.Variables'!$J69,+IF(L$18='5.Variables'!$B$76,+'5.Variables'!$J83,+IF(L$18='5.Variables'!$B$90,+'5.Variables'!$J97,+IF(L$18='5.Variables'!$B$104,+'5.Variables'!$J111,0))))))</f>
        <v>31</v>
      </c>
      <c r="M87" s="599">
        <f>IF(M$18='5.Variables'!$B$16,+'5.Variables'!$J31,+IF(M$18='5.Variables'!$B$39,+'5.Variables'!$J55,+IF(M$18='5.Variables'!$B$62,+'5.Variables'!$J69,+IF(M$18='5.Variables'!$B$76,+'5.Variables'!$J83,+IF(M$18='5.Variables'!$B$90,+'5.Variables'!$J97,+IF(M$18='5.Variables'!$B$104,+'5.Variables'!$J111,0))))))</f>
        <v>14.03</v>
      </c>
      <c r="N87" s="599">
        <f>IF(N$18='5.Variables'!$B$16,+'5.Variables'!$J31,+IF(N$18='5.Variables'!$B$39,+'5.Variables'!$J55,+IF(N$18='5.Variables'!$B$62,+'5.Variables'!$J69,+IF(N$18='5.Variables'!$B$76,+'5.Variables'!$J83,+IF(N$18='5.Variables'!$B$90,+'5.Variables'!$J97,+IF(N$18='5.Variables'!$B$104,+'5.Variables'!$J111,0))))))</f>
        <v>0</v>
      </c>
      <c r="O87" s="928">
        <v>0</v>
      </c>
      <c r="P87" s="200"/>
      <c r="Q87" s="469">
        <f t="shared" si="8"/>
        <v>7865924.2886310881</v>
      </c>
      <c r="R87" s="216"/>
      <c r="S87" s="200"/>
      <c r="T87" s="200"/>
      <c r="U87" s="200"/>
      <c r="V87" s="200"/>
      <c r="W87" s="200"/>
      <c r="X87" s="200"/>
      <c r="Y87" s="200"/>
      <c r="Z87" s="200"/>
      <c r="AA87" s="200"/>
      <c r="AB87" s="200"/>
      <c r="AC87" s="200"/>
      <c r="AD87" s="200"/>
      <c r="AE87" s="200"/>
      <c r="AF87" s="200"/>
      <c r="AG87" s="200"/>
      <c r="AH87" s="200"/>
      <c r="AI87" s="200"/>
      <c r="AJ87" s="200"/>
      <c r="AK87" s="200"/>
      <c r="AL87" s="200"/>
    </row>
    <row r="88" spans="1:38">
      <c r="A88" s="435">
        <f t="shared" si="9"/>
        <v>69</v>
      </c>
      <c r="B88" s="871" t="str">
        <f>CONCATENATE('3. Consumption by Rate Class'!B93,"-",'3. Consumption by Rate Class'!C93)</f>
        <v>2018-September</v>
      </c>
      <c r="C88" s="870">
        <v>6846144.29</v>
      </c>
      <c r="D88" s="934">
        <v>0</v>
      </c>
      <c r="E88" s="935">
        <v>0</v>
      </c>
      <c r="F88" s="941">
        <v>-56316.43</v>
      </c>
      <c r="G88" s="875"/>
      <c r="H88" s="875"/>
      <c r="I88" s="469">
        <f t="shared" si="10"/>
        <v>6789827.8600000003</v>
      </c>
      <c r="J88" s="599">
        <f>IF(J$18='5.Variables'!$B$16,+'5.Variables'!$K32,+IF(J$18='5.Variables'!$B$39,+'5.Variables'!$K55,+IF(J$18='5.Variables'!$B$62,+'5.Variables'!$K69,+IF(J$18='5.Variables'!$B$76,+'5.Variables'!$K83,+IF(J$18='5.Variables'!$B$90,+'5.Variables'!$K97,+IF(J$18='5.Variables'!$B$104,+'5.Variables'!$K111,0))))))</f>
        <v>96.8</v>
      </c>
      <c r="K88" s="599">
        <f>IF(K$18='5.Variables'!$B$16,+'5.Variables'!$K31,+IF(K$18='5.Variables'!$B$39,+'5.Variables'!$K55,+IF(K$18='5.Variables'!$B$62,+'5.Variables'!$K69,+IF(K$18='5.Variables'!$B$76,+'5.Variables'!$K83,+IF(K$18='5.Variables'!$B$90,+'5.Variables'!$K97,+IF(K$18='5.Variables'!$B$104,+'5.Variables'!$K111,0))))))</f>
        <v>49.5</v>
      </c>
      <c r="L88" s="599">
        <f>IF(L$18='5.Variables'!$B$16,+'5.Variables'!$K31,+IF(L$18='5.Variables'!$B$39,+'5.Variables'!$K55,+IF(L$18='5.Variables'!$B$62,+'5.Variables'!$K69,+IF(L$18='5.Variables'!$B$76,+'5.Variables'!$K83,+IF(L$18='5.Variables'!$B$90,+'5.Variables'!$K97,+IF(L$18='5.Variables'!$B$104,+'5.Variables'!$K111,0))))))</f>
        <v>30</v>
      </c>
      <c r="M88" s="599">
        <f>IF(M$18='5.Variables'!$B$16,+'5.Variables'!$K31,+IF(M$18='5.Variables'!$B$39,+'5.Variables'!$K55,+IF(M$18='5.Variables'!$B$62,+'5.Variables'!$K69,+IF(M$18='5.Variables'!$B$76,+'5.Variables'!$K83,+IF(M$18='5.Variables'!$B$90,+'5.Variables'!$K97,+IF(M$18='5.Variables'!$B$104,+'5.Variables'!$K111,0))))))</f>
        <v>12.29</v>
      </c>
      <c r="N88" s="599">
        <f>IF(N$18='5.Variables'!$B$16,+'5.Variables'!$K31,+IF(N$18='5.Variables'!$B$39,+'5.Variables'!$K55,+IF(N$18='5.Variables'!$B$62,+'5.Variables'!$K69,+IF(N$18='5.Variables'!$B$76,+'5.Variables'!$K83,+IF(N$18='5.Variables'!$B$90,+'5.Variables'!$K97,+IF(N$18='5.Variables'!$B$104,+'5.Variables'!$K111,0))))))</f>
        <v>0</v>
      </c>
      <c r="O88" s="928">
        <v>0</v>
      </c>
      <c r="P88" s="200"/>
      <c r="Q88" s="469">
        <f t="shared" si="8"/>
        <v>6970655.8149463292</v>
      </c>
      <c r="R88" s="216"/>
      <c r="S88" s="200"/>
      <c r="T88" s="200"/>
      <c r="U88" s="200"/>
      <c r="V88" s="200"/>
      <c r="W88" s="200"/>
      <c r="X88" s="200"/>
      <c r="Y88" s="200"/>
      <c r="Z88" s="200"/>
      <c r="AA88" s="200"/>
      <c r="AB88" s="200"/>
      <c r="AC88" s="200"/>
      <c r="AD88" s="200"/>
      <c r="AE88" s="200"/>
      <c r="AF88" s="200"/>
      <c r="AG88" s="200"/>
      <c r="AH88" s="200"/>
      <c r="AI88" s="200"/>
      <c r="AJ88" s="200"/>
      <c r="AK88" s="200"/>
      <c r="AL88" s="200"/>
    </row>
    <row r="89" spans="1:38">
      <c r="A89" s="435">
        <f t="shared" si="9"/>
        <v>70</v>
      </c>
      <c r="B89" s="871" t="str">
        <f>CONCATENATE('3. Consumption by Rate Class'!B94,"-",'3. Consumption by Rate Class'!C94)</f>
        <v>2018-October</v>
      </c>
      <c r="C89" s="870">
        <v>6970918.46</v>
      </c>
      <c r="D89" s="934">
        <v>0</v>
      </c>
      <c r="E89" s="935">
        <v>0</v>
      </c>
      <c r="F89" s="941">
        <v>-66499.34</v>
      </c>
      <c r="G89" s="875"/>
      <c r="H89" s="875"/>
      <c r="I89" s="469">
        <f t="shared" si="10"/>
        <v>6904419.1200000001</v>
      </c>
      <c r="J89" s="599">
        <f>IF(J$18='5.Variables'!$B$16,+'5.Variables'!$L32,+IF(J$18='5.Variables'!$B$39,+'5.Variables'!$L55,+IF(J$18='5.Variables'!$B$62,+'5.Variables'!$L69,+IF(J$18='5.Variables'!$B$76,+'5.Variables'!$L83,+IF(J$18='5.Variables'!$B$90,+'5.Variables'!$L97,+IF(J$18='5.Variables'!$B$104,+'5.Variables'!$L111,0))))))</f>
        <v>359.1</v>
      </c>
      <c r="K89" s="599">
        <f>IF(K$18='5.Variables'!$B$16,+'5.Variables'!$L31,+IF(K$18='5.Variables'!$B$39,+'5.Variables'!$L55,+IF(K$18='5.Variables'!$B$62,+'5.Variables'!$L69,+IF(K$18='5.Variables'!$B$76,+'5.Variables'!$L83,+IF(K$18='5.Variables'!$B$90,+'5.Variables'!$L97,+IF(K$18='5.Variables'!$B$104,+'5.Variables'!$L111,0))))))</f>
        <v>0.7</v>
      </c>
      <c r="L89" s="599">
        <f>IF(L$18='5.Variables'!$B$16,+'5.Variables'!$L31,+IF(L$18='5.Variables'!$B$39,+'5.Variables'!$L55,+IF(L$18='5.Variables'!$B$62,+'5.Variables'!$L69,+IF(L$18='5.Variables'!$B$76,+'5.Variables'!$L83,+IF(L$18='5.Variables'!$B$90,+'5.Variables'!$L97,+IF(L$18='5.Variables'!$B$104,+'5.Variables'!$L111,0))))))</f>
        <v>31</v>
      </c>
      <c r="M89" s="599">
        <f>IF(M$18='5.Variables'!$B$16,+'5.Variables'!$L31,+IF(M$18='5.Variables'!$B$39,+'5.Variables'!$L55,+IF(M$18='5.Variables'!$B$62,+'5.Variables'!$L69,+IF(M$18='5.Variables'!$B$76,+'5.Variables'!$L83,+IF(M$18='5.Variables'!$B$90,+'5.Variables'!$L97,+IF(M$18='5.Variables'!$B$104,+'5.Variables'!$L111,0))))))</f>
        <v>10.51</v>
      </c>
      <c r="N89" s="599">
        <f>IF(N$18='5.Variables'!$B$16,+'5.Variables'!$L31,+IF(N$18='5.Variables'!$B$39,+'5.Variables'!$L55,+IF(N$18='5.Variables'!$B$62,+'5.Variables'!$L69,+IF(N$18='5.Variables'!$B$76,+'5.Variables'!$L83,+IF(N$18='5.Variables'!$B$90,+'5.Variables'!$L97,+IF(N$18='5.Variables'!$B$104,+'5.Variables'!$L111,0))))))</f>
        <v>0</v>
      </c>
      <c r="O89" s="928">
        <v>0</v>
      </c>
      <c r="P89" s="200"/>
      <c r="Q89" s="469">
        <f t="shared" si="8"/>
        <v>7153731.4415907981</v>
      </c>
      <c r="R89" s="216"/>
      <c r="S89" s="200"/>
      <c r="T89" s="200"/>
      <c r="U89" s="200"/>
      <c r="V89" s="200"/>
      <c r="W89" s="200"/>
      <c r="X89" s="200"/>
      <c r="Y89" s="200"/>
      <c r="Z89" s="200"/>
      <c r="AA89" s="200"/>
      <c r="AB89" s="200"/>
      <c r="AC89" s="200"/>
      <c r="AD89" s="200"/>
      <c r="AE89" s="200"/>
      <c r="AF89" s="200"/>
      <c r="AG89" s="200"/>
      <c r="AH89" s="200"/>
      <c r="AI89" s="200"/>
      <c r="AJ89" s="200"/>
      <c r="AK89" s="200"/>
      <c r="AL89" s="200"/>
    </row>
    <row r="90" spans="1:38">
      <c r="A90" s="435">
        <f t="shared" si="9"/>
        <v>71</v>
      </c>
      <c r="B90" s="871" t="str">
        <f>CONCATENATE('3. Consumption by Rate Class'!B95,"-",'3. Consumption by Rate Class'!C95)</f>
        <v>2018-November</v>
      </c>
      <c r="C90" s="870">
        <v>7630201.2999999998</v>
      </c>
      <c r="D90" s="934">
        <v>0</v>
      </c>
      <c r="E90" s="935">
        <v>0</v>
      </c>
      <c r="F90" s="941">
        <v>-71243.78</v>
      </c>
      <c r="G90" s="875"/>
      <c r="H90" s="875"/>
      <c r="I90" s="469">
        <f t="shared" si="10"/>
        <v>7558957.5199999996</v>
      </c>
      <c r="J90" s="599">
        <f>IF(J$18='5.Variables'!$B$16,+'5.Variables'!$M32,+IF(J$18='5.Variables'!$B$39,+'5.Variables'!$M55,+IF(J$18='5.Variables'!$B$62,+'5.Variables'!$M69,+IF(J$18='5.Variables'!$B$76,+'5.Variables'!$M83,+IF(J$18='5.Variables'!$B$90,+'5.Variables'!$M97,+IF(J$18='5.Variables'!$B$104,+'5.Variables'!$M111,0))))))</f>
        <v>599.5</v>
      </c>
      <c r="K90" s="599">
        <f>IF(K$18='5.Variables'!$B$16,+'5.Variables'!$M31,+IF(K$18='5.Variables'!$B$39,+'5.Variables'!$M55,+IF(K$18='5.Variables'!$B$62,+'5.Variables'!$M69,+IF(K$18='5.Variables'!$B$76,+'5.Variables'!$M83,+IF(K$18='5.Variables'!$B$90,+'5.Variables'!$M97,+IF(K$18='5.Variables'!$B$104,+'5.Variables'!$M111,0))))))</f>
        <v>0</v>
      </c>
      <c r="L90" s="599">
        <f>IF(L$18='5.Variables'!$B$16,+'5.Variables'!$M31,+IF(L$18='5.Variables'!$B$39,+'5.Variables'!$M55,+IF(L$18='5.Variables'!$B$62,+'5.Variables'!$M69,+IF(L$18='5.Variables'!$B$76,+'5.Variables'!$M83,+IF(L$18='5.Variables'!$B$90,+'5.Variables'!$M97,+IF(L$18='5.Variables'!$B$104,+'5.Variables'!$M111,0))))))</f>
        <v>30</v>
      </c>
      <c r="M90" s="599">
        <f>IF(M$18='5.Variables'!$B$16,+'5.Variables'!$M31,+IF(M$18='5.Variables'!$B$39,+'5.Variables'!$M55,+IF(M$18='5.Variables'!$B$62,+'5.Variables'!$M69,+IF(M$18='5.Variables'!$B$76,+'5.Variables'!$M83,+IF(M$18='5.Variables'!$B$90,+'5.Variables'!$M97,+IF(M$18='5.Variables'!$B$104,+'5.Variables'!$M111,0))))))</f>
        <v>9.2799999999999994</v>
      </c>
      <c r="N90" s="599">
        <f>IF(N$18='5.Variables'!$B$16,+'5.Variables'!$M31,+IF(N$18='5.Variables'!$B$39,+'5.Variables'!$M55,+IF(N$18='5.Variables'!$B$62,+'5.Variables'!$M69,+IF(N$18='5.Variables'!$B$76,+'5.Variables'!$M83,+IF(N$18='5.Variables'!$B$90,+'5.Variables'!$M97,+IF(N$18='5.Variables'!$B$104,+'5.Variables'!$M111,0))))))</f>
        <v>0</v>
      </c>
      <c r="O90" s="928">
        <v>0</v>
      </c>
      <c r="P90" s="200"/>
      <c r="Q90" s="469">
        <f t="shared" si="8"/>
        <v>7694453.0256657191</v>
      </c>
      <c r="R90" s="216"/>
      <c r="S90" s="200"/>
      <c r="T90" s="200"/>
      <c r="U90" s="200"/>
      <c r="V90" s="200"/>
      <c r="W90" s="200"/>
      <c r="X90" s="200"/>
      <c r="Y90" s="200"/>
      <c r="Z90" s="200"/>
      <c r="AA90" s="200"/>
      <c r="AB90" s="200"/>
      <c r="AC90" s="200"/>
      <c r="AD90" s="200"/>
      <c r="AE90" s="200"/>
      <c r="AF90" s="200"/>
      <c r="AG90" s="200"/>
      <c r="AH90" s="200"/>
      <c r="AI90" s="200"/>
      <c r="AJ90" s="200"/>
      <c r="AK90" s="200"/>
      <c r="AL90" s="200"/>
    </row>
    <row r="91" spans="1:38">
      <c r="A91" s="435">
        <f t="shared" si="9"/>
        <v>72</v>
      </c>
      <c r="B91" s="451" t="str">
        <f>CONCATENATE('3. Consumption by Rate Class'!B96,"-",'3. Consumption by Rate Class'!C96)</f>
        <v>2018-December</v>
      </c>
      <c r="C91" s="584">
        <v>8228767.8899999997</v>
      </c>
      <c r="D91" s="940">
        <v>0</v>
      </c>
      <c r="E91" s="939">
        <v>0</v>
      </c>
      <c r="F91" s="939">
        <v>-77009.97</v>
      </c>
      <c r="G91" s="880"/>
      <c r="H91" s="880"/>
      <c r="I91" s="881">
        <f t="shared" si="10"/>
        <v>8151757.9199999999</v>
      </c>
      <c r="J91" s="599">
        <f>IF(J$18='5.Variables'!$B$16,+'5.Variables'!$N32,+IF(J$18='5.Variables'!$B$39,+'5.Variables'!$N55,+IF(J$18='5.Variables'!$B$62,+'5.Variables'!$N69,+IF(J$18='5.Variables'!$B$76,+'5.Variables'!$N83,+IF(J$18='5.Variables'!$B$90,+'5.Variables'!$N97,+IF(J$18='5.Variables'!$B$104,+'5.Variables'!$N111,0))))))</f>
        <v>766.6</v>
      </c>
      <c r="K91" s="599">
        <f>IF(K$18='5.Variables'!$B$16,+'5.Variables'!$N31,+IF(K$18='5.Variables'!$B$39,+'5.Variables'!$N55,+IF(K$18='5.Variables'!$B$62,+'5.Variables'!$N69,+IF(K$18='5.Variables'!$B$76,+'5.Variables'!$N83,+IF(K$18='5.Variables'!$B$90,+'5.Variables'!$N97,+IF(K$18='5.Variables'!$B$104,+'5.Variables'!$N111,0))))))</f>
        <v>0</v>
      </c>
      <c r="L91" s="599">
        <f>IF(L$18='5.Variables'!$B$16,+'5.Variables'!$N31,+IF(L$18='5.Variables'!$B$39,+'5.Variables'!$N55,+IF(L$18='5.Variables'!$B$62,+'5.Variables'!$N69,+IF(L$18='5.Variables'!$B$76,+'5.Variables'!$N83,+IF(L$18='5.Variables'!$B$90,+'5.Variables'!$N97,+IF(L$18='5.Variables'!$B$104,+'5.Variables'!$N111,0))))))</f>
        <v>31</v>
      </c>
      <c r="M91" s="599">
        <f>IF(M$18='5.Variables'!$B$16,+'5.Variables'!$N31,+IF(M$18='5.Variables'!$B$39,+'5.Variables'!$N55,+IF(M$18='5.Variables'!$B$62,+'5.Variables'!$N69,+IF(M$18='5.Variables'!$B$76,+'5.Variables'!$N83,+IF(M$18='5.Variables'!$B$90,+'5.Variables'!$N97,+IF(M$18='5.Variables'!$B$104,+'5.Variables'!$N111,0))))))</f>
        <v>8.4700000000000006</v>
      </c>
      <c r="N91" s="599">
        <f>IF(N$18='5.Variables'!$B$16,+'5.Variables'!$N31,+IF(N$18='5.Variables'!$B$39,+'5.Variables'!$N55,+IF(N$18='5.Variables'!$B$62,+'5.Variables'!$N69,+IF(N$18='5.Variables'!$B$76,+'5.Variables'!$N83,+IF(N$18='5.Variables'!$B$90,+'5.Variables'!$N97,+IF(N$18='5.Variables'!$B$104,+'5.Variables'!$N111,0))))))</f>
        <v>0</v>
      </c>
      <c r="O91" s="928">
        <v>0</v>
      </c>
      <c r="P91" s="200"/>
      <c r="Q91" s="469">
        <f t="shared" si="8"/>
        <v>8346009.0978532694</v>
      </c>
      <c r="R91" s="216">
        <f>SUM(Q80:Q91)</f>
        <v>91059144.075471699</v>
      </c>
      <c r="S91" s="200"/>
      <c r="T91" s="200"/>
      <c r="U91" s="200"/>
      <c r="V91" s="200"/>
      <c r="W91" s="200"/>
      <c r="X91" s="200"/>
      <c r="Y91" s="200"/>
      <c r="Z91" s="200"/>
      <c r="AA91" s="200"/>
      <c r="AB91" s="200"/>
      <c r="AC91" s="200"/>
      <c r="AD91" s="200"/>
      <c r="AE91" s="200"/>
      <c r="AF91" s="200"/>
      <c r="AG91" s="200"/>
      <c r="AH91" s="200"/>
      <c r="AI91" s="200"/>
      <c r="AJ91" s="200"/>
      <c r="AK91" s="200"/>
      <c r="AL91" s="200"/>
    </row>
    <row r="92" spans="1:38">
      <c r="A92" s="435">
        <f t="shared" si="9"/>
        <v>73</v>
      </c>
      <c r="B92" s="871" t="str">
        <f>CONCATENATE('3. Consumption by Rate Class'!B97,"-",'3. Consumption by Rate Class'!C97)</f>
        <v>2019-January</v>
      </c>
      <c r="C92" s="870">
        <v>9018515.5299999993</v>
      </c>
      <c r="D92" s="934">
        <v>0</v>
      </c>
      <c r="E92" s="935">
        <v>0</v>
      </c>
      <c r="F92" s="941">
        <v>-75134.42</v>
      </c>
      <c r="G92" s="875"/>
      <c r="H92" s="875"/>
      <c r="I92" s="469">
        <f t="shared" si="10"/>
        <v>8943381.1099999994</v>
      </c>
      <c r="J92" s="599">
        <f>IF(J$18='5.Variables'!$B$16,+'5.Variables'!$C33,+IF(J$18='5.Variables'!$B$39,+'5.Variables'!$C56,+IF(J$18='5.Variables'!$B$62,+'5.Variables'!$C70,+IF(J$18='5.Variables'!$B$76,+'5.Variables'!$C84,+IF(J$18='5.Variables'!$B$90,+'5.Variables'!$C98,+IF(J$18='5.Variables'!$B$104,+'5.Variables'!$C112,0))))))</f>
        <v>934.9</v>
      </c>
      <c r="K92" s="599">
        <f>IF(K$18='5.Variables'!$B$16,+'5.Variables'!$C32,+IF(K$18='5.Variables'!$B$39,+'5.Variables'!$C56,+IF(K$18='5.Variables'!$B$62,+'5.Variables'!$C70,+IF(K$18='5.Variables'!$B$76,+'5.Variables'!$C84,+IF(K$18='5.Variables'!$B$90,+'5.Variables'!$C98,+IF(K$18='5.Variables'!$B$104,+'5.Variables'!$C112,0))))))</f>
        <v>0</v>
      </c>
      <c r="L92" s="599">
        <f>IF(L$18='5.Variables'!$B$16,+'5.Variables'!$C32,+IF(L$18='5.Variables'!$B$39,+'5.Variables'!$C56,+IF(L$18='5.Variables'!$B$62,+'5.Variables'!$C70,+IF(L$18='5.Variables'!$B$76,+'5.Variables'!$C84,+IF(L$18='5.Variables'!$B$90,+'5.Variables'!$C98,+IF(L$18='5.Variables'!$B$104,+'5.Variables'!$C112,0))))))</f>
        <v>31</v>
      </c>
      <c r="M92" s="599">
        <f>IF(M$18='5.Variables'!$B$16,+'5.Variables'!$C32,+IF(M$18='5.Variables'!$B$39,+'5.Variables'!$C56,+IF(M$18='5.Variables'!$B$62,+'5.Variables'!$C70,+IF(M$18='5.Variables'!$B$76,+'5.Variables'!$C84,+IF(M$18='5.Variables'!$B$90,+'5.Variables'!$C98,+IF(M$18='5.Variables'!$B$104,+'5.Variables'!$C112,0))))))</f>
        <v>9.09</v>
      </c>
      <c r="N92" s="599">
        <f>IF(N$18='5.Variables'!$B$16,+'5.Variables'!$C32,+IF(N$18='5.Variables'!$B$39,+'5.Variables'!$C56,+IF(N$18='5.Variables'!$B$62,+'5.Variables'!$C70,+IF(N$18='5.Variables'!$B$76,+'5.Variables'!$C84,+IF(N$18='5.Variables'!$B$90,+'5.Variables'!$C98,+IF(N$18='5.Variables'!$B$104,+'5.Variables'!$C112,0))))))</f>
        <v>0</v>
      </c>
      <c r="O92" s="928">
        <v>0</v>
      </c>
      <c r="P92" s="200"/>
      <c r="Q92" s="469">
        <f t="shared" si="8"/>
        <v>8842867.5112066455</v>
      </c>
      <c r="R92" s="216"/>
      <c r="S92" s="200"/>
      <c r="T92" s="200"/>
      <c r="U92" s="200"/>
      <c r="V92" s="200"/>
      <c r="W92" s="200"/>
      <c r="X92" s="200"/>
      <c r="Y92" s="200"/>
      <c r="Z92" s="200"/>
      <c r="AA92" s="200"/>
      <c r="AB92" s="200"/>
      <c r="AC92" s="200"/>
      <c r="AD92" s="200"/>
      <c r="AE92" s="200"/>
      <c r="AF92" s="200"/>
      <c r="AG92" s="200"/>
      <c r="AH92" s="200"/>
      <c r="AI92" s="200"/>
      <c r="AJ92" s="200"/>
      <c r="AK92" s="200"/>
      <c r="AL92" s="200"/>
    </row>
    <row r="93" spans="1:38">
      <c r="A93" s="435">
        <f t="shared" si="9"/>
        <v>74</v>
      </c>
      <c r="B93" s="871" t="str">
        <f>CONCATENATE('3. Consumption by Rate Class'!B98,"-",'3. Consumption by Rate Class'!C98)</f>
        <v>2019-February</v>
      </c>
      <c r="C93" s="870">
        <v>7955445.1100000003</v>
      </c>
      <c r="D93" s="934">
        <v>0</v>
      </c>
      <c r="E93" s="935">
        <v>0</v>
      </c>
      <c r="F93" s="941">
        <v>-67033.110000000015</v>
      </c>
      <c r="G93" s="875"/>
      <c r="H93" s="875"/>
      <c r="I93" s="469">
        <f t="shared" si="10"/>
        <v>7888412</v>
      </c>
      <c r="J93" s="599">
        <f>IF(J$18='5.Variables'!$B$16,+'5.Variables'!$D33+IF(J$18='5.Variables'!$B$39,+'5.Variables'!$D56,+IF(J$18='5.Variables'!$B$62,+'5.Variables'!$D70,+IF(J$18='5.Variables'!$B$76,+'5.Variables'!$D84,+IF(J$18='5.Variables'!$B$90,+'5.Variables'!$D98,+IF(J$18='5.Variables'!$B$104,+'5.Variables'!$D112,0))))))</f>
        <v>762.2</v>
      </c>
      <c r="K93" s="599">
        <f>IF(K$18='5.Variables'!$B$16,+'5.Variables'!$D32,+IF(K$18='5.Variables'!$B$39,+'5.Variables'!$D56,+IF(K$18='5.Variables'!$B$62,+'5.Variables'!$D70,+IF(K$18='5.Variables'!$B$76,+'5.Variables'!$D84,+IF(K$18='5.Variables'!$B$90,+'5.Variables'!$D98,+IF(K$18='5.Variables'!$B$104,+'5.Variables'!$D112,0))))))</f>
        <v>0</v>
      </c>
      <c r="L93" s="599">
        <f>IF(L$18='5.Variables'!$B$16,+'5.Variables'!$D32,+IF(L$18='5.Variables'!$B$39,+'5.Variables'!$D56,+IF(L$18='5.Variables'!$B$62,+'5.Variables'!$D70,+IF(L$18='5.Variables'!$B$76,+'5.Variables'!$D84,+IF(L$18='5.Variables'!$B$90,+'5.Variables'!$D98,+IF(L$18='5.Variables'!$B$104,+'5.Variables'!$D112,0))))))</f>
        <v>28</v>
      </c>
      <c r="M93" s="599">
        <f>IF(M$18='5.Variables'!$B$16,+'5.Variables'!$D32,+IF(M$18='5.Variables'!$B$39,+'5.Variables'!$D56,+IF(M$18='5.Variables'!$B$62,+'5.Variables'!$D70,+IF(M$18='5.Variables'!$B$76,+'5.Variables'!$D84,+IF(M$18='5.Variables'!$B$90,+'5.Variables'!$D98,+IF(M$18='5.Variables'!$B$104,+'5.Variables'!$D112,0))))))</f>
        <v>10.19</v>
      </c>
      <c r="N93" s="599">
        <f>IF(N$18='5.Variables'!$B$16,+'5.Variables'!$D32,+IF(N$18='5.Variables'!$B$39,+'5.Variables'!$D56,+IF(N$18='5.Variables'!$B$62,+'5.Variables'!$D70,+IF(N$18='5.Variables'!$B$76,+'5.Variables'!$D84,+IF(N$18='5.Variables'!$B$90,+'5.Variables'!$D98,+IF(N$18='5.Variables'!$B$104,+'5.Variables'!$D112,0))))))</f>
        <v>0</v>
      </c>
      <c r="O93" s="928">
        <v>0</v>
      </c>
      <c r="P93" s="200"/>
      <c r="Q93" s="469">
        <f t="shared" si="8"/>
        <v>7858298.3714587232</v>
      </c>
      <c r="R93" s="216"/>
      <c r="S93" s="200"/>
      <c r="T93" s="200"/>
      <c r="U93" s="200"/>
      <c r="V93" s="200"/>
      <c r="W93" s="200"/>
      <c r="X93" s="200"/>
      <c r="Y93" s="200"/>
      <c r="Z93" s="200"/>
      <c r="AA93" s="200"/>
      <c r="AB93" s="200"/>
      <c r="AC93" s="200"/>
      <c r="AD93" s="200"/>
      <c r="AE93" s="200"/>
      <c r="AF93" s="200"/>
      <c r="AG93" s="200"/>
      <c r="AH93" s="200"/>
      <c r="AI93" s="200"/>
      <c r="AJ93" s="200"/>
      <c r="AK93" s="200"/>
      <c r="AL93" s="200"/>
    </row>
    <row r="94" spans="1:38">
      <c r="A94" s="435">
        <f t="shared" si="9"/>
        <v>75</v>
      </c>
      <c r="B94" s="871" t="str">
        <f>CONCATENATE('3. Consumption by Rate Class'!B99,"-",'3. Consumption by Rate Class'!C99)</f>
        <v>2019-March</v>
      </c>
      <c r="C94" s="870">
        <v>8179460.4699999997</v>
      </c>
      <c r="D94" s="934">
        <v>0</v>
      </c>
      <c r="E94" s="935">
        <v>0</v>
      </c>
      <c r="F94" s="941">
        <v>-61073.26</v>
      </c>
      <c r="G94" s="875"/>
      <c r="H94" s="875"/>
      <c r="I94" s="469">
        <f t="shared" si="10"/>
        <v>8118387.21</v>
      </c>
      <c r="J94" s="599">
        <f>IF(J$18='5.Variables'!$B$16,+'5.Variables'!$E33,+IF(J$18='5.Variables'!$B$39,+'5.Variables'!$E56,+IF(J$18='5.Variables'!$B$62,+'5.Variables'!$E70,+IF(J$18='5.Variables'!$B$76,+'5.Variables'!$E84,+IF(J$18='5.Variables'!$B$90,+'5.Variables'!$E98,+IF(J$18='5.Variables'!$B$104,+'5.Variables'!$E112,0))))))</f>
        <v>666.1</v>
      </c>
      <c r="K94" s="599">
        <f>IF(K$18='5.Variables'!$B$16,+'5.Variables'!$E32,+IF(K$18='5.Variables'!$B$39,+'5.Variables'!$E56,+IF(K$18='5.Variables'!$B$62,+'5.Variables'!$E70,+IF(K$18='5.Variables'!$B$76,+'5.Variables'!$E84,+IF(K$18='5.Variables'!$B$90,+'5.Variables'!$E98,+IF(K$18='5.Variables'!$B$104,+'5.Variables'!$E112,0))))))</f>
        <v>0</v>
      </c>
      <c r="L94" s="599">
        <f>IF(L$18='5.Variables'!$B$16,+'5.Variables'!$E32,+IF(L$18='5.Variables'!$B$39,+'5.Variables'!$E56,+IF(L$18='5.Variables'!$B$62,+'5.Variables'!$E70,+IF(L$18='5.Variables'!$B$76,+'5.Variables'!$E84,+IF(L$18='5.Variables'!$B$90,+'5.Variables'!$E98,+IF(L$18='5.Variables'!$B$104,+'5.Variables'!$E112,0))))))</f>
        <v>31</v>
      </c>
      <c r="M94" s="599">
        <f>IF(M$18='5.Variables'!$B$16,+'5.Variables'!$E32,+IF(M$18='5.Variables'!$B$39,+'5.Variables'!$E56,+IF(M$18='5.Variables'!$B$62,+'5.Variables'!$E70,+IF(M$18='5.Variables'!$B$76,+'5.Variables'!$E84,+IF(M$18='5.Variables'!$B$90,+'5.Variables'!$E98,+IF(M$18='5.Variables'!$B$104,+'5.Variables'!$E112,0))))))</f>
        <v>11.51</v>
      </c>
      <c r="N94" s="599">
        <f>IF(N$18='5.Variables'!$B$16,+'5.Variables'!$E32,+IF(N$18='5.Variables'!$B$39,+'5.Variables'!$E56,+IF(N$18='5.Variables'!$B$62,+'5.Variables'!$E70,+IF(N$18='5.Variables'!$B$76,+'5.Variables'!$E84,+IF(N$18='5.Variables'!$B$90,+'5.Variables'!$E98,+IF(N$18='5.Variables'!$B$104,+'5.Variables'!$E112,0))))))</f>
        <v>0</v>
      </c>
      <c r="O94" s="928">
        <v>0</v>
      </c>
      <c r="P94" s="200"/>
      <c r="Q94" s="469">
        <f t="shared" si="8"/>
        <v>8049311.1148347659</v>
      </c>
      <c r="R94" s="216"/>
      <c r="S94" s="200"/>
      <c r="T94" s="200"/>
      <c r="U94" s="200"/>
      <c r="V94" s="200"/>
      <c r="W94" s="200"/>
      <c r="X94" s="200"/>
      <c r="Y94" s="200"/>
      <c r="Z94" s="200"/>
      <c r="AA94" s="200"/>
      <c r="AB94" s="200"/>
      <c r="AC94" s="200"/>
      <c r="AD94" s="200"/>
      <c r="AE94" s="200"/>
      <c r="AF94" s="200"/>
      <c r="AG94" s="200"/>
      <c r="AH94" s="200"/>
      <c r="AI94" s="200"/>
      <c r="AJ94" s="200"/>
      <c r="AK94" s="200"/>
      <c r="AL94" s="200"/>
    </row>
    <row r="95" spans="1:38">
      <c r="A95" s="435">
        <f t="shared" si="9"/>
        <v>76</v>
      </c>
      <c r="B95" s="871" t="str">
        <f>CONCATENATE('3. Consumption by Rate Class'!B100,"-",'3. Consumption by Rate Class'!C100)</f>
        <v>2019-April</v>
      </c>
      <c r="C95" s="870">
        <v>7068945.6100000003</v>
      </c>
      <c r="D95" s="934">
        <v>0</v>
      </c>
      <c r="E95" s="935">
        <v>0</v>
      </c>
      <c r="F95" s="941">
        <v>-51121.5</v>
      </c>
      <c r="G95" s="875"/>
      <c r="H95" s="875"/>
      <c r="I95" s="469">
        <f t="shared" si="10"/>
        <v>7017824.1100000003</v>
      </c>
      <c r="J95" s="599">
        <f>IF(J$18='5.Variables'!$B$16,+'5.Variables'!$F33,+IF(J$18='5.Variables'!$B$39,+'5.Variables'!$F56,+IF(J$18='5.Variables'!$B$62,+'5.Variables'!$F70,+IF(J$18='5.Variables'!$B$76,+'5.Variables'!$F84,+IF(J$18='5.Variables'!$B$90,+'5.Variables'!$F98,+IF(J$18='5.Variables'!$B$104,+'5.Variables'!$F112,0))))))</f>
        <v>398.8</v>
      </c>
      <c r="K95" s="599">
        <f>IF(K$18='5.Variables'!$B$16,+'5.Variables'!$F32,+IF(K$18='5.Variables'!$B$39,+'5.Variables'!$F56,+IF(K$18='5.Variables'!$B$62,+'5.Variables'!$F70,+IF(K$18='5.Variables'!$B$76,+'5.Variables'!$F84,+IF(K$18='5.Variables'!$B$90,+'5.Variables'!$F98,+IF(K$18='5.Variables'!$B$104,+'5.Variables'!$F112,0))))))</f>
        <v>0</v>
      </c>
      <c r="L95" s="599">
        <f>IF(L$18='5.Variables'!$B$16,+'5.Variables'!$F32,+IF(L$18='5.Variables'!$B$39,+'5.Variables'!$F56,+IF(L$18='5.Variables'!$B$62,+'5.Variables'!$F70,+IF(L$18='5.Variables'!$B$76,+'5.Variables'!$F84,+IF(L$18='5.Variables'!$B$90,+'5.Variables'!$F98,+IF(L$18='5.Variables'!$B$104,+'5.Variables'!$F112,0))))))</f>
        <v>30</v>
      </c>
      <c r="M95" s="599">
        <f>IF(M$18='5.Variables'!$B$16,+'5.Variables'!$F32,+IF(M$18='5.Variables'!$B$39,+'5.Variables'!$F56,+IF(M$18='5.Variables'!$B$62,+'5.Variables'!$F70,+IF(M$18='5.Variables'!$B$76,+'5.Variables'!$F84,+IF(M$18='5.Variables'!$B$90,+'5.Variables'!$F98,+IF(M$18='5.Variables'!$B$104,+'5.Variables'!$F112,0))))))</f>
        <v>13.28</v>
      </c>
      <c r="N95" s="599">
        <f>IF(N$18='5.Variables'!$B$16,+'5.Variables'!$F32,+IF(N$18='5.Variables'!$B$39,+'5.Variables'!$F56,+IF(N$18='5.Variables'!$B$62,+'5.Variables'!$F70,+IF(N$18='5.Variables'!$B$76,+'5.Variables'!$F84,+IF(N$18='5.Variables'!$B$90,+'5.Variables'!$F98,+IF(N$18='5.Variables'!$B$104,+'5.Variables'!$F112,0))))))</f>
        <v>0</v>
      </c>
      <c r="O95" s="928">
        <v>0</v>
      </c>
      <c r="P95" s="200"/>
      <c r="Q95" s="469">
        <f t="shared" si="8"/>
        <v>7101942.7252496611</v>
      </c>
      <c r="R95" s="216"/>
      <c r="S95" s="200"/>
      <c r="T95" s="200"/>
      <c r="U95" s="200"/>
      <c r="V95" s="200"/>
      <c r="W95" s="200"/>
      <c r="X95" s="200"/>
      <c r="Y95" s="200"/>
      <c r="Z95" s="200"/>
      <c r="AA95" s="200"/>
      <c r="AB95" s="200"/>
      <c r="AC95" s="200"/>
      <c r="AD95" s="200"/>
      <c r="AE95" s="200"/>
      <c r="AF95" s="200"/>
      <c r="AG95" s="200"/>
      <c r="AH95" s="200"/>
      <c r="AI95" s="200"/>
      <c r="AJ95" s="200"/>
      <c r="AK95" s="200"/>
      <c r="AL95" s="200"/>
    </row>
    <row r="96" spans="1:38">
      <c r="A96" s="435">
        <f t="shared" si="9"/>
        <v>77</v>
      </c>
      <c r="B96" s="871" t="str">
        <f>CONCATENATE('3. Consumption by Rate Class'!B101,"-",'3. Consumption by Rate Class'!C101)</f>
        <v>2019-May</v>
      </c>
      <c r="C96" s="870">
        <v>6770142.2000000002</v>
      </c>
      <c r="D96" s="934">
        <v>0</v>
      </c>
      <c r="E96" s="935">
        <v>0</v>
      </c>
      <c r="F96" s="941">
        <v>-45969.16</v>
      </c>
      <c r="G96" s="875"/>
      <c r="H96" s="875"/>
      <c r="I96" s="469">
        <f t="shared" si="10"/>
        <v>6724173.04</v>
      </c>
      <c r="J96" s="599">
        <f>IF(J$18='5.Variables'!$B$16,+'5.Variables'!$G33,+IF(J$18='5.Variables'!$B$39,+'5.Variables'!$G56,+IF(J$18='5.Variables'!$B$62,+'5.Variables'!$G70,+IF(J$18='5.Variables'!$B$76,+'5.Variables'!$G84,+IF(J$18='5.Variables'!$B$90,+'5.Variables'!$G98,+IF(J$18='5.Variables'!$B$104,+'5.Variables'!$G112,0))))))</f>
        <v>213.2</v>
      </c>
      <c r="K96" s="599">
        <f>IF(K$18='5.Variables'!$B$16,+'5.Variables'!$G32,+IF(K$18='5.Variables'!$B$39,+'5.Variables'!$G56,+IF(K$18='5.Variables'!$B$62,+'5.Variables'!$G70,+IF(K$18='5.Variables'!$B$76,+'5.Variables'!$G84,+IF(K$18='5.Variables'!$B$90,+'5.Variables'!$G98,+IF(K$18='5.Variables'!$B$104,+'5.Variables'!$G112,0))))))</f>
        <v>0</v>
      </c>
      <c r="L96" s="599">
        <f>IF(L$18='5.Variables'!$B$16,+'5.Variables'!$G32,+IF(L$18='5.Variables'!$B$39,+'5.Variables'!$G56,+IF(L$18='5.Variables'!$B$62,+'5.Variables'!$G70,+IF(L$18='5.Variables'!$B$76,+'5.Variables'!$G84,+IF(L$18='5.Variables'!$B$90,+'5.Variables'!$G98,+IF(L$18='5.Variables'!$B$104,+'5.Variables'!$G112,0))))))</f>
        <v>31</v>
      </c>
      <c r="M96" s="599">
        <f>IF(M$18='5.Variables'!$B$16,+'5.Variables'!$G32,+IF(M$18='5.Variables'!$B$39,+'5.Variables'!$G56,+IF(M$18='5.Variables'!$B$62,+'5.Variables'!$G70,+IF(M$18='5.Variables'!$B$76,+'5.Variables'!$G84,+IF(M$18='5.Variables'!$B$90,+'5.Variables'!$G98,+IF(M$18='5.Variables'!$B$104,+'5.Variables'!$G112,0))))))</f>
        <v>14.52</v>
      </c>
      <c r="N96" s="599">
        <f>IF(N$18='5.Variables'!$B$16,+'5.Variables'!$G32,+IF(N$18='5.Variables'!$B$39,+'5.Variables'!$G56,+IF(N$18='5.Variables'!$B$62,+'5.Variables'!$G70,+IF(N$18='5.Variables'!$B$76,+'5.Variables'!$G84,+IF(N$18='5.Variables'!$B$90,+'5.Variables'!$G98,+IF(N$18='5.Variables'!$B$104,+'5.Variables'!$G112,0))))))</f>
        <v>0</v>
      </c>
      <c r="O96" s="928">
        <v>0</v>
      </c>
      <c r="P96" s="200"/>
      <c r="Q96" s="469">
        <f t="shared" si="8"/>
        <v>6712251.2490727697</v>
      </c>
      <c r="R96" s="216"/>
      <c r="S96" s="200"/>
      <c r="T96" s="200"/>
      <c r="U96" s="200"/>
      <c r="V96" s="200"/>
      <c r="W96" s="200"/>
      <c r="X96" s="200"/>
      <c r="Y96" s="200"/>
      <c r="Z96" s="200"/>
      <c r="AA96" s="200"/>
      <c r="AB96" s="200"/>
      <c r="AC96" s="200"/>
      <c r="AD96" s="200"/>
      <c r="AE96" s="200"/>
      <c r="AF96" s="200"/>
      <c r="AG96" s="200"/>
      <c r="AH96" s="200"/>
      <c r="AI96" s="200"/>
      <c r="AJ96" s="200"/>
      <c r="AK96" s="200"/>
      <c r="AL96" s="200"/>
    </row>
    <row r="97" spans="1:38">
      <c r="A97" s="435">
        <f t="shared" si="9"/>
        <v>78</v>
      </c>
      <c r="B97" s="871" t="str">
        <f>CONCATENATE('3. Consumption by Rate Class'!B102,"-",'3. Consumption by Rate Class'!C102)</f>
        <v>2019-June</v>
      </c>
      <c r="C97" s="870">
        <v>6733185.71</v>
      </c>
      <c r="D97" s="934">
        <v>0</v>
      </c>
      <c r="E97" s="935">
        <v>0</v>
      </c>
      <c r="F97" s="941">
        <v>-40570.28</v>
      </c>
      <c r="G97" s="875"/>
      <c r="H97" s="875"/>
      <c r="I97" s="469">
        <f t="shared" si="10"/>
        <v>6692615.4299999997</v>
      </c>
      <c r="J97" s="599">
        <f>IF(J$18='5.Variables'!$B$16,+'5.Variables'!$H33,+IF(J$18='5.Variables'!$B$39,+'5.Variables'!$H56,+IF(J$18='5.Variables'!$B$62,+'5.Variables'!$H70,+IF(J$18='5.Variables'!$B$76,+'5.Variables'!$H84,+IF(J$18='5.Variables'!$B$90,+'5.Variables'!$H98,+IF(J$18='5.Variables'!$B$104,+'5.Variables'!$H112,0))))))</f>
        <v>57.2</v>
      </c>
      <c r="K97" s="599">
        <f>IF(K$18='5.Variables'!$B$16,+'5.Variables'!$H32,+IF(K$18='5.Variables'!$B$39,+'5.Variables'!$H56,+IF(K$18='5.Variables'!$B$62,+'5.Variables'!$H70,+IF(K$18='5.Variables'!$B$76,+'5.Variables'!$H84,+IF(K$18='5.Variables'!$B$90,+'5.Variables'!$H98,+IF(K$18='5.Variables'!$B$104,+'5.Variables'!$H112,0))))))</f>
        <v>32</v>
      </c>
      <c r="L97" s="599">
        <f>IF(L$18='5.Variables'!$B$16,+'5.Variables'!$H32,+IF(L$18='5.Variables'!$B$39,+'5.Variables'!$H56,+IF(L$18='5.Variables'!$B$62,+'5.Variables'!$H70,+IF(L$18='5.Variables'!$B$76,+'5.Variables'!$H84,+IF(L$18='5.Variables'!$B$90,+'5.Variables'!$H98,+IF(L$18='5.Variables'!$B$104,+'5.Variables'!$H112,0))))))</f>
        <v>30</v>
      </c>
      <c r="M97" s="599">
        <f>IF(M$18='5.Variables'!$B$16,+'5.Variables'!$H32,+IF(M$18='5.Variables'!$B$39,+'5.Variables'!$H56,+IF(M$18='5.Variables'!$B$62,+'5.Variables'!$H70,+IF(M$18='5.Variables'!$B$76,+'5.Variables'!$H84,+IF(M$18='5.Variables'!$B$90,+'5.Variables'!$H98,+IF(M$18='5.Variables'!$B$104,+'5.Variables'!$H112,0))))))</f>
        <v>15.35</v>
      </c>
      <c r="N97" s="599">
        <f>IF(N$18='5.Variables'!$B$16,+'5.Variables'!$H32,+IF(N$18='5.Variables'!$B$39,+'5.Variables'!$H56,+IF(N$18='5.Variables'!$B$62,+'5.Variables'!$H70,+IF(N$18='5.Variables'!$B$76,+'5.Variables'!$H84,+IF(N$18='5.Variables'!$B$90,+'5.Variables'!$H98,+IF(N$18='5.Variables'!$B$104,+'5.Variables'!$H112,0))))))</f>
        <v>0</v>
      </c>
      <c r="O97" s="928">
        <v>0</v>
      </c>
      <c r="P97" s="200"/>
      <c r="Q97" s="469">
        <f t="shared" si="8"/>
        <v>6584960.9814231005</v>
      </c>
      <c r="R97" s="216"/>
      <c r="S97" s="200"/>
      <c r="T97" s="200"/>
      <c r="U97" s="200"/>
      <c r="V97" s="200"/>
      <c r="W97" s="200"/>
      <c r="X97" s="200"/>
      <c r="Y97" s="200"/>
      <c r="Z97" s="200"/>
      <c r="AA97" s="200"/>
      <c r="AB97" s="200"/>
      <c r="AC97" s="200"/>
      <c r="AD97" s="200"/>
      <c r="AE97" s="200"/>
      <c r="AF97" s="200"/>
      <c r="AG97" s="200"/>
      <c r="AH97" s="200"/>
      <c r="AI97" s="200"/>
      <c r="AJ97" s="200"/>
      <c r="AK97" s="200"/>
      <c r="AL97" s="200"/>
    </row>
    <row r="98" spans="1:38">
      <c r="A98" s="435">
        <f t="shared" si="9"/>
        <v>79</v>
      </c>
      <c r="B98" s="871" t="str">
        <f>CONCATENATE('3. Consumption by Rate Class'!B103,"-",'3. Consumption by Rate Class'!C103)</f>
        <v>2019-July</v>
      </c>
      <c r="C98" s="870">
        <v>8281424.6699999999</v>
      </c>
      <c r="D98" s="934">
        <v>0</v>
      </c>
      <c r="E98" s="935">
        <v>0</v>
      </c>
      <c r="F98" s="941">
        <v>-44087.020000000004</v>
      </c>
      <c r="G98" s="875"/>
      <c r="H98" s="875"/>
      <c r="I98" s="469">
        <f t="shared" si="10"/>
        <v>8237337.6500000004</v>
      </c>
      <c r="J98" s="599">
        <f>IF(J$18='5.Variables'!$B$16,+'5.Variables'!$I33,+IF(J$18='5.Variables'!$B$39,+'5.Variables'!$I56,+IF(J$18='5.Variables'!$B$62,+'5.Variables'!$I70,+IF(J$18='5.Variables'!$B$76,+'5.Variables'!$I84,+IF(J$18='5.Variables'!$B$90,+'5.Variables'!$I98,+IF(J$18='5.Variables'!$B$104,+'5.Variables'!$I112,0))))))</f>
        <v>0</v>
      </c>
      <c r="K98" s="599">
        <f>IF(K$18='5.Variables'!$B$16,+'5.Variables'!$I32,+IF(K$18='5.Variables'!$B$39,+'5.Variables'!$I56,+IF(K$18='5.Variables'!$B$62,+'5.Variables'!$I70,+IF(K$18='5.Variables'!$B$76,+'5.Variables'!$I84,+IF(K$18='5.Variables'!$B$90,+'5.Variables'!$I98,+IF(K$18='5.Variables'!$B$104,+'5.Variables'!$I112,0))))))</f>
        <v>133.1</v>
      </c>
      <c r="L98" s="599">
        <f>IF(L$18='5.Variables'!$B$16,+'5.Variables'!$I32,+IF(L$18='5.Variables'!$B$39,+'5.Variables'!$I56,+IF(L$18='5.Variables'!$B$62,+'5.Variables'!$I70,+IF(L$18='5.Variables'!$B$76,+'5.Variables'!$I84,+IF(L$18='5.Variables'!$B$90,+'5.Variables'!$I98,+IF(L$18='5.Variables'!$B$104,+'5.Variables'!$I112,0))))))</f>
        <v>31</v>
      </c>
      <c r="M98" s="599">
        <f>IF(M$18='5.Variables'!$B$16,+'5.Variables'!$I32,+IF(M$18='5.Variables'!$B$39,+'5.Variables'!$I56,+IF(M$18='5.Variables'!$B$62,+'5.Variables'!$I70,+IF(M$18='5.Variables'!$B$76,+'5.Variables'!$I84,+IF(M$18='5.Variables'!$B$90,+'5.Variables'!$I98,+IF(M$18='5.Variables'!$B$104,+'5.Variables'!$I112,0))))))</f>
        <v>15.15</v>
      </c>
      <c r="N98" s="599">
        <f>IF(N$18='5.Variables'!$B$16,+'5.Variables'!$I32,+IF(N$18='5.Variables'!$B$39,+'5.Variables'!$I56,+IF(N$18='5.Variables'!$B$62,+'5.Variables'!$I70,+IF(N$18='5.Variables'!$B$76,+'5.Variables'!$I84,+IF(N$18='5.Variables'!$B$90,+'5.Variables'!$I98,+IF(N$18='5.Variables'!$B$104,+'5.Variables'!$I112,0))))))</f>
        <v>0</v>
      </c>
      <c r="O98" s="928">
        <v>0</v>
      </c>
      <c r="P98" s="200"/>
      <c r="Q98" s="469">
        <f t="shared" si="8"/>
        <v>8127155.1238409234</v>
      </c>
      <c r="R98" s="216"/>
      <c r="S98" s="200"/>
      <c r="T98" s="200"/>
      <c r="U98" s="200"/>
      <c r="V98" s="200"/>
      <c r="W98" s="200"/>
      <c r="X98" s="200"/>
      <c r="Y98" s="200"/>
      <c r="Z98" s="200"/>
      <c r="AA98" s="200"/>
      <c r="AB98" s="200"/>
      <c r="AC98" s="200"/>
      <c r="AD98" s="200"/>
      <c r="AE98" s="200"/>
      <c r="AF98" s="200"/>
      <c r="AG98" s="200"/>
      <c r="AH98" s="200"/>
      <c r="AI98" s="200"/>
      <c r="AJ98" s="200"/>
      <c r="AK98" s="200"/>
      <c r="AL98" s="200"/>
    </row>
    <row r="99" spans="1:38">
      <c r="A99" s="435">
        <f t="shared" si="9"/>
        <v>80</v>
      </c>
      <c r="B99" s="871" t="str">
        <f>CONCATENATE('3. Consumption by Rate Class'!B104,"-",'3. Consumption by Rate Class'!C104)</f>
        <v>2019-August</v>
      </c>
      <c r="C99" s="870">
        <v>7244242.1699999999</v>
      </c>
      <c r="D99" s="934">
        <v>0</v>
      </c>
      <c r="E99" s="935">
        <v>0</v>
      </c>
      <c r="F99" s="941">
        <v>-50426.47</v>
      </c>
      <c r="G99" s="875"/>
      <c r="H99" s="875"/>
      <c r="I99" s="469">
        <f t="shared" si="10"/>
        <v>7193815.7000000002</v>
      </c>
      <c r="J99" s="599">
        <f>IF(J$18='5.Variables'!$B$16,+'5.Variables'!$J33,+IF(J$18='5.Variables'!$B$39,+'5.Variables'!$J56,+IF(J$18='5.Variables'!$B$62,+'5.Variables'!$J70,+IF(J$18='5.Variables'!$B$76,+'5.Variables'!$J84,+IF(J$18='5.Variables'!$B$90,+'5.Variables'!$J98,+IF(J$18='5.Variables'!$B$104,+'5.Variables'!$J112,0))))))</f>
        <v>6.3</v>
      </c>
      <c r="K99" s="599">
        <f>IF(K$18='5.Variables'!$B$16,+'5.Variables'!$J32,+IF(K$18='5.Variables'!$B$39,+'5.Variables'!$J56,+IF(K$18='5.Variables'!$B$62,+'5.Variables'!$J70,+IF(K$18='5.Variables'!$B$76,+'5.Variables'!$J84,+IF(K$18='5.Variables'!$B$90,+'5.Variables'!$J98,+IF(K$18='5.Variables'!$B$104,+'5.Variables'!$J112,0))))))</f>
        <v>54.8</v>
      </c>
      <c r="L99" s="599">
        <f>IF(L$18='5.Variables'!$B$16,+'5.Variables'!$J32,+IF(L$18='5.Variables'!$B$39,+'5.Variables'!$J56,+IF(L$18='5.Variables'!$B$62,+'5.Variables'!$J70,+IF(L$18='5.Variables'!$B$76,+'5.Variables'!$J84,+IF(L$18='5.Variables'!$B$90,+'5.Variables'!$J98,+IF(L$18='5.Variables'!$B$104,+'5.Variables'!$J112,0))))))</f>
        <v>31</v>
      </c>
      <c r="M99" s="599">
        <f>IF(M$18='5.Variables'!$B$16,+'5.Variables'!$J32,+IF(M$18='5.Variables'!$B$39,+'5.Variables'!$J56,+IF(M$18='5.Variables'!$B$62,+'5.Variables'!$J70,+IF(M$18='5.Variables'!$B$76,+'5.Variables'!$J84,+IF(M$18='5.Variables'!$B$90,+'5.Variables'!$J98,+IF(M$18='5.Variables'!$B$104,+'5.Variables'!$J112,0))))))</f>
        <v>14.03</v>
      </c>
      <c r="N99" s="599">
        <f>IF(N$18='5.Variables'!$B$16,+'5.Variables'!$J32,+IF(N$18='5.Variables'!$B$39,+'5.Variables'!$J56,+IF(N$18='5.Variables'!$B$62,+'5.Variables'!$J70,+IF(N$18='5.Variables'!$B$76,+'5.Variables'!$J84,+IF(N$18='5.Variables'!$B$90,+'5.Variables'!$J98,+IF(N$18='5.Variables'!$B$104,+'5.Variables'!$J112,0))))))</f>
        <v>0</v>
      </c>
      <c r="O99" s="928">
        <v>0</v>
      </c>
      <c r="P99" s="200"/>
      <c r="Q99" s="469">
        <f t="shared" si="8"/>
        <v>6943124.3948540259</v>
      </c>
      <c r="R99" s="216"/>
      <c r="S99" s="200"/>
      <c r="T99" s="200"/>
      <c r="U99" s="200"/>
      <c r="V99" s="200"/>
      <c r="W99" s="200"/>
      <c r="X99" s="200"/>
      <c r="Y99" s="200"/>
      <c r="Z99" s="200"/>
      <c r="AA99" s="200"/>
      <c r="AB99" s="200"/>
      <c r="AC99" s="200"/>
      <c r="AD99" s="200"/>
      <c r="AE99" s="200"/>
      <c r="AF99" s="200"/>
      <c r="AG99" s="200"/>
      <c r="AH99" s="200"/>
      <c r="AI99" s="200"/>
      <c r="AJ99" s="200"/>
      <c r="AK99" s="200"/>
      <c r="AL99" s="200"/>
    </row>
    <row r="100" spans="1:38">
      <c r="A100" s="435">
        <f t="shared" si="9"/>
        <v>81</v>
      </c>
      <c r="B100" s="871" t="str">
        <f>CONCATENATE('3. Consumption by Rate Class'!B105,"-",'3. Consumption by Rate Class'!C105)</f>
        <v>2019-September</v>
      </c>
      <c r="C100" s="870">
        <v>6329621.7400000002</v>
      </c>
      <c r="D100" s="934">
        <v>0</v>
      </c>
      <c r="E100" s="935">
        <v>0</v>
      </c>
      <c r="F100" s="941">
        <v>-56316.43</v>
      </c>
      <c r="G100" s="875"/>
      <c r="H100" s="875"/>
      <c r="I100" s="469">
        <f t="shared" si="10"/>
        <v>6273305.3100000005</v>
      </c>
      <c r="J100" s="599">
        <f>IF(J$18='5.Variables'!$B$16,+'5.Variables'!$K33,+IF(J$18='5.Variables'!$B$39,+'5.Variables'!$K56,+IF(J$18='5.Variables'!$B$62,+'5.Variables'!$K70,+IF(J$18='5.Variables'!$B$76,+'5.Variables'!$K84,+IF(J$18='5.Variables'!$B$90,+'5.Variables'!$K98,+IF(J$18='5.Variables'!$B$104,+'5.Variables'!$K112,0))))))</f>
        <v>104</v>
      </c>
      <c r="K100" s="599">
        <f>IF(K$18='5.Variables'!$B$16,+'5.Variables'!$K32,+IF(K$18='5.Variables'!$B$39,+'5.Variables'!$K56,+IF(K$18='5.Variables'!$B$62,+'5.Variables'!$K70,+IF(K$18='5.Variables'!$B$76,+'5.Variables'!$K84,+IF(K$18='5.Variables'!$B$90,+'5.Variables'!$K98,+IF(K$18='5.Variables'!$B$104,+'5.Variables'!$K112,0))))))</f>
        <v>9.1</v>
      </c>
      <c r="L100" s="599">
        <f>IF(L$18='5.Variables'!$B$16,+'5.Variables'!$K32,+IF(L$18='5.Variables'!$B$39,+'5.Variables'!$K56,+IF(L$18='5.Variables'!$B$62,+'5.Variables'!$K70,+IF(L$18='5.Variables'!$B$76,+'5.Variables'!$K84,+IF(L$18='5.Variables'!$B$90,+'5.Variables'!$K98,+IF(L$18='5.Variables'!$B$104,+'5.Variables'!$K112,0))))))</f>
        <v>30</v>
      </c>
      <c r="M100" s="599">
        <f>IF(M$18='5.Variables'!$B$16,+'5.Variables'!$K32,+IF(M$18='5.Variables'!$B$39,+'5.Variables'!$K56,+IF(M$18='5.Variables'!$B$62,+'5.Variables'!$K70,+IF(M$18='5.Variables'!$B$76,+'5.Variables'!$K84,+IF(M$18='5.Variables'!$B$90,+'5.Variables'!$K98,+IF(M$18='5.Variables'!$B$104,+'5.Variables'!$K112,0))))))</f>
        <v>12.29</v>
      </c>
      <c r="N100" s="599">
        <f>IF(N$18='5.Variables'!$B$16,+'5.Variables'!$K32,+IF(N$18='5.Variables'!$B$39,+'5.Variables'!$K56,+IF(N$18='5.Variables'!$B$62,+'5.Variables'!$K70,+IF(N$18='5.Variables'!$B$76,+'5.Variables'!$K84,+IF(N$18='5.Variables'!$B$90,+'5.Variables'!$K98,+IF(N$18='5.Variables'!$B$104,+'5.Variables'!$K112,0))))))</f>
        <v>0</v>
      </c>
      <c r="O100" s="928">
        <v>0</v>
      </c>
      <c r="P100" s="200"/>
      <c r="Q100" s="469">
        <f t="shared" si="8"/>
        <v>6371397.8669387344</v>
      </c>
      <c r="R100" s="216"/>
      <c r="S100" s="200"/>
      <c r="T100" s="200"/>
      <c r="U100" s="200"/>
      <c r="V100" s="200"/>
      <c r="W100" s="200"/>
      <c r="X100" s="200"/>
      <c r="Y100" s="200"/>
      <c r="Z100" s="200"/>
      <c r="AA100" s="200"/>
      <c r="AB100" s="200"/>
      <c r="AC100" s="200"/>
      <c r="AD100" s="200"/>
      <c r="AE100" s="200"/>
      <c r="AF100" s="200"/>
      <c r="AG100" s="200"/>
      <c r="AH100" s="200"/>
      <c r="AI100" s="200"/>
      <c r="AJ100" s="200"/>
      <c r="AK100" s="200"/>
      <c r="AL100" s="200"/>
    </row>
    <row r="101" spans="1:38">
      <c r="A101" s="435">
        <f t="shared" si="9"/>
        <v>82</v>
      </c>
      <c r="B101" s="871" t="str">
        <f>CONCATENATE('3. Consumption by Rate Class'!B106,"-",'3. Consumption by Rate Class'!C106)</f>
        <v>2019-October</v>
      </c>
      <c r="C101" s="870">
        <v>6699270.8300000001</v>
      </c>
      <c r="D101" s="934">
        <v>0</v>
      </c>
      <c r="E101" s="935">
        <v>0</v>
      </c>
      <c r="F101" s="941">
        <v>-66499.34</v>
      </c>
      <c r="G101" s="875"/>
      <c r="H101" s="875"/>
      <c r="I101" s="469">
        <f t="shared" si="10"/>
        <v>6632771.4900000002</v>
      </c>
      <c r="J101" s="599">
        <f>IF(J$18='5.Variables'!$B$16,+'5.Variables'!$L33,+IF(J$18='5.Variables'!$B$39,+'5.Variables'!$L56,+IF(J$18='5.Variables'!$B$62,+'5.Variables'!$L70,+IF(J$18='5.Variables'!$B$76,+'5.Variables'!$L84,+IF(J$18='5.Variables'!$B$90,+'5.Variables'!$L98,+IF(J$18='5.Variables'!$B$104,+'5.Variables'!$L112,0))))))</f>
        <v>286.8</v>
      </c>
      <c r="K101" s="599">
        <f>IF(K$18='5.Variables'!$B$16,+'5.Variables'!$L32,+IF(K$18='5.Variables'!$B$39,+'5.Variables'!$L56,+IF(K$18='5.Variables'!$B$62,+'5.Variables'!$L70,+IF(K$18='5.Variables'!$B$76,+'5.Variables'!$L84,+IF(K$18='5.Variables'!$B$90,+'5.Variables'!$L98,+IF(K$18='5.Variables'!$B$104,+'5.Variables'!$L112,0))))))</f>
        <v>0</v>
      </c>
      <c r="L101" s="599">
        <f>IF(L$18='5.Variables'!$B$16,+'5.Variables'!$L32,+IF(L$18='5.Variables'!$B$39,+'5.Variables'!$L56,+IF(L$18='5.Variables'!$B$62,+'5.Variables'!$L70,+IF(L$18='5.Variables'!$B$76,+'5.Variables'!$L84,+IF(L$18='5.Variables'!$B$90,+'5.Variables'!$L98,+IF(L$18='5.Variables'!$B$104,+'5.Variables'!$L112,0))))))</f>
        <v>31</v>
      </c>
      <c r="M101" s="599">
        <f>IF(M$18='5.Variables'!$B$16,+'5.Variables'!$L32,+IF(M$18='5.Variables'!$B$39,+'5.Variables'!$L56,+IF(M$18='5.Variables'!$B$62,+'5.Variables'!$L70,+IF(M$18='5.Variables'!$B$76,+'5.Variables'!$L84,+IF(M$18='5.Variables'!$B$90,+'5.Variables'!$L98,+IF(M$18='5.Variables'!$B$104,+'5.Variables'!$L112,0))))))</f>
        <v>10.51</v>
      </c>
      <c r="N101" s="599">
        <f>IF(N$18='5.Variables'!$B$16,+'5.Variables'!$L32,+IF(N$18='5.Variables'!$B$39,+'5.Variables'!$L56,+IF(N$18='5.Variables'!$B$62,+'5.Variables'!$L70,+IF(N$18='5.Variables'!$B$76,+'5.Variables'!$L84,+IF(N$18='5.Variables'!$B$90,+'5.Variables'!$L98,+IF(N$18='5.Variables'!$B$104,+'5.Variables'!$L112,0))))))</f>
        <v>0</v>
      </c>
      <c r="O101" s="928">
        <v>0</v>
      </c>
      <c r="P101" s="200"/>
      <c r="Q101" s="469">
        <f t="shared" si="8"/>
        <v>6929534.5480793566</v>
      </c>
      <c r="R101" s="216"/>
      <c r="S101" s="200"/>
      <c r="T101" s="200"/>
      <c r="U101" s="200"/>
      <c r="V101" s="200"/>
      <c r="W101" s="200"/>
      <c r="X101" s="200"/>
      <c r="Y101" s="200"/>
      <c r="Z101" s="200"/>
      <c r="AA101" s="200"/>
      <c r="AB101" s="200"/>
      <c r="AC101" s="200"/>
      <c r="AD101" s="200"/>
      <c r="AE101" s="200"/>
      <c r="AF101" s="200"/>
      <c r="AG101" s="200"/>
      <c r="AH101" s="200"/>
      <c r="AI101" s="200"/>
      <c r="AJ101" s="200"/>
      <c r="AK101" s="200"/>
      <c r="AL101" s="200"/>
    </row>
    <row r="102" spans="1:38">
      <c r="A102" s="435">
        <f t="shared" si="9"/>
        <v>83</v>
      </c>
      <c r="B102" s="871" t="str">
        <f>CONCATENATE('3. Consumption by Rate Class'!B107,"-",'3. Consumption by Rate Class'!C107)</f>
        <v>2019-November</v>
      </c>
      <c r="C102" s="870">
        <v>7690373.0700000003</v>
      </c>
      <c r="D102" s="934">
        <v>0</v>
      </c>
      <c r="E102" s="935">
        <v>0</v>
      </c>
      <c r="F102" s="941">
        <v>-71243.78</v>
      </c>
      <c r="G102" s="875"/>
      <c r="H102" s="875"/>
      <c r="I102" s="469">
        <f t="shared" si="10"/>
        <v>7619129.29</v>
      </c>
      <c r="J102" s="599">
        <f>IF(J$18='5.Variables'!$B$16,+'5.Variables'!$M33,+IF(J$18='5.Variables'!$B$39,+'5.Variables'!$M56,+IF(J$18='5.Variables'!$B$62,+'5.Variables'!$M70,+IF(J$18='5.Variables'!$B$76,+'5.Variables'!$M84,+IF(J$18='5.Variables'!$B$90,+'5.Variables'!$M98,+IF(J$18='5.Variables'!$B$104,+'5.Variables'!$M112,0))))))</f>
        <v>590.6</v>
      </c>
      <c r="K102" s="599">
        <f>IF(K$18='5.Variables'!$B$16,+'5.Variables'!$M32,+IF(K$18='5.Variables'!$B$39,+'5.Variables'!$M56,+IF(K$18='5.Variables'!$B$62,+'5.Variables'!$M70,+IF(K$18='5.Variables'!$B$76,+'5.Variables'!$M84,+IF(K$18='5.Variables'!$B$90,+'5.Variables'!$M98,+IF(K$18='5.Variables'!$B$104,+'5.Variables'!$M112,0))))))</f>
        <v>0</v>
      </c>
      <c r="L102" s="599">
        <f>IF(L$18='5.Variables'!$B$16,+'5.Variables'!$M32,+IF(L$18='5.Variables'!$B$39,+'5.Variables'!$M56,+IF(L$18='5.Variables'!$B$62,+'5.Variables'!$M70,+IF(L$18='5.Variables'!$B$76,+'5.Variables'!$M84,+IF(L$18='5.Variables'!$B$90,+'5.Variables'!$M98,+IF(L$18='5.Variables'!$B$104,+'5.Variables'!$M112,0))))))</f>
        <v>30</v>
      </c>
      <c r="M102" s="599">
        <f>IF(M$18='5.Variables'!$B$16,+'5.Variables'!$M32,+IF(M$18='5.Variables'!$B$39,+'5.Variables'!$M56,+IF(M$18='5.Variables'!$B$62,+'5.Variables'!$M70,+IF(M$18='5.Variables'!$B$76,+'5.Variables'!$M84,+IF(M$18='5.Variables'!$B$90,+'5.Variables'!$M98,+IF(M$18='5.Variables'!$B$104,+'5.Variables'!$M112,0))))))</f>
        <v>9.2799999999999994</v>
      </c>
      <c r="N102" s="599">
        <f>IF(N$18='5.Variables'!$B$16,+'5.Variables'!$M32,+IF(N$18='5.Variables'!$B$39,+'5.Variables'!$M56,+IF(N$18='5.Variables'!$B$62,+'5.Variables'!$M70,+IF(N$18='5.Variables'!$B$76,+'5.Variables'!$M84,+IF(N$18='5.Variables'!$B$90,+'5.Variables'!$M98,+IF(N$18='5.Variables'!$B$104,+'5.Variables'!$M112,0))))))</f>
        <v>0</v>
      </c>
      <c r="O102" s="928">
        <v>0</v>
      </c>
      <c r="P102" s="200"/>
      <c r="Q102" s="469">
        <f t="shared" si="8"/>
        <v>7668178.2789108464</v>
      </c>
      <c r="R102" s="216"/>
      <c r="S102" s="200"/>
      <c r="T102" s="200"/>
      <c r="U102" s="200"/>
      <c r="V102" s="200"/>
      <c r="W102" s="200"/>
      <c r="X102" s="200"/>
      <c r="Y102" s="200"/>
      <c r="Z102" s="200"/>
      <c r="AA102" s="200"/>
      <c r="AB102" s="200"/>
      <c r="AC102" s="200"/>
      <c r="AD102" s="200"/>
      <c r="AE102" s="200"/>
      <c r="AF102" s="200"/>
      <c r="AG102" s="200"/>
      <c r="AH102" s="200"/>
      <c r="AI102" s="200"/>
      <c r="AJ102" s="200"/>
      <c r="AK102" s="200"/>
      <c r="AL102" s="200"/>
    </row>
    <row r="103" spans="1:38">
      <c r="A103" s="435">
        <f t="shared" si="9"/>
        <v>84</v>
      </c>
      <c r="B103" s="451" t="str">
        <f>CONCATENATE('3. Consumption by Rate Class'!B108,"-",'3. Consumption by Rate Class'!C108)</f>
        <v>2019-December</v>
      </c>
      <c r="C103" s="584">
        <v>8301041.0999999996</v>
      </c>
      <c r="D103" s="940">
        <v>0</v>
      </c>
      <c r="E103" s="939">
        <v>0</v>
      </c>
      <c r="F103" s="939">
        <v>-77009.97</v>
      </c>
      <c r="G103" s="880"/>
      <c r="H103" s="880"/>
      <c r="I103" s="881">
        <f t="shared" si="10"/>
        <v>8224031.1299999999</v>
      </c>
      <c r="J103" s="599">
        <f>IF(J$18='5.Variables'!$B$16,+'5.Variables'!$N33,+IF(J$18='5.Variables'!$B$39,+'5.Variables'!$N56,+IF(J$18='5.Variables'!$B$62,+'5.Variables'!$N70,+IF(J$18='5.Variables'!$B$76,+'5.Variables'!$N84,+IF(J$18='5.Variables'!$B$90,+'5.Variables'!$N98,+IF(J$18='5.Variables'!$B$104,+'5.Variables'!$N112,0))))))</f>
        <v>717.2</v>
      </c>
      <c r="K103" s="599">
        <f>IF(K$18='5.Variables'!$B$16,+'5.Variables'!$N32,+IF(K$18='5.Variables'!$B$39,+'5.Variables'!$N56,+IF(K$18='5.Variables'!$B$62,+'5.Variables'!$N70,+IF(K$18='5.Variables'!$B$76,+'5.Variables'!$N84,+IF(K$18='5.Variables'!$B$90,+'5.Variables'!$N98,+IF(K$18='5.Variables'!$B$104,+'5.Variables'!$N112,0))))))</f>
        <v>0</v>
      </c>
      <c r="L103" s="599">
        <f>IF(L$18='5.Variables'!$B$16,+'5.Variables'!$N32,+IF(L$18='5.Variables'!$B$39,+'5.Variables'!$N56,+IF(L$18='5.Variables'!$B$62,+'5.Variables'!$N70,+IF(L$18='5.Variables'!$B$76,+'5.Variables'!$N84,+IF(L$18='5.Variables'!$B$90,+'5.Variables'!$N98,+IF(L$18='5.Variables'!$B$104,+'5.Variables'!$N112,0))))))</f>
        <v>31</v>
      </c>
      <c r="M103" s="599">
        <f>IF(M$18='5.Variables'!$B$16,+'5.Variables'!$N32,+IF(M$18='5.Variables'!$B$39,+'5.Variables'!$N56,+IF(M$18='5.Variables'!$B$62,+'5.Variables'!$N70,+IF(M$18='5.Variables'!$B$76,+'5.Variables'!$N84,+IF(M$18='5.Variables'!$B$90,+'5.Variables'!$N98,+IF(M$18='5.Variables'!$B$104,+'5.Variables'!$N112,0))))))</f>
        <v>8.4700000000000006</v>
      </c>
      <c r="N103" s="599">
        <f>IF(N$18='5.Variables'!$B$16,+'5.Variables'!$N32,+IF(N$18='5.Variables'!$B$39,+'5.Variables'!$N56,+IF(N$18='5.Variables'!$B$62,+'5.Variables'!$N70,+IF(N$18='5.Variables'!$B$76,+'5.Variables'!$N84,+IF(N$18='5.Variables'!$B$90,+'5.Variables'!$N98,+IF(N$18='5.Variables'!$B$104,+'5.Variables'!$N112,0))))))</f>
        <v>0</v>
      </c>
      <c r="O103" s="928">
        <v>0</v>
      </c>
      <c r="P103" s="200"/>
      <c r="Q103" s="469">
        <f t="shared" si="8"/>
        <v>8200169.492270045</v>
      </c>
      <c r="R103" s="216">
        <f>SUM(Q92:Q103)</f>
        <v>89389191.658139586</v>
      </c>
      <c r="S103" s="200"/>
      <c r="T103" s="200"/>
      <c r="U103" s="200"/>
      <c r="V103" s="200"/>
      <c r="W103" s="200"/>
      <c r="X103" s="200"/>
      <c r="Y103" s="200"/>
      <c r="Z103" s="200"/>
      <c r="AA103" s="200"/>
      <c r="AB103" s="200"/>
      <c r="AC103" s="200"/>
      <c r="AD103" s="200"/>
      <c r="AE103" s="200"/>
      <c r="AF103" s="200"/>
      <c r="AG103" s="200"/>
      <c r="AH103" s="200"/>
      <c r="AI103" s="200"/>
      <c r="AJ103" s="200"/>
      <c r="AK103" s="200"/>
      <c r="AL103" s="200"/>
    </row>
    <row r="104" spans="1:38">
      <c r="A104" s="435">
        <f t="shared" si="9"/>
        <v>85</v>
      </c>
      <c r="B104" s="871" t="str">
        <f>CONCATENATE('3. Consumption by Rate Class'!B109,"-",'3. Consumption by Rate Class'!C109)</f>
        <v>2020-January</v>
      </c>
      <c r="C104" s="870">
        <v>8406851.5199999996</v>
      </c>
      <c r="D104" s="934">
        <v>0</v>
      </c>
      <c r="E104" s="935">
        <v>0</v>
      </c>
      <c r="F104" s="941">
        <v>-75141.42</v>
      </c>
      <c r="G104" s="875"/>
      <c r="H104" s="875"/>
      <c r="I104" s="469">
        <f t="shared" si="10"/>
        <v>8331710.0999999996</v>
      </c>
      <c r="J104" s="599">
        <f>IF(J$18='5.Variables'!$B$16,+'5.Variables'!$C34,+IF(J$18='5.Variables'!$B$39,+'5.Variables'!$C57,+IF(J$18='5.Variables'!$B$62,+'5.Variables'!$C71,+IF(J$18='5.Variables'!$B$76,+'5.Variables'!$C85,+IF(J$18='5.Variables'!$B$90,+'5.Variables'!$C99,+IF(J$18='5.Variables'!$B$104,+'5.Variables'!$C113,0))))))</f>
        <v>755.6</v>
      </c>
      <c r="K104" s="599">
        <f>IF(K$18='5.Variables'!$B$16,+'5.Variables'!$C33,+IF(K$18='5.Variables'!$B$39,+'5.Variables'!$C57,+IF(K$18='5.Variables'!$B$62,+'5.Variables'!$C71,+IF(K$18='5.Variables'!$B$76,+'5.Variables'!$C85,+IF(K$18='5.Variables'!$B$90,+'5.Variables'!$C99,+IF(K$18='5.Variables'!$B$104,+'5.Variables'!$C113,0))))))</f>
        <v>0</v>
      </c>
      <c r="L104" s="599">
        <f>IF(L$18='5.Variables'!$B$16,+'5.Variables'!$C33,+IF(L$18='5.Variables'!$B$39,+'5.Variables'!$C57,+IF(L$18='5.Variables'!$B$62,+'5.Variables'!$C71,+IF(L$18='5.Variables'!$B$76,+'5.Variables'!$C85,+IF(L$18='5.Variables'!$B$90,+'5.Variables'!$C99,+IF(L$18='5.Variables'!$B$104,+'5.Variables'!$C113,0))))))</f>
        <v>31</v>
      </c>
      <c r="M104" s="599">
        <f>IF(M$18='5.Variables'!$B$16,+'5.Variables'!$C33,+IF(M$18='5.Variables'!$B$39,+'5.Variables'!$C57,+IF(M$18='5.Variables'!$B$62,+'5.Variables'!$C71,+IF(M$18='5.Variables'!$B$76,+'5.Variables'!$C85,+IF(M$18='5.Variables'!$B$90,+'5.Variables'!$C99,+IF(M$18='5.Variables'!$B$104,+'5.Variables'!$C113,0))))))</f>
        <v>9.09</v>
      </c>
      <c r="N104" s="599">
        <f>IF(N$18='5.Variables'!$B$16,+'5.Variables'!$C33,+IF(N$18='5.Variables'!$B$39,+'5.Variables'!$C57,+IF(N$18='5.Variables'!$B$62,+'5.Variables'!$C71,+IF(N$18='5.Variables'!$B$76,+'5.Variables'!$C85,+IF(N$18='5.Variables'!$B$90,+'5.Variables'!$C99,+IF(N$18='5.Variables'!$B$104,+'5.Variables'!$C113,0))))))</f>
        <v>0</v>
      </c>
      <c r="O104" s="928">
        <v>0</v>
      </c>
      <c r="P104" s="200"/>
      <c r="Q104" s="469">
        <f t="shared" si="8"/>
        <v>8313534.6917517418</v>
      </c>
      <c r="R104" s="216"/>
      <c r="S104" s="200"/>
      <c r="T104" s="200"/>
      <c r="U104" s="200"/>
      <c r="V104" s="200"/>
      <c r="W104" s="200"/>
      <c r="X104" s="200"/>
      <c r="Y104" s="200"/>
      <c r="Z104" s="200"/>
      <c r="AA104" s="200"/>
      <c r="AB104" s="200"/>
      <c r="AC104" s="200"/>
      <c r="AD104" s="200"/>
      <c r="AE104" s="200"/>
      <c r="AF104" s="200"/>
      <c r="AG104" s="200"/>
      <c r="AH104" s="200"/>
      <c r="AI104" s="200"/>
      <c r="AJ104" s="200"/>
      <c r="AK104" s="200"/>
      <c r="AL104" s="200"/>
    </row>
    <row r="105" spans="1:38">
      <c r="A105" s="435">
        <f t="shared" si="9"/>
        <v>86</v>
      </c>
      <c r="B105" s="871" t="str">
        <f>CONCATENATE('3. Consumption by Rate Class'!B110,"-",'3. Consumption by Rate Class'!C110)</f>
        <v>2020-February</v>
      </c>
      <c r="C105" s="870">
        <v>7806220.4699999997</v>
      </c>
      <c r="D105" s="934">
        <v>0</v>
      </c>
      <c r="E105" s="935">
        <v>0</v>
      </c>
      <c r="F105" s="941">
        <v>-70615.110000000015</v>
      </c>
      <c r="G105" s="875"/>
      <c r="H105" s="875"/>
      <c r="I105" s="469">
        <f t="shared" si="10"/>
        <v>7735605.3599999994</v>
      </c>
      <c r="J105" s="599">
        <f>IF(J$18='5.Variables'!$B$16,+'5.Variables'!$D34,+IF(J$18='5.Variables'!$B$39,+'5.Variables'!$D57,+IF(J$18='5.Variables'!$B$62,+'5.Variables'!$D71,+IF(J$18='5.Variables'!$B$76,+'5.Variables'!$D85,+IF(J$18='5.Variables'!$B$90,+'5.Variables'!$D99,+IF(J$18='5.Variables'!$B$104,+'5.Variables'!$D113,0))))))</f>
        <v>725.9</v>
      </c>
      <c r="K105" s="599">
        <f>IF(K$18='5.Variables'!$B$16,+'5.Variables'!$D33,+IF(K$18='5.Variables'!$B$39,+'5.Variables'!$D57,+IF(K$18='5.Variables'!$B$62,+'5.Variables'!$D71,+IF(K$18='5.Variables'!$B$76,+'5.Variables'!$D85,+IF(K$18='5.Variables'!$B$90,+'5.Variables'!$D99,+IF(K$18='5.Variables'!$B$104,+'5.Variables'!$D113,0))))))</f>
        <v>0</v>
      </c>
      <c r="L105" s="599">
        <f>IF(L$18='5.Variables'!$B$16,+'5.Variables'!$D33,+IF(L$18='5.Variables'!$B$39,+'5.Variables'!$D57,+IF(L$18='5.Variables'!$B$62,+'5.Variables'!$D71,+IF(L$18='5.Variables'!$B$76,+'5.Variables'!$D85,+IF(L$18='5.Variables'!$B$90,+'5.Variables'!$D99,+IF(L$18='5.Variables'!$B$104,+'5.Variables'!$D113,0))))))</f>
        <v>29</v>
      </c>
      <c r="M105" s="599">
        <f>IF(M$18='5.Variables'!$B$16,+'5.Variables'!$D33,+IF(M$18='5.Variables'!$B$39,+'5.Variables'!$D57,+IF(M$18='5.Variables'!$B$62,+'5.Variables'!$D71,+IF(M$18='5.Variables'!$B$76,+'5.Variables'!$D85,+IF(M$18='5.Variables'!$B$90,+'5.Variables'!$D99,+IF(M$18='5.Variables'!$B$104,+'5.Variables'!$D113,0))))))</f>
        <v>10.19</v>
      </c>
      <c r="N105" s="599">
        <f>IF(N$18='5.Variables'!$B$16,+'5.Variables'!$D33,+IF(N$18='5.Variables'!$B$39,+'5.Variables'!$D57,+IF(N$18='5.Variables'!$B$62,+'5.Variables'!$D71,+IF(N$18='5.Variables'!$B$76,+'5.Variables'!$D85,+IF(N$18='5.Variables'!$B$90,+'5.Variables'!$D99,+IF(N$18='5.Variables'!$B$104,+'5.Variables'!$D113,0))))))</f>
        <v>0</v>
      </c>
      <c r="O105" s="928">
        <v>0</v>
      </c>
      <c r="P105" s="200"/>
      <c r="Q105" s="469">
        <f t="shared" si="8"/>
        <v>7909373.1526416596</v>
      </c>
      <c r="R105" s="216"/>
      <c r="S105" s="200"/>
      <c r="T105" s="200"/>
      <c r="U105" s="200"/>
      <c r="V105" s="200"/>
      <c r="W105" s="200"/>
      <c r="X105" s="200"/>
      <c r="Y105" s="200"/>
      <c r="Z105" s="200"/>
      <c r="AA105" s="200"/>
      <c r="AB105" s="200"/>
      <c r="AC105" s="200"/>
      <c r="AD105" s="200"/>
      <c r="AE105" s="200"/>
      <c r="AF105" s="200"/>
      <c r="AG105" s="200"/>
      <c r="AH105" s="200"/>
      <c r="AI105" s="200"/>
      <c r="AJ105" s="200"/>
      <c r="AK105" s="200"/>
      <c r="AL105" s="200"/>
    </row>
    <row r="106" spans="1:38">
      <c r="A106" s="435">
        <f t="shared" si="9"/>
        <v>87</v>
      </c>
      <c r="B106" s="871" t="str">
        <f>CONCATENATE('3. Consumption by Rate Class'!B111,"-",'3. Consumption by Rate Class'!C111)</f>
        <v>2020-March</v>
      </c>
      <c r="C106" s="870">
        <v>7815293.9699999997</v>
      </c>
      <c r="D106" s="934">
        <v>0</v>
      </c>
      <c r="E106" s="935">
        <v>0</v>
      </c>
      <c r="F106" s="941">
        <v>-61050.26</v>
      </c>
      <c r="G106" s="875"/>
      <c r="H106" s="875"/>
      <c r="I106" s="469">
        <f t="shared" si="10"/>
        <v>7754243.71</v>
      </c>
      <c r="J106" s="599">
        <f>IF(J$18='5.Variables'!$B$16,+'5.Variables'!$E34,+IF(J$18='5.Variables'!$B$39,+'5.Variables'!$E57,+IF(J$18='5.Variables'!$B$62,+'5.Variables'!$E71,+IF(J$18='5.Variables'!$B$76,+'5.Variables'!$E85,+IF(J$18='5.Variables'!$B$90,+'5.Variables'!$E99,+IF(J$18='5.Variables'!$B$104,+'5.Variables'!$E113,0))))))</f>
        <v>561.70000000000005</v>
      </c>
      <c r="K106" s="599">
        <f>IF(K$18='5.Variables'!$B$16,+'5.Variables'!$E33,+IF(K$18='5.Variables'!$B$39,+'5.Variables'!$E57,+IF(K$18='5.Variables'!$B$62,+'5.Variables'!$E71,+IF(K$18='5.Variables'!$B$76,+'5.Variables'!$E85,+IF(K$18='5.Variables'!$B$90,+'5.Variables'!$E99,+IF(K$18='5.Variables'!$B$104,+'5.Variables'!$E113,0))))))</f>
        <v>0</v>
      </c>
      <c r="L106" s="599">
        <f>IF(L$18='5.Variables'!$B$16,+'5.Variables'!$E33,+IF(L$18='5.Variables'!$B$39,+'5.Variables'!$E57,+IF(L$18='5.Variables'!$B$62,+'5.Variables'!$E71,+IF(L$18='5.Variables'!$B$76,+'5.Variables'!$E85,+IF(L$18='5.Variables'!$B$90,+'5.Variables'!$E99,+IF(L$18='5.Variables'!$B$104,+'5.Variables'!$E113,0))))))</f>
        <v>31</v>
      </c>
      <c r="M106" s="599">
        <f>IF(M$18='5.Variables'!$B$16,+'5.Variables'!$E33,+IF(M$18='5.Variables'!$B$39,+'5.Variables'!$E57,+IF(M$18='5.Variables'!$B$62,+'5.Variables'!$E71,+IF(M$18='5.Variables'!$B$76,+'5.Variables'!$E85,+IF(M$18='5.Variables'!$B$90,+'5.Variables'!$E99,+IF(M$18='5.Variables'!$B$104,+'5.Variables'!$E113,0))))))</f>
        <v>11.51</v>
      </c>
      <c r="N106" s="599">
        <f>IF(N$18='5.Variables'!$B$16,+'5.Variables'!$E33,+IF(N$18='5.Variables'!$B$39,+'5.Variables'!$E57,+IF(N$18='5.Variables'!$B$62,+'5.Variables'!$E71,+IF(N$18='5.Variables'!$B$76,+'5.Variables'!$E85,+IF(N$18='5.Variables'!$B$90,+'5.Variables'!$E99,+IF(N$18='5.Variables'!$B$104,+'5.Variables'!$E113,0))))))</f>
        <v>0</v>
      </c>
      <c r="O106" s="928">
        <v>0</v>
      </c>
      <c r="P106" s="200"/>
      <c r="Q106" s="469">
        <f t="shared" si="8"/>
        <v>7741099.4787439015</v>
      </c>
      <c r="R106" s="216"/>
      <c r="S106" s="200"/>
      <c r="T106" s="200"/>
      <c r="U106" s="200"/>
      <c r="V106" s="200"/>
      <c r="W106" s="200"/>
      <c r="X106" s="200"/>
      <c r="Y106" s="200"/>
      <c r="Z106" s="200"/>
      <c r="AA106" s="200"/>
      <c r="AB106" s="200"/>
      <c r="AC106" s="200"/>
      <c r="AD106" s="200"/>
      <c r="AE106" s="200"/>
      <c r="AF106" s="200"/>
      <c r="AG106" s="200"/>
      <c r="AH106" s="200"/>
      <c r="AI106" s="200"/>
      <c r="AJ106" s="200"/>
      <c r="AK106" s="200"/>
      <c r="AL106" s="200"/>
    </row>
    <row r="107" spans="1:38">
      <c r="A107" s="435">
        <f t="shared" si="9"/>
        <v>88</v>
      </c>
      <c r="B107" s="871" t="str">
        <f>CONCATENATE('3. Consumption by Rate Class'!B112,"-",'3. Consumption by Rate Class'!C112)</f>
        <v>2020-April</v>
      </c>
      <c r="C107" s="870">
        <v>6650741.9199999999</v>
      </c>
      <c r="D107" s="934">
        <v>0</v>
      </c>
      <c r="E107" s="935">
        <v>0</v>
      </c>
      <c r="F107" s="941">
        <v>-51103.5</v>
      </c>
      <c r="G107" s="875"/>
      <c r="H107" s="875"/>
      <c r="I107" s="469">
        <f t="shared" si="10"/>
        <v>6599638.4199999999</v>
      </c>
      <c r="J107" s="599">
        <f>IF(J$18='5.Variables'!$B$16,+'5.Variables'!$F34,+IF(J$18='5.Variables'!$B$39,+'5.Variables'!$F57,+IF(J$18='5.Variables'!$B$62,+'5.Variables'!$F71,+IF(J$18='5.Variables'!$B$76,+'5.Variables'!$F85,+IF(J$18='5.Variables'!$B$90,+'5.Variables'!$F99,+IF(J$18='5.Variables'!$B$104,+'5.Variables'!$F113,0))))))</f>
        <v>391.1</v>
      </c>
      <c r="K107" s="599">
        <f>IF(K$18='5.Variables'!$B$16,+'5.Variables'!$F33,+IF(K$18='5.Variables'!$B$39,+'5.Variables'!$F57,+IF(K$18='5.Variables'!$B$62,+'5.Variables'!$F71,+IF(K$18='5.Variables'!$B$76,+'5.Variables'!$F85,+IF(K$18='5.Variables'!$B$90,+'5.Variables'!$F99,+IF(K$18='5.Variables'!$B$104,+'5.Variables'!$F113,0))))))</f>
        <v>0</v>
      </c>
      <c r="L107" s="599">
        <f>IF(L$18='5.Variables'!$B$16,+'5.Variables'!$F33,+IF(L$18='5.Variables'!$B$39,+'5.Variables'!$F57,+IF(L$18='5.Variables'!$B$62,+'5.Variables'!$F71,+IF(L$18='5.Variables'!$B$76,+'5.Variables'!$F85,+IF(L$18='5.Variables'!$B$90,+'5.Variables'!$F99,+IF(L$18='5.Variables'!$B$104,+'5.Variables'!$F113,0))))))</f>
        <v>30</v>
      </c>
      <c r="M107" s="599">
        <f>IF(M$18='5.Variables'!$B$16,+'5.Variables'!$F33,+IF(M$18='5.Variables'!$B$39,+'5.Variables'!$F57,+IF(M$18='5.Variables'!$B$62,+'5.Variables'!$F71,+IF(M$18='5.Variables'!$B$76,+'5.Variables'!$F85,+IF(M$18='5.Variables'!$B$90,+'5.Variables'!$F99,+IF(M$18='5.Variables'!$B$104,+'5.Variables'!$F113,0))))))</f>
        <v>13.28</v>
      </c>
      <c r="N107" s="599">
        <f>IF(N$18='5.Variables'!$B$16,+'5.Variables'!$F33,+IF(N$18='5.Variables'!$B$39,+'5.Variables'!$F57,+IF(N$18='5.Variables'!$B$62,+'5.Variables'!$F71,+IF(N$18='5.Variables'!$B$76,+'5.Variables'!$F85,+IF(N$18='5.Variables'!$B$90,+'5.Variables'!$F99,+IF(N$18='5.Variables'!$B$104,+'5.Variables'!$F113,0))))))</f>
        <v>0</v>
      </c>
      <c r="O107" s="928">
        <v>0</v>
      </c>
      <c r="P107" s="200"/>
      <c r="Q107" s="469">
        <f t="shared" si="8"/>
        <v>7079210.6409785915</v>
      </c>
      <c r="R107" s="216"/>
      <c r="S107" s="200"/>
      <c r="T107" s="200"/>
      <c r="U107" s="200"/>
      <c r="V107" s="200"/>
      <c r="W107" s="200"/>
      <c r="X107" s="200"/>
      <c r="Y107" s="200"/>
      <c r="Z107" s="200"/>
      <c r="AA107" s="200"/>
      <c r="AB107" s="200"/>
      <c r="AC107" s="200"/>
      <c r="AD107" s="200"/>
      <c r="AE107" s="200"/>
      <c r="AF107" s="200"/>
      <c r="AG107" s="200"/>
      <c r="AH107" s="200"/>
      <c r="AI107" s="200"/>
      <c r="AJ107" s="200"/>
      <c r="AK107" s="200"/>
      <c r="AL107" s="200"/>
    </row>
    <row r="108" spans="1:38">
      <c r="A108" s="435">
        <f t="shared" si="9"/>
        <v>89</v>
      </c>
      <c r="B108" s="871" t="str">
        <f>CONCATENATE('3. Consumption by Rate Class'!B113,"-",'3. Consumption by Rate Class'!C113)</f>
        <v>2020-May</v>
      </c>
      <c r="C108" s="870">
        <v>6606129.2800000003</v>
      </c>
      <c r="D108" s="934">
        <v>0</v>
      </c>
      <c r="E108" s="935">
        <v>0</v>
      </c>
      <c r="F108" s="941">
        <v>-45952.160000000003</v>
      </c>
      <c r="G108" s="875"/>
      <c r="H108" s="875"/>
      <c r="I108" s="469">
        <f t="shared" si="10"/>
        <v>6560177.1200000001</v>
      </c>
      <c r="J108" s="599">
        <f>IF(J$18='5.Variables'!$B$16,+'5.Variables'!$G34,+IF(J$18='5.Variables'!$B$39,+'5.Variables'!$G57,+IF(J$18='5.Variables'!$B$62,+'5.Variables'!$G71,+IF(J$18='5.Variables'!$B$76,+'5.Variables'!$G85,+IF(J$18='5.Variables'!$B$90,+'5.Variables'!$G99,+IF(J$18='5.Variables'!$B$104,+'5.Variables'!$G113,0))))))</f>
        <v>193.3</v>
      </c>
      <c r="K108" s="599">
        <f>IF(K$18='5.Variables'!$B$16,+'5.Variables'!$G33,+IF(K$18='5.Variables'!$B$39,+'5.Variables'!$G57,+IF(K$18='5.Variables'!$B$62,+'5.Variables'!$G71,+IF(K$18='5.Variables'!$B$76,+'5.Variables'!$G85,+IF(K$18='5.Variables'!$B$90,+'5.Variables'!$G99,+IF(K$18='5.Variables'!$B$104,+'5.Variables'!$G113,0))))))</f>
        <v>25.7</v>
      </c>
      <c r="L108" s="599">
        <f>IF(L$18='5.Variables'!$B$16,+'5.Variables'!$G33,+IF(L$18='5.Variables'!$B$39,+'5.Variables'!$G57,+IF(L$18='5.Variables'!$B$62,+'5.Variables'!$G71,+IF(L$18='5.Variables'!$B$76,+'5.Variables'!$G85,+IF(L$18='5.Variables'!$B$90,+'5.Variables'!$G99,+IF(L$18='5.Variables'!$B$104,+'5.Variables'!$G113,0))))))</f>
        <v>31</v>
      </c>
      <c r="M108" s="599">
        <f>IF(M$18='5.Variables'!$B$16,+'5.Variables'!$G33,+IF(M$18='5.Variables'!$B$39,+'5.Variables'!$G57,+IF(M$18='5.Variables'!$B$62,+'5.Variables'!$G71,+IF(M$18='5.Variables'!$B$76,+'5.Variables'!$G85,+IF(M$18='5.Variables'!$B$90,+'5.Variables'!$G99,+IF(M$18='5.Variables'!$B$104,+'5.Variables'!$G113,0))))))</f>
        <v>14.52</v>
      </c>
      <c r="N108" s="599">
        <f>IF(N$18='5.Variables'!$B$16,+'5.Variables'!$G33,+IF(N$18='5.Variables'!$B$39,+'5.Variables'!$G57,+IF(N$18='5.Variables'!$B$62,+'5.Variables'!$G71,+IF(N$18='5.Variables'!$B$76,+'5.Variables'!$G85,+IF(N$18='5.Variables'!$B$90,+'5.Variables'!$G99,+IF(N$18='5.Variables'!$B$104,+'5.Variables'!$G113,0))))))</f>
        <v>0</v>
      </c>
      <c r="O108" s="928">
        <v>0</v>
      </c>
      <c r="P108" s="200"/>
      <c r="Q108" s="469">
        <f t="shared" si="8"/>
        <v>7048234.9630182907</v>
      </c>
      <c r="R108" s="216"/>
      <c r="S108" s="200"/>
      <c r="T108" s="200"/>
      <c r="U108" s="200"/>
      <c r="V108" s="200"/>
      <c r="W108" s="200"/>
      <c r="X108" s="200"/>
      <c r="Y108" s="200"/>
      <c r="Z108" s="200"/>
      <c r="AA108" s="200"/>
      <c r="AB108" s="200"/>
      <c r="AC108" s="200"/>
      <c r="AD108" s="200"/>
      <c r="AE108" s="200"/>
      <c r="AF108" s="200"/>
      <c r="AG108" s="200"/>
      <c r="AH108" s="200"/>
      <c r="AI108" s="200"/>
      <c r="AJ108" s="200"/>
      <c r="AK108" s="200"/>
      <c r="AL108" s="200"/>
    </row>
    <row r="109" spans="1:38">
      <c r="A109" s="435">
        <f t="shared" si="9"/>
        <v>90</v>
      </c>
      <c r="B109" s="871" t="str">
        <f>CONCATENATE('3. Consumption by Rate Class'!B114,"-",'3. Consumption by Rate Class'!C114)</f>
        <v>2020-June</v>
      </c>
      <c r="C109" s="870">
        <v>6998019.1600000001</v>
      </c>
      <c r="D109" s="934">
        <v>0</v>
      </c>
      <c r="E109" s="935">
        <v>0</v>
      </c>
      <c r="F109" s="941">
        <v>-40555.279999999999</v>
      </c>
      <c r="G109" s="875"/>
      <c r="H109" s="875"/>
      <c r="I109" s="469">
        <f t="shared" si="10"/>
        <v>6957463.8799999999</v>
      </c>
      <c r="J109" s="599">
        <f>IF(J$18='5.Variables'!$B$16,+'5.Variables'!$H34,+IF(J$18='5.Variables'!$B$39,+'5.Variables'!$H57,+IF(J$18='5.Variables'!$B$62,+'5.Variables'!$H71,+IF(J$18='5.Variables'!$B$76,+'5.Variables'!$H85,+IF(J$18='5.Variables'!$B$90,+'5.Variables'!$H99,+IF(J$18='5.Variables'!$B$104,+'5.Variables'!$H113,0))))))</f>
        <v>44.7</v>
      </c>
      <c r="K109" s="599">
        <f>IF(K$18='5.Variables'!$B$16,+'5.Variables'!$H33,+IF(K$18='5.Variables'!$B$39,+'5.Variables'!$H57,+IF(K$18='5.Variables'!$B$62,+'5.Variables'!$H71,+IF(K$18='5.Variables'!$B$76,+'5.Variables'!$H85,+IF(K$18='5.Variables'!$B$90,+'5.Variables'!$H99,+IF(K$18='5.Variables'!$B$104,+'5.Variables'!$H113,0))))))</f>
        <v>70.400000000000006</v>
      </c>
      <c r="L109" s="599">
        <f>IF(L$18='5.Variables'!$B$16,+'5.Variables'!$H33,+IF(L$18='5.Variables'!$B$39,+'5.Variables'!$H57,+IF(L$18='5.Variables'!$B$62,+'5.Variables'!$H71,+IF(L$18='5.Variables'!$B$76,+'5.Variables'!$H85,+IF(L$18='5.Variables'!$B$90,+'5.Variables'!$H99,+IF(L$18='5.Variables'!$B$104,+'5.Variables'!$H113,0))))))</f>
        <v>30</v>
      </c>
      <c r="M109" s="599">
        <f>IF(M$18='5.Variables'!$B$16,+'5.Variables'!$H33,+IF(M$18='5.Variables'!$B$39,+'5.Variables'!$H57,+IF(M$18='5.Variables'!$B$62,+'5.Variables'!$H71,+IF(M$18='5.Variables'!$B$76,+'5.Variables'!$H85,+IF(M$18='5.Variables'!$B$90,+'5.Variables'!$H99,+IF(M$18='5.Variables'!$B$104,+'5.Variables'!$H113,0))))))</f>
        <v>15.35</v>
      </c>
      <c r="N109" s="599">
        <f>IF(N$18='5.Variables'!$B$16,+'5.Variables'!$H33,+IF(N$18='5.Variables'!$B$39,+'5.Variables'!$H57,+IF(N$18='5.Variables'!$B$62,+'5.Variables'!$H71,+IF(N$18='5.Variables'!$B$76,+'5.Variables'!$H85,+IF(N$18='5.Variables'!$B$90,+'5.Variables'!$H99,+IF(N$18='5.Variables'!$B$104,+'5.Variables'!$H113,0))))))</f>
        <v>0</v>
      </c>
      <c r="O109" s="928">
        <v>0</v>
      </c>
      <c r="P109" s="200"/>
      <c r="Q109" s="469">
        <f t="shared" si="8"/>
        <v>7137853.6590920631</v>
      </c>
      <c r="R109" s="216"/>
      <c r="S109" s="200"/>
      <c r="T109" s="200"/>
      <c r="U109" s="200"/>
      <c r="V109" s="200"/>
      <c r="W109" s="200"/>
      <c r="X109" s="200"/>
      <c r="Y109" s="200"/>
      <c r="Z109" s="200"/>
      <c r="AA109" s="200"/>
      <c r="AB109" s="200"/>
      <c r="AC109" s="200"/>
      <c r="AD109" s="200"/>
      <c r="AE109" s="200"/>
      <c r="AF109" s="200"/>
      <c r="AG109" s="200"/>
      <c r="AH109" s="200"/>
      <c r="AI109" s="200"/>
      <c r="AJ109" s="200"/>
      <c r="AK109" s="200"/>
      <c r="AL109" s="200"/>
    </row>
    <row r="110" spans="1:38">
      <c r="A110" s="435">
        <f t="shared" si="9"/>
        <v>91</v>
      </c>
      <c r="B110" s="871" t="str">
        <f>CONCATENATE('3. Consumption by Rate Class'!B115,"-",'3. Consumption by Rate Class'!C115)</f>
        <v>2020-July</v>
      </c>
      <c r="C110" s="870">
        <v>8297464.1799999997</v>
      </c>
      <c r="D110" s="934">
        <v>0</v>
      </c>
      <c r="E110" s="935">
        <v>0</v>
      </c>
      <c r="F110" s="941">
        <v>-44071.020000000004</v>
      </c>
      <c r="G110" s="875"/>
      <c r="H110" s="875"/>
      <c r="I110" s="469">
        <f t="shared" si="10"/>
        <v>8253393.1600000001</v>
      </c>
      <c r="J110" s="599">
        <f>IF(J$18='5.Variables'!$B$16,+'5.Variables'!$I34,+IF(J$18='5.Variables'!$B$39,+'5.Variables'!$I57,+IF(J$18='5.Variables'!$B$62,+'5.Variables'!$I71,+IF(J$18='5.Variables'!$B$76,+'5.Variables'!$I85,+IF(J$18='5.Variables'!$B$90,+'5.Variables'!$I99,+IF(J$18='5.Variables'!$B$104,+'5.Variables'!$I113,0))))))</f>
        <v>0</v>
      </c>
      <c r="K110" s="599">
        <f>IF(K$18='5.Variables'!$B$16,+'5.Variables'!$I33,+IF(K$18='5.Variables'!$B$39,+'5.Variables'!$I57,+IF(K$18='5.Variables'!$B$62,+'5.Variables'!$I71,+IF(K$18='5.Variables'!$B$76,+'5.Variables'!$I85,+IF(K$18='5.Variables'!$B$90,+'5.Variables'!$I99,+IF(K$18='5.Variables'!$B$104,+'5.Variables'!$I113,0))))))</f>
        <v>185.8</v>
      </c>
      <c r="L110" s="599">
        <f>IF(L$18='5.Variables'!$B$16,+'5.Variables'!$I33,+IF(L$18='5.Variables'!$B$39,+'5.Variables'!$I57,+IF(L$18='5.Variables'!$B$62,+'5.Variables'!$I71,+IF(L$18='5.Variables'!$B$76,+'5.Variables'!$I85,+IF(L$18='5.Variables'!$B$90,+'5.Variables'!$I99,+IF(L$18='5.Variables'!$B$104,+'5.Variables'!$I113,0))))))</f>
        <v>31</v>
      </c>
      <c r="M110" s="599">
        <f>IF(M$18='5.Variables'!$B$16,+'5.Variables'!$I33,+IF(M$18='5.Variables'!$B$39,+'5.Variables'!$I57,+IF(M$18='5.Variables'!$B$62,+'5.Variables'!$I71,+IF(M$18='5.Variables'!$B$76,+'5.Variables'!$I85,+IF(M$18='5.Variables'!$B$90,+'5.Variables'!$I99,+IF(M$18='5.Variables'!$B$104,+'5.Variables'!$I113,0))))))</f>
        <v>15.15</v>
      </c>
      <c r="N110" s="599">
        <f>IF(N$18='5.Variables'!$B$16,+'5.Variables'!$I33,+IF(N$18='5.Variables'!$B$39,+'5.Variables'!$I57,+IF(N$18='5.Variables'!$B$62,+'5.Variables'!$I71,+IF(N$18='5.Variables'!$B$76,+'5.Variables'!$I85,+IF(N$18='5.Variables'!$B$90,+'5.Variables'!$I99,+IF(N$18='5.Variables'!$B$104,+'5.Variables'!$I113,0))))))</f>
        <v>0</v>
      </c>
      <c r="O110" s="928">
        <v>0</v>
      </c>
      <c r="P110" s="200"/>
      <c r="Q110" s="469">
        <f t="shared" si="8"/>
        <v>8936587.8896176256</v>
      </c>
      <c r="R110" s="216"/>
      <c r="S110" s="200"/>
      <c r="T110" s="200"/>
      <c r="U110" s="200"/>
      <c r="V110" s="200"/>
      <c r="W110" s="200"/>
      <c r="X110" s="200"/>
      <c r="Y110" s="200"/>
      <c r="Z110" s="200"/>
      <c r="AA110" s="200"/>
      <c r="AB110" s="200"/>
      <c r="AC110" s="200"/>
      <c r="AD110" s="200"/>
      <c r="AE110" s="200"/>
      <c r="AF110" s="200"/>
      <c r="AG110" s="200"/>
      <c r="AH110" s="200"/>
      <c r="AI110" s="200"/>
      <c r="AJ110" s="200"/>
      <c r="AK110" s="200"/>
      <c r="AL110" s="200"/>
    </row>
    <row r="111" spans="1:38">
      <c r="A111" s="435">
        <f t="shared" si="9"/>
        <v>92</v>
      </c>
      <c r="B111" s="871" t="str">
        <f>CONCATENATE('3. Consumption by Rate Class'!B116,"-",'3. Consumption by Rate Class'!C116)</f>
        <v>2020-August</v>
      </c>
      <c r="C111" s="870">
        <v>7399412.2599999998</v>
      </c>
      <c r="D111" s="934">
        <v>0</v>
      </c>
      <c r="E111" s="935">
        <v>0</v>
      </c>
      <c r="F111" s="941">
        <v>-50408.47</v>
      </c>
      <c r="G111" s="875"/>
      <c r="H111" s="875"/>
      <c r="I111" s="469">
        <f t="shared" si="10"/>
        <v>7349003.79</v>
      </c>
      <c r="J111" s="599">
        <f>IF(J$18='5.Variables'!$B$16,+'5.Variables'!$J34,+IF(J$18='5.Variables'!$B$39,+'5.Variables'!$J57,+IF(J$18='5.Variables'!$B$62,+'5.Variables'!$J71,+IF(J$18='5.Variables'!$B$76,+'5.Variables'!$J85,+IF(J$18='5.Variables'!$B$90,+'5.Variables'!$J99,+IF(J$18='5.Variables'!$B$104,+'5.Variables'!$J113,0))))))</f>
        <v>25.5</v>
      </c>
      <c r="K111" s="599">
        <f>IF(K$18='5.Variables'!$B$16,+'5.Variables'!$J33,+IF(K$18='5.Variables'!$B$39,+'5.Variables'!$J57,+IF(K$18='5.Variables'!$B$62,+'5.Variables'!$J71,+IF(K$18='5.Variables'!$B$76,+'5.Variables'!$J85,+IF(K$18='5.Variables'!$B$90,+'5.Variables'!$J99,+IF(K$18='5.Variables'!$B$104,+'5.Variables'!$J113,0))))))</f>
        <v>70.400000000000006</v>
      </c>
      <c r="L111" s="599">
        <f>IF(L$18='5.Variables'!$B$16,+'5.Variables'!$J33,+IF(L$18='5.Variables'!$B$39,+'5.Variables'!$J57,+IF(L$18='5.Variables'!$B$62,+'5.Variables'!$J71,+IF(L$18='5.Variables'!$B$76,+'5.Variables'!$J85,+IF(L$18='5.Variables'!$B$90,+'5.Variables'!$J99,+IF(L$18='5.Variables'!$B$104,+'5.Variables'!$J113,0))))))</f>
        <v>31</v>
      </c>
      <c r="M111" s="599">
        <f>IF(M$18='5.Variables'!$B$16,+'5.Variables'!$J33,+IF(M$18='5.Variables'!$B$39,+'5.Variables'!$J57,+IF(M$18='5.Variables'!$B$62,+'5.Variables'!$J71,+IF(M$18='5.Variables'!$B$76,+'5.Variables'!$J85,+IF(M$18='5.Variables'!$B$90,+'5.Variables'!$J99,+IF(M$18='5.Variables'!$B$104,+'5.Variables'!$J113,0))))))</f>
        <v>14.03</v>
      </c>
      <c r="N111" s="599">
        <f>IF(N$18='5.Variables'!$B$16,+'5.Variables'!$J33,+IF(N$18='5.Variables'!$B$39,+'5.Variables'!$J57,+IF(N$18='5.Variables'!$B$62,+'5.Variables'!$J71,+IF(N$18='5.Variables'!$B$76,+'5.Variables'!$J85,+IF(N$18='5.Variables'!$B$90,+'5.Variables'!$J99,+IF(N$18='5.Variables'!$B$104,+'5.Variables'!$J113,0))))))</f>
        <v>0</v>
      </c>
      <c r="O111" s="928">
        <v>0</v>
      </c>
      <c r="P111" s="200"/>
      <c r="Q111" s="469">
        <f t="shared" si="8"/>
        <v>7239411.3806691924</v>
      </c>
      <c r="R111" s="216"/>
      <c r="S111" s="200"/>
      <c r="T111" s="200"/>
      <c r="U111" s="200"/>
      <c r="V111" s="200"/>
      <c r="W111" s="200"/>
      <c r="X111" s="200"/>
      <c r="Y111" s="200"/>
      <c r="Z111" s="200"/>
      <c r="AA111" s="200"/>
      <c r="AB111" s="200"/>
      <c r="AC111" s="200"/>
      <c r="AD111" s="200"/>
      <c r="AE111" s="200"/>
      <c r="AF111" s="200"/>
      <c r="AG111" s="200"/>
      <c r="AH111" s="200"/>
      <c r="AI111" s="200"/>
      <c r="AJ111" s="200"/>
      <c r="AK111" s="200"/>
      <c r="AL111" s="200"/>
    </row>
    <row r="112" spans="1:38">
      <c r="A112" s="435">
        <f t="shared" si="9"/>
        <v>93</v>
      </c>
      <c r="B112" s="871" t="str">
        <f>CONCATENATE('3. Consumption by Rate Class'!B117,"-",'3. Consumption by Rate Class'!C117)</f>
        <v>2020-September</v>
      </c>
      <c r="C112" s="870">
        <v>6443093.9500000002</v>
      </c>
      <c r="D112" s="934">
        <v>0</v>
      </c>
      <c r="E112" s="935">
        <v>0</v>
      </c>
      <c r="F112" s="941">
        <v>-54712.43</v>
      </c>
      <c r="G112" s="875"/>
      <c r="H112" s="875"/>
      <c r="I112" s="469">
        <f t="shared" si="10"/>
        <v>6388381.5200000005</v>
      </c>
      <c r="J112" s="599">
        <f>IF(J$18='5.Variables'!$B$16,+'5.Variables'!$K34,+IF(J$18='5.Variables'!$B$39,+'5.Variables'!$K57,+IF(J$18='5.Variables'!$B$62,+'5.Variables'!$K71,+IF(J$18='5.Variables'!$B$76,+'5.Variables'!$K85,+IF(J$18='5.Variables'!$B$90,+'5.Variables'!$K99,+IF(J$18='5.Variables'!$B$104,+'5.Variables'!$K113,0))))))</f>
        <v>129</v>
      </c>
      <c r="K112" s="599">
        <f>IF(K$18='5.Variables'!$B$16,+'5.Variables'!$K33,+IF(K$18='5.Variables'!$B$39,+'5.Variables'!$K57,+IF(K$18='5.Variables'!$B$62,+'5.Variables'!$K71,+IF(K$18='5.Variables'!$B$76,+'5.Variables'!$K85,+IF(K$18='5.Variables'!$B$90,+'5.Variables'!$K99,+IF(K$18='5.Variables'!$B$104,+'5.Variables'!$K113,0))))))</f>
        <v>9</v>
      </c>
      <c r="L112" s="599">
        <f>IF(L$18='5.Variables'!$B$16,+'5.Variables'!$K33,+IF(L$18='5.Variables'!$B$39,+'5.Variables'!$K57,+IF(L$18='5.Variables'!$B$62,+'5.Variables'!$K71,+IF(L$18='5.Variables'!$B$76,+'5.Variables'!$K85,+IF(L$18='5.Variables'!$B$90,+'5.Variables'!$K99,+IF(L$18='5.Variables'!$B$104,+'5.Variables'!$K113,0))))))</f>
        <v>30</v>
      </c>
      <c r="M112" s="599">
        <f>IF(M$18='5.Variables'!$B$16,+'5.Variables'!$K33,+IF(M$18='5.Variables'!$B$39,+'5.Variables'!$K57,+IF(M$18='5.Variables'!$B$62,+'5.Variables'!$K71,+IF(M$18='5.Variables'!$B$76,+'5.Variables'!$K85,+IF(M$18='5.Variables'!$B$90,+'5.Variables'!$K99,+IF(M$18='5.Variables'!$B$104,+'5.Variables'!$K113,0))))))</f>
        <v>12.29</v>
      </c>
      <c r="N112" s="599">
        <f>IF(N$18='5.Variables'!$B$16,+'5.Variables'!$K33,+IF(N$18='5.Variables'!$B$39,+'5.Variables'!$K57,+IF(N$18='5.Variables'!$B$62,+'5.Variables'!$K71,+IF(N$18='5.Variables'!$B$76,+'5.Variables'!$K85,+IF(N$18='5.Variables'!$B$90,+'5.Variables'!$K99,+IF(N$18='5.Variables'!$B$104,+'5.Variables'!$K113,0))))))</f>
        <v>0</v>
      </c>
      <c r="O112" s="928">
        <v>0</v>
      </c>
      <c r="P112" s="200"/>
      <c r="Q112" s="469">
        <f t="shared" si="8"/>
        <v>6443667.4097995395</v>
      </c>
      <c r="R112" s="216"/>
      <c r="S112" s="200"/>
      <c r="T112" s="200"/>
      <c r="U112" s="200"/>
      <c r="V112" s="200"/>
      <c r="W112" s="200"/>
      <c r="X112" s="200"/>
      <c r="Y112" s="200"/>
      <c r="Z112" s="200"/>
      <c r="AA112" s="200"/>
      <c r="AB112" s="200"/>
      <c r="AC112" s="200"/>
      <c r="AD112" s="200"/>
      <c r="AE112" s="200"/>
      <c r="AF112" s="200"/>
      <c r="AG112" s="200"/>
      <c r="AH112" s="200"/>
      <c r="AI112" s="200"/>
      <c r="AJ112" s="200"/>
      <c r="AK112" s="200"/>
      <c r="AL112" s="200"/>
    </row>
    <row r="113" spans="1:38">
      <c r="A113" s="435">
        <f t="shared" si="9"/>
        <v>94</v>
      </c>
      <c r="B113" s="871" t="str">
        <f>CONCATENATE('3. Consumption by Rate Class'!B118,"-",'3. Consumption by Rate Class'!C118)</f>
        <v>2020-October</v>
      </c>
      <c r="C113" s="870">
        <v>6888181.25</v>
      </c>
      <c r="D113" s="934">
        <v>0</v>
      </c>
      <c r="E113" s="935">
        <v>0</v>
      </c>
      <c r="F113" s="941">
        <v>-63552.340000000004</v>
      </c>
      <c r="G113" s="875"/>
      <c r="H113" s="875"/>
      <c r="I113" s="469">
        <f t="shared" si="10"/>
        <v>6824628.9100000001</v>
      </c>
      <c r="J113" s="599">
        <f>IF(J$18='5.Variables'!$B$16,+'5.Variables'!$L34,+IF(J$18='5.Variables'!$B$39,+'5.Variables'!$L57,+IF(J$18='5.Variables'!$B$62,+'5.Variables'!$L71,+IF(J$18='5.Variables'!$B$76,+'5.Variables'!$L85,+IF(J$18='5.Variables'!$B$90,+'5.Variables'!$L99,+IF(J$18='5.Variables'!$B$104,+'5.Variables'!$L113,0))))))</f>
        <v>327.39999999999998</v>
      </c>
      <c r="K113" s="599">
        <f>IF(K$18='5.Variables'!$B$16,+'5.Variables'!$L33,+IF(K$18='5.Variables'!$B$39,+'5.Variables'!$L57,+IF(K$18='5.Variables'!$B$62,+'5.Variables'!$L71,+IF(K$18='5.Variables'!$B$76,+'5.Variables'!$L85,+IF(K$18='5.Variables'!$B$90,+'5.Variables'!$L99,+IF(K$18='5.Variables'!$B$104,+'5.Variables'!$L113,0))))))</f>
        <v>0</v>
      </c>
      <c r="L113" s="599">
        <f>IF(L$18='5.Variables'!$B$16,+'5.Variables'!$L33,+IF(L$18='5.Variables'!$B$39,+'5.Variables'!$L57,+IF(L$18='5.Variables'!$B$62,+'5.Variables'!$L71,+IF(L$18='5.Variables'!$B$76,+'5.Variables'!$L85,+IF(L$18='5.Variables'!$B$90,+'5.Variables'!$L99,+IF(L$18='5.Variables'!$B$104,+'5.Variables'!$L113,0))))))</f>
        <v>31</v>
      </c>
      <c r="M113" s="599">
        <f>IF(M$18='5.Variables'!$B$16,+'5.Variables'!$L33,+IF(M$18='5.Variables'!$B$39,+'5.Variables'!$L57,+IF(M$18='5.Variables'!$B$62,+'5.Variables'!$L71,+IF(M$18='5.Variables'!$B$76,+'5.Variables'!$L85,+IF(M$18='5.Variables'!$B$90,+'5.Variables'!$L99,+IF(M$18='5.Variables'!$B$104,+'5.Variables'!$L113,0))))))</f>
        <v>10.51</v>
      </c>
      <c r="N113" s="599">
        <f>IF(N$18='5.Variables'!$B$16,+'5.Variables'!$L33,+IF(N$18='5.Variables'!$B$39,+'5.Variables'!$L57,+IF(N$18='5.Variables'!$B$62,+'5.Variables'!$L71,+IF(N$18='5.Variables'!$B$76,+'5.Variables'!$L85,+IF(N$18='5.Variables'!$B$90,+'5.Variables'!$L99,+IF(N$18='5.Variables'!$B$104,+'5.Variables'!$L113,0))))))</f>
        <v>0</v>
      </c>
      <c r="O113" s="928">
        <v>0</v>
      </c>
      <c r="P113" s="200"/>
      <c r="Q113" s="469">
        <f t="shared" si="8"/>
        <v>7049394.6287813587</v>
      </c>
      <c r="R113" s="216"/>
      <c r="S113" s="200"/>
      <c r="T113" s="200"/>
      <c r="U113" s="200"/>
      <c r="V113" s="200"/>
      <c r="W113" s="200"/>
      <c r="X113" s="200"/>
      <c r="Y113" s="200"/>
      <c r="Z113" s="200"/>
      <c r="AA113" s="200"/>
      <c r="AB113" s="200"/>
      <c r="AC113" s="200"/>
      <c r="AD113" s="200"/>
      <c r="AE113" s="200"/>
      <c r="AF113" s="200"/>
      <c r="AG113" s="200"/>
      <c r="AH113" s="200"/>
      <c r="AI113" s="200"/>
      <c r="AJ113" s="200"/>
      <c r="AK113" s="200"/>
      <c r="AL113" s="200"/>
    </row>
    <row r="114" spans="1:38">
      <c r="A114" s="435">
        <f t="shared" si="9"/>
        <v>95</v>
      </c>
      <c r="B114" s="871" t="str">
        <f>CONCATENATE('3. Consumption by Rate Class'!B119,"-",'3. Consumption by Rate Class'!C119)</f>
        <v>2020-November</v>
      </c>
      <c r="C114" s="870">
        <v>6992757.2999999998</v>
      </c>
      <c r="D114" s="934">
        <v>0</v>
      </c>
      <c r="E114" s="935">
        <v>0</v>
      </c>
      <c r="F114" s="941">
        <v>-63599.780000000006</v>
      </c>
      <c r="G114" s="875"/>
      <c r="H114" s="875"/>
      <c r="I114" s="469">
        <f t="shared" si="10"/>
        <v>6929157.5199999996</v>
      </c>
      <c r="J114" s="599">
        <f>IF(J$18='5.Variables'!$B$16,+'5.Variables'!$M34,+IF(J$18='5.Variables'!$B$39,+'5.Variables'!$M57,+IF(J$18='5.Variables'!$B$62,+'5.Variables'!$M71,+IF(J$18='5.Variables'!$B$76,+'5.Variables'!$M85,+IF(J$18='5.Variables'!$B$90,+'5.Variables'!$M99,+IF(J$18='5.Variables'!$B$104,+'5.Variables'!$M113,0))))))</f>
        <v>429.9</v>
      </c>
      <c r="K114" s="599">
        <f>IF(K$18='5.Variables'!$B$16,+'5.Variables'!$M33,+IF(K$18='5.Variables'!$B$39,+'5.Variables'!$M57,+IF(K$18='5.Variables'!$B$62,+'5.Variables'!$M71,+IF(K$18='5.Variables'!$B$76,+'5.Variables'!$M85,+IF(K$18='5.Variables'!$B$90,+'5.Variables'!$M99,+IF(K$18='5.Variables'!$B$104,+'5.Variables'!$M113,0))))))</f>
        <v>0</v>
      </c>
      <c r="L114" s="599">
        <f>IF(L$18='5.Variables'!$B$16,+'5.Variables'!$M33,+IF(L$18='5.Variables'!$B$39,+'5.Variables'!$M57,+IF(L$18='5.Variables'!$B$62,+'5.Variables'!$M71,+IF(L$18='5.Variables'!$B$76,+'5.Variables'!$M85,+IF(L$18='5.Variables'!$B$90,+'5.Variables'!$M99,+IF(L$18='5.Variables'!$B$104,+'5.Variables'!$M113,0))))))</f>
        <v>30</v>
      </c>
      <c r="M114" s="599">
        <f>IF(M$18='5.Variables'!$B$16,+'5.Variables'!$M33,+IF(M$18='5.Variables'!$B$39,+'5.Variables'!$M57,+IF(M$18='5.Variables'!$B$62,+'5.Variables'!$M71,+IF(M$18='5.Variables'!$B$76,+'5.Variables'!$M85,+IF(M$18='5.Variables'!$B$90,+'5.Variables'!$M99,+IF(M$18='5.Variables'!$B$104,+'5.Variables'!$M113,0))))))</f>
        <v>9.2799999999999994</v>
      </c>
      <c r="N114" s="599">
        <f>IF(N$18='5.Variables'!$B$16,+'5.Variables'!$M33,+IF(N$18='5.Variables'!$B$39,+'5.Variables'!$M57,+IF(N$18='5.Variables'!$B$62,+'5.Variables'!$M71,+IF(N$18='5.Variables'!$B$76,+'5.Variables'!$M85,+IF(N$18='5.Variables'!$B$90,+'5.Variables'!$M99,+IF(N$18='5.Variables'!$B$104,+'5.Variables'!$M113,0))))))</f>
        <v>0</v>
      </c>
      <c r="O114" s="928">
        <v>0</v>
      </c>
      <c r="P114" s="200"/>
      <c r="Q114" s="469">
        <f t="shared" si="8"/>
        <v>7193756.7279548896</v>
      </c>
      <c r="R114" s="216"/>
      <c r="S114" s="200"/>
      <c r="T114" s="200"/>
      <c r="U114" s="200"/>
      <c r="V114" s="200"/>
      <c r="W114" s="200"/>
      <c r="X114" s="200"/>
      <c r="Y114" s="200"/>
      <c r="Z114" s="200"/>
      <c r="AA114" s="200"/>
      <c r="AB114" s="200"/>
      <c r="AC114" s="200"/>
      <c r="AD114" s="200"/>
      <c r="AE114" s="200"/>
      <c r="AF114" s="200"/>
      <c r="AG114" s="200"/>
      <c r="AH114" s="200"/>
      <c r="AI114" s="200"/>
      <c r="AJ114" s="200"/>
      <c r="AK114" s="200"/>
      <c r="AL114" s="200"/>
    </row>
    <row r="115" spans="1:38">
      <c r="A115" s="435">
        <f t="shared" si="9"/>
        <v>96</v>
      </c>
      <c r="B115" s="451" t="str">
        <f>CONCATENATE('3. Consumption by Rate Class'!B120,"-",'3. Consumption by Rate Class'!C120)</f>
        <v>2020-December</v>
      </c>
      <c r="C115" s="584">
        <v>7964534.6639999999</v>
      </c>
      <c r="D115" s="940">
        <v>0</v>
      </c>
      <c r="E115" s="939">
        <v>0</v>
      </c>
      <c r="F115" s="939">
        <v>-63795.97</v>
      </c>
      <c r="G115" s="880"/>
      <c r="H115" s="880"/>
      <c r="I115" s="881">
        <f t="shared" si="10"/>
        <v>7900738.6940000001</v>
      </c>
      <c r="J115" s="599">
        <f>IF(J$18='5.Variables'!$B$16,+'5.Variables'!$N34,+IF(J$18='5.Variables'!$B$39,+'5.Variables'!$N57,+IF(J$18='5.Variables'!$B$62,+'5.Variables'!$N71,+IF(J$18='5.Variables'!$B$76,+'5.Variables'!$N85,+IF(J$18='5.Variables'!$B$90,+'5.Variables'!$N99,+IF(J$18='5.Variables'!$B$104,+'5.Variables'!$N113,0))))))</f>
        <v>647</v>
      </c>
      <c r="K115" s="599">
        <f>IF(K$18='5.Variables'!$B$16,+'5.Variables'!$N33,+IF(K$18='5.Variables'!$B$39,+'5.Variables'!$N57,+IF(K$18='5.Variables'!$B$62,+'5.Variables'!$N71,+IF(K$18='5.Variables'!$B$76,+'5.Variables'!$N85,+IF(K$18='5.Variables'!$B$90,+'5.Variables'!$N99,+IF(K$18='5.Variables'!$B$104,+'5.Variables'!$N113,0))))))</f>
        <v>0</v>
      </c>
      <c r="L115" s="599">
        <f>IF(L$18='5.Variables'!$B$16,+'5.Variables'!$N33,+IF(L$18='5.Variables'!$B$39,+'5.Variables'!$N57,+IF(L$18='5.Variables'!$B$62,+'5.Variables'!$N71,+IF(L$18='5.Variables'!$B$76,+'5.Variables'!$N85,+IF(L$18='5.Variables'!$B$90,+'5.Variables'!$N99,+IF(L$18='5.Variables'!$B$104,+'5.Variables'!$N113,0))))))</f>
        <v>31</v>
      </c>
      <c r="M115" s="599">
        <f>IF(M$18='5.Variables'!$B$16,+'5.Variables'!$N33,+IF(M$18='5.Variables'!$B$39,+'5.Variables'!$N57,+IF(M$18='5.Variables'!$B$62,+'5.Variables'!$N71,+IF(M$18='5.Variables'!$B$76,+'5.Variables'!$N85,+IF(M$18='5.Variables'!$B$90,+'5.Variables'!$N99,+IF(M$18='5.Variables'!$B$104,+'5.Variables'!$N113,0))))))</f>
        <v>8.4700000000000006</v>
      </c>
      <c r="N115" s="599">
        <f>IF(N$18='5.Variables'!$B$16,+'5.Variables'!$N33,+IF(N$18='5.Variables'!$B$39,+'5.Variables'!$N57,+IF(N$18='5.Variables'!$B$62,+'5.Variables'!$N71,+IF(N$18='5.Variables'!$B$76,+'5.Variables'!$N85,+IF(N$18='5.Variables'!$B$90,+'5.Variables'!$N99,+IF(N$18='5.Variables'!$B$104,+'5.Variables'!$N113,0))))))</f>
        <v>0</v>
      </c>
      <c r="O115" s="928">
        <v>0</v>
      </c>
      <c r="P115" s="200"/>
      <c r="Q115" s="469">
        <f t="shared" si="8"/>
        <v>7992923.7369675674</v>
      </c>
      <c r="R115" s="216">
        <f>SUM(Q104:Q115)</f>
        <v>90085048.360016435</v>
      </c>
      <c r="S115" s="200"/>
      <c r="T115" s="200"/>
      <c r="U115" s="200"/>
      <c r="V115" s="200"/>
      <c r="W115" s="200"/>
      <c r="X115" s="200"/>
      <c r="Y115" s="200"/>
      <c r="Z115" s="200"/>
      <c r="AA115" s="200"/>
      <c r="AB115" s="200"/>
      <c r="AC115" s="200"/>
      <c r="AD115" s="200"/>
      <c r="AE115" s="200"/>
      <c r="AF115" s="200"/>
      <c r="AG115" s="200"/>
      <c r="AH115" s="200"/>
      <c r="AI115" s="200"/>
      <c r="AJ115" s="200"/>
      <c r="AK115" s="200"/>
      <c r="AL115" s="200"/>
    </row>
    <row r="116" spans="1:38">
      <c r="A116" s="435">
        <f t="shared" si="9"/>
        <v>97</v>
      </c>
      <c r="B116" s="871" t="str">
        <f>CONCATENATE('3. Consumption by Rate Class'!B121,"-",'3. Consumption by Rate Class'!C121)</f>
        <v>2021-January</v>
      </c>
      <c r="C116" s="870">
        <v>8145028.5599999996</v>
      </c>
      <c r="D116" s="934">
        <v>0</v>
      </c>
      <c r="E116" s="935">
        <v>0</v>
      </c>
      <c r="F116" s="941">
        <v>-56867.42</v>
      </c>
      <c r="G116" s="875"/>
      <c r="H116" s="875"/>
      <c r="I116" s="469">
        <f t="shared" si="10"/>
        <v>8088161.1399999997</v>
      </c>
      <c r="J116" s="599">
        <f>IF(J$18='5.Variables'!$B$16,+'5.Variables'!$C35,+IF(J$18='5.Variables'!$B$39,+'5.Variables'!$C58,+IF(J$18='5.Variables'!$B$62,+'5.Variables'!$C72,+IF(J$18='5.Variables'!$B$76,+'5.Variables'!$C86,+IF(J$18='5.Variables'!$B$90,+'5.Variables'!$C100,+IF(J$18='5.Variables'!$B$104,+'5.Variables'!$C114,0))))))</f>
        <v>755.2</v>
      </c>
      <c r="K116" s="599">
        <f>IF(K$18='5.Variables'!$B$16,+'5.Variables'!$C34,+IF(K$18='5.Variables'!$B$39,+'5.Variables'!$C58,+IF(K$18='5.Variables'!$B$62,+'5.Variables'!$C72,+IF(K$18='5.Variables'!$B$76,+'5.Variables'!$C86,+IF(K$18='5.Variables'!$B$90,+'5.Variables'!$C100,+IF(K$18='5.Variables'!$B$104,+'5.Variables'!$C114,0))))))</f>
        <v>0</v>
      </c>
      <c r="L116" s="599">
        <f>IF(L$18='5.Variables'!$B$16,+'5.Variables'!$C34,+IF(L$18='5.Variables'!$B$39,+'5.Variables'!$C58,+IF(L$18='5.Variables'!$B$62,+'5.Variables'!$C72,+IF(L$18='5.Variables'!$B$76,+'5.Variables'!$C86,+IF(L$18='5.Variables'!$B$90,+'5.Variables'!$C100,+IF(L$18='5.Variables'!$B$104,+'5.Variables'!$C114,0))))))</f>
        <v>31</v>
      </c>
      <c r="M116" s="599">
        <f>IF(M$18='5.Variables'!$B$16,+'5.Variables'!$C34,+IF(M$18='5.Variables'!$B$39,+'5.Variables'!$C58,+IF(M$18='5.Variables'!$B$62,+'5.Variables'!$C72,+IF(M$18='5.Variables'!$B$76,+'5.Variables'!$C86,+IF(M$18='5.Variables'!$B$90,+'5.Variables'!$C100,+IF(M$18='5.Variables'!$B$104,+'5.Variables'!$C114,0))))))</f>
        <v>9.09</v>
      </c>
      <c r="N116" s="599">
        <f>IF(N$18='5.Variables'!$B$16,+'5.Variables'!$C34,+IF(N$18='5.Variables'!$B$39,+'5.Variables'!$C58,+IF(N$18='5.Variables'!$B$62,+'5.Variables'!$C72,+IF(N$18='5.Variables'!$B$76,+'5.Variables'!$C86,+IF(N$18='5.Variables'!$B$90,+'5.Variables'!$C100,+IF(N$18='5.Variables'!$B$104,+'5.Variables'!$C114,0))))))</f>
        <v>0</v>
      </c>
      <c r="O116" s="928">
        <v>0</v>
      </c>
      <c r="P116" s="200"/>
      <c r="Q116" s="469">
        <f t="shared" si="8"/>
        <v>8312353.8042571414</v>
      </c>
      <c r="R116" s="216"/>
      <c r="S116" s="200"/>
      <c r="T116" s="200"/>
      <c r="U116" s="200"/>
      <c r="V116" s="200"/>
      <c r="W116" s="200"/>
      <c r="X116" s="200"/>
      <c r="Y116" s="200"/>
      <c r="Z116" s="200"/>
      <c r="AA116" s="200"/>
      <c r="AB116" s="200"/>
      <c r="AC116" s="200"/>
      <c r="AD116" s="200"/>
      <c r="AE116" s="200"/>
      <c r="AF116" s="200"/>
      <c r="AG116" s="200"/>
      <c r="AH116" s="200"/>
      <c r="AI116" s="200"/>
      <c r="AJ116" s="200"/>
      <c r="AK116" s="200"/>
      <c r="AL116" s="200"/>
    </row>
    <row r="117" spans="1:38">
      <c r="A117" s="435">
        <f t="shared" si="9"/>
        <v>98</v>
      </c>
      <c r="B117" s="871" t="str">
        <f>CONCATENATE('3. Consumption by Rate Class'!B122,"-",'3. Consumption by Rate Class'!C122)</f>
        <v>2021-February</v>
      </c>
      <c r="C117" s="870">
        <v>7544944.4699999997</v>
      </c>
      <c r="D117" s="934">
        <v>0</v>
      </c>
      <c r="E117" s="935">
        <v>0</v>
      </c>
      <c r="F117" s="941">
        <v>119083.88999999998</v>
      </c>
      <c r="G117" s="875"/>
      <c r="H117" s="875"/>
      <c r="I117" s="469">
        <f t="shared" si="10"/>
        <v>7664028.3599999994</v>
      </c>
      <c r="J117" s="599">
        <f>IF(J$18='5.Variables'!$B$16,+'5.Variables'!$D35,+IF(J$18='5.Variables'!$B$39,+'5.Variables'!$D58,+IF(J$18='5.Variables'!$B$62,+'5.Variables'!$D72,+IF(J$18='5.Variables'!$B$76,+'5.Variables'!$D86,+IF(J$18='5.Variables'!$B$90,+'5.Variables'!$D100,+IF(J$18='5.Variables'!$B$104,+'5.Variables'!$D114,0))))))</f>
        <v>683.5</v>
      </c>
      <c r="K117" s="599">
        <f>IF(K$18='5.Variables'!$B$16,+'5.Variables'!$D34,+IF(K$18='5.Variables'!$B$39,+'5.Variables'!$D58,+IF(K$18='5.Variables'!$B$62,+'5.Variables'!$D72,+IF(K$18='5.Variables'!$B$76,+'5.Variables'!$D86,+IF(K$18='5.Variables'!$B$90,+'5.Variables'!$D100,+IF(K$18='5.Variables'!$B$104,+'5.Variables'!$D114,0))))))</f>
        <v>0</v>
      </c>
      <c r="L117" s="599">
        <f>IF(L$18='5.Variables'!$B$16,+'5.Variables'!$D34,+IF(L$18='5.Variables'!$B$39,+'5.Variables'!$D58,+IF(L$18='5.Variables'!$B$62,+'5.Variables'!$D72,+IF(L$18='5.Variables'!$B$76,+'5.Variables'!$D86,+IF(L$18='5.Variables'!$B$90,+'5.Variables'!$D100,+IF(L$18='5.Variables'!$B$104,+'5.Variables'!$D114,0))))))</f>
        <v>28</v>
      </c>
      <c r="M117" s="599">
        <f>IF(M$18='5.Variables'!$B$16,+'5.Variables'!$D34,+IF(M$18='5.Variables'!$B$39,+'5.Variables'!$D58,+IF(M$18='5.Variables'!$B$62,+'5.Variables'!$D72,+IF(M$18='5.Variables'!$B$76,+'5.Variables'!$D86,+IF(M$18='5.Variables'!$B$90,+'5.Variables'!$D100,+IF(M$18='5.Variables'!$B$104,+'5.Variables'!$D114,0))))))</f>
        <v>10.19</v>
      </c>
      <c r="N117" s="599">
        <f>IF(N$18='5.Variables'!$B$16,+'5.Variables'!$D34,+IF(N$18='5.Variables'!$B$39,+'5.Variables'!$D58,+IF(N$18='5.Variables'!$B$62,+'5.Variables'!$D72,+IF(N$18='5.Variables'!$B$76,+'5.Variables'!$D86,+IF(N$18='5.Variables'!$B$90,+'5.Variables'!$D100,+IF(N$18='5.Variables'!$B$104,+'5.Variables'!$D114,0))))))</f>
        <v>0</v>
      </c>
      <c r="O117" s="928">
        <v>0</v>
      </c>
      <c r="P117" s="200"/>
      <c r="Q117" s="469">
        <f t="shared" si="8"/>
        <v>7625958.7568959743</v>
      </c>
      <c r="R117" s="216"/>
      <c r="S117" s="200"/>
      <c r="T117" s="200"/>
      <c r="U117" s="200"/>
      <c r="V117" s="200"/>
      <c r="W117" s="200"/>
      <c r="X117" s="200"/>
      <c r="Y117" s="200"/>
      <c r="Z117" s="200"/>
      <c r="AA117" s="200"/>
      <c r="AB117" s="200"/>
      <c r="AC117" s="200"/>
      <c r="AD117" s="200"/>
      <c r="AE117" s="200"/>
      <c r="AF117" s="200"/>
      <c r="AG117" s="200"/>
      <c r="AH117" s="200"/>
      <c r="AI117" s="200"/>
      <c r="AJ117" s="200"/>
      <c r="AK117" s="200"/>
      <c r="AL117" s="200"/>
    </row>
    <row r="118" spans="1:38">
      <c r="A118" s="435">
        <f t="shared" si="9"/>
        <v>99</v>
      </c>
      <c r="B118" s="871" t="str">
        <f>CONCATENATE('3. Consumption by Rate Class'!B123,"-",'3. Consumption by Rate Class'!C123)</f>
        <v>2021-March</v>
      </c>
      <c r="C118" s="870">
        <v>7801976.04</v>
      </c>
      <c r="D118" s="934">
        <v>0</v>
      </c>
      <c r="E118" s="935">
        <v>0</v>
      </c>
      <c r="F118" s="941">
        <v>-2409.260000000002</v>
      </c>
      <c r="G118" s="875"/>
      <c r="H118" s="875"/>
      <c r="I118" s="469">
        <f t="shared" si="10"/>
        <v>7799566.7800000003</v>
      </c>
      <c r="J118" s="599">
        <f>IF(J$18='5.Variables'!$B$16,+'5.Variables'!$E35,+IF(J$18='5.Variables'!$B$39,+'5.Variables'!$E58,+IF(J$18='5.Variables'!$B$62,+'5.Variables'!$E72,+IF(J$18='5.Variables'!$B$76,+'5.Variables'!$E86,+IF(J$18='5.Variables'!$B$90,+'5.Variables'!$E100,+IF(J$18='5.Variables'!$B$104,+'5.Variables'!$E114,0))))))</f>
        <v>577.29999999999995</v>
      </c>
      <c r="K118" s="599">
        <f>IF(K$18='5.Variables'!$B$16,+'5.Variables'!$E34,+IF(K$18='5.Variables'!$B$39,+'5.Variables'!$E58,+IF(K$18='5.Variables'!$B$62,+'5.Variables'!$E72,+IF(K$18='5.Variables'!$B$76,+'5.Variables'!$E86,+IF(K$18='5.Variables'!$B$90,+'5.Variables'!$E100,+IF(K$18='5.Variables'!$B$104,+'5.Variables'!$E114,0))))))</f>
        <v>0</v>
      </c>
      <c r="L118" s="599">
        <f>IF(L$18='5.Variables'!$B$16,+'5.Variables'!$E34,+IF(L$18='5.Variables'!$B$39,+'5.Variables'!$E58,+IF(L$18='5.Variables'!$B$62,+'5.Variables'!$E72,+IF(L$18='5.Variables'!$B$76,+'5.Variables'!$E86,+IF(L$18='5.Variables'!$B$90,+'5.Variables'!$E100,+IF(L$18='5.Variables'!$B$104,+'5.Variables'!$E114,0))))))</f>
        <v>31</v>
      </c>
      <c r="M118" s="599">
        <f>IF(M$18='5.Variables'!$B$16,+'5.Variables'!$E34,+IF(M$18='5.Variables'!$B$39,+'5.Variables'!$E58,+IF(M$18='5.Variables'!$B$62,+'5.Variables'!$E72,+IF(M$18='5.Variables'!$B$76,+'5.Variables'!$E86,+IF(M$18='5.Variables'!$B$90,+'5.Variables'!$E100,+IF(M$18='5.Variables'!$B$104,+'5.Variables'!$E114,0))))))</f>
        <v>11.51</v>
      </c>
      <c r="N118" s="599">
        <f>IF(N$18='5.Variables'!$B$16,+'5.Variables'!$E34,+IF(N$18='5.Variables'!$B$39,+'5.Variables'!$E58,+IF(N$18='5.Variables'!$B$62,+'5.Variables'!$E72,+IF(N$18='5.Variables'!$B$76,+'5.Variables'!$E86,+IF(N$18='5.Variables'!$B$90,+'5.Variables'!$E100,+IF(N$18='5.Variables'!$B$104,+'5.Variables'!$E114,0))))))</f>
        <v>0</v>
      </c>
      <c r="O118" s="928">
        <v>0</v>
      </c>
      <c r="P118" s="200"/>
      <c r="Q118" s="469">
        <f t="shared" si="8"/>
        <v>7787154.0910333414</v>
      </c>
      <c r="R118" s="216"/>
      <c r="S118" s="200"/>
      <c r="T118" s="200"/>
      <c r="U118" s="200"/>
      <c r="V118" s="200"/>
      <c r="W118" s="200"/>
      <c r="X118" s="200"/>
      <c r="Y118" s="200"/>
      <c r="Z118" s="200"/>
      <c r="AA118" s="200"/>
      <c r="AB118" s="200"/>
      <c r="AC118" s="200"/>
      <c r="AD118" s="200"/>
      <c r="AE118" s="200"/>
      <c r="AF118" s="200"/>
      <c r="AG118" s="200"/>
      <c r="AH118" s="200"/>
      <c r="AI118" s="200"/>
      <c r="AJ118" s="200"/>
      <c r="AK118" s="200"/>
      <c r="AL118" s="200"/>
    </row>
    <row r="119" spans="1:38">
      <c r="A119" s="435">
        <f t="shared" si="9"/>
        <v>100</v>
      </c>
      <c r="B119" s="871" t="str">
        <f>CONCATENATE('3. Consumption by Rate Class'!B124,"-",'3. Consumption by Rate Class'!C124)</f>
        <v>2021-April</v>
      </c>
      <c r="C119" s="870">
        <v>6419758.7800000003</v>
      </c>
      <c r="D119" s="934">
        <v>0</v>
      </c>
      <c r="E119" s="935">
        <v>0</v>
      </c>
      <c r="F119" s="941">
        <v>-1799.5</v>
      </c>
      <c r="G119" s="875"/>
      <c r="H119" s="875"/>
      <c r="I119" s="469">
        <f t="shared" si="10"/>
        <v>6417959.2800000003</v>
      </c>
      <c r="J119" s="599">
        <f>IF(J$18='5.Variables'!$B$16,+'5.Variables'!$F35,+IF(J$18='5.Variables'!$B$39,+'5.Variables'!$F58,+IF(J$18='5.Variables'!$B$62,+'5.Variables'!$F72,+IF(J$18='5.Variables'!$B$76,+'5.Variables'!$F86,+IF(J$18='5.Variables'!$B$90,+'5.Variables'!$F100,+IF(J$18='5.Variables'!$B$104,+'5.Variables'!$F114,0))))))</f>
        <v>295.3</v>
      </c>
      <c r="K119" s="599">
        <f>IF(K$18='5.Variables'!$B$16,+'5.Variables'!$F34,+IF(K$18='5.Variables'!$B$39,+'5.Variables'!$F58,+IF(K$18='5.Variables'!$B$62,+'5.Variables'!$F72,+IF(K$18='5.Variables'!$B$76,+'5.Variables'!$F86,+IF(K$18='5.Variables'!$B$90,+'5.Variables'!$F100,+IF(K$18='5.Variables'!$B$104,+'5.Variables'!$F114,0))))))</f>
        <v>0</v>
      </c>
      <c r="L119" s="599">
        <f>IF(L$18='5.Variables'!$B$16,+'5.Variables'!$F34,+IF(L$18='5.Variables'!$B$39,+'5.Variables'!$F58,+IF(L$18='5.Variables'!$B$62,+'5.Variables'!$F72,+IF(L$18='5.Variables'!$B$76,+'5.Variables'!$F86,+IF(L$18='5.Variables'!$B$90,+'5.Variables'!$F100,+IF(L$18='5.Variables'!$B$104,+'5.Variables'!$F114,0))))))</f>
        <v>30</v>
      </c>
      <c r="M119" s="599">
        <f>IF(M$18='5.Variables'!$B$16,+'5.Variables'!$F34,+IF(M$18='5.Variables'!$B$39,+'5.Variables'!$F58,+IF(M$18='5.Variables'!$B$62,+'5.Variables'!$F72,+IF(M$18='5.Variables'!$B$76,+'5.Variables'!$F86,+IF(M$18='5.Variables'!$B$90,+'5.Variables'!$F100,+IF(M$18='5.Variables'!$B$104,+'5.Variables'!$F114,0))))))</f>
        <v>13.28</v>
      </c>
      <c r="N119" s="599">
        <f>IF(N$18='5.Variables'!$B$16,+'5.Variables'!$F34,+IF(N$18='5.Variables'!$B$39,+'5.Variables'!$F58,+IF(N$18='5.Variables'!$B$62,+'5.Variables'!$F72,+IF(N$18='5.Variables'!$B$76,+'5.Variables'!$F86,+IF(N$18='5.Variables'!$B$90,+'5.Variables'!$F100,+IF(N$18='5.Variables'!$B$104,+'5.Variables'!$F114,0))))))</f>
        <v>0</v>
      </c>
      <c r="O119" s="928">
        <v>0</v>
      </c>
      <c r="P119" s="200"/>
      <c r="Q119" s="469">
        <f t="shared" si="8"/>
        <v>6796388.0860216497</v>
      </c>
      <c r="R119" s="216"/>
      <c r="S119" s="200"/>
      <c r="T119" s="200"/>
      <c r="U119" s="200"/>
      <c r="V119" s="200"/>
      <c r="W119" s="200"/>
      <c r="X119" s="200"/>
      <c r="Y119" s="200"/>
      <c r="Z119" s="200"/>
      <c r="AA119" s="200"/>
      <c r="AB119" s="200"/>
      <c r="AC119" s="200"/>
      <c r="AD119" s="200"/>
      <c r="AE119" s="200"/>
      <c r="AF119" s="200"/>
      <c r="AG119" s="200"/>
      <c r="AH119" s="200"/>
      <c r="AI119" s="200"/>
      <c r="AJ119" s="200"/>
      <c r="AK119" s="200"/>
      <c r="AL119" s="200"/>
    </row>
    <row r="120" spans="1:38">
      <c r="A120" s="435">
        <f t="shared" si="9"/>
        <v>101</v>
      </c>
      <c r="B120" s="871" t="str">
        <f>CONCATENATE('3. Consumption by Rate Class'!B125,"-",'3. Consumption by Rate Class'!C125)</f>
        <v>2021-May</v>
      </c>
      <c r="C120" s="870">
        <v>6758591.7699999996</v>
      </c>
      <c r="D120" s="934">
        <v>0</v>
      </c>
      <c r="E120" s="935">
        <v>0</v>
      </c>
      <c r="F120" s="941">
        <v>-1619.1599999999999</v>
      </c>
      <c r="G120" s="875"/>
      <c r="H120" s="875"/>
      <c r="I120" s="469">
        <f t="shared" si="10"/>
        <v>6756972.6099999994</v>
      </c>
      <c r="J120" s="599">
        <f>IF(J$18='5.Variables'!$B$16,+'5.Variables'!$G35,+IF(J$18='5.Variables'!$B$39,+'5.Variables'!$G58,+IF(J$18='5.Variables'!$B$62,+'5.Variables'!$G72,+IF(J$18='5.Variables'!$B$76,+'5.Variables'!$G86,+IF(J$18='5.Variables'!$B$90,+'5.Variables'!$G100,+IF(J$18='5.Variables'!$B$104,+'5.Variables'!$G114,0))))))</f>
        <v>173.9</v>
      </c>
      <c r="K120" s="599">
        <f>IF(K$18='5.Variables'!$B$16,+'5.Variables'!$G34,+IF(K$18='5.Variables'!$B$39,+'5.Variables'!$G58,+IF(K$18='5.Variables'!$B$62,+'5.Variables'!$G72,+IF(K$18='5.Variables'!$B$76,+'5.Variables'!$G86,+IF(K$18='5.Variables'!$B$90,+'5.Variables'!$G100,+IF(K$18='5.Variables'!$B$104,+'5.Variables'!$G114,0))))))</f>
        <v>24.4</v>
      </c>
      <c r="L120" s="599">
        <f>IF(L$18='5.Variables'!$B$16,+'5.Variables'!$G34,+IF(L$18='5.Variables'!$B$39,+'5.Variables'!$G58,+IF(L$18='5.Variables'!$B$62,+'5.Variables'!$G72,+IF(L$18='5.Variables'!$B$76,+'5.Variables'!$G86,+IF(L$18='5.Variables'!$B$90,+'5.Variables'!$G100,+IF(L$18='5.Variables'!$B$104,+'5.Variables'!$G114,0))))))</f>
        <v>31</v>
      </c>
      <c r="M120" s="599">
        <f>IF(M$18='5.Variables'!$B$16,+'5.Variables'!$G34,+IF(M$18='5.Variables'!$B$39,+'5.Variables'!$G58,+IF(M$18='5.Variables'!$B$62,+'5.Variables'!$G72,+IF(M$18='5.Variables'!$B$76,+'5.Variables'!$G86,+IF(M$18='5.Variables'!$B$90,+'5.Variables'!$G100,+IF(M$18='5.Variables'!$B$104,+'5.Variables'!$G114,0))))))</f>
        <v>14.52</v>
      </c>
      <c r="N120" s="599">
        <f>IF(N$18='5.Variables'!$B$16,+'5.Variables'!$G34,+IF(N$18='5.Variables'!$B$39,+'5.Variables'!$G58,+IF(N$18='5.Variables'!$B$62,+'5.Variables'!$G72,+IF(N$18='5.Variables'!$B$76,+'5.Variables'!$G86,+IF(N$18='5.Variables'!$B$90,+'5.Variables'!$G100,+IF(N$18='5.Variables'!$B$104,+'5.Variables'!$G114,0))))))</f>
        <v>0</v>
      </c>
      <c r="O120" s="928">
        <v>0</v>
      </c>
      <c r="P120" s="200"/>
      <c r="Q120" s="469">
        <f t="shared" si="8"/>
        <v>6970994.8873572815</v>
      </c>
      <c r="R120" s="216"/>
      <c r="S120" s="200"/>
      <c r="T120" s="200"/>
      <c r="U120" s="200"/>
      <c r="V120" s="200"/>
      <c r="W120" s="200"/>
      <c r="X120" s="200"/>
      <c r="Y120" s="200"/>
      <c r="Z120" s="200"/>
      <c r="AA120" s="200"/>
      <c r="AB120" s="200"/>
      <c r="AC120" s="200"/>
      <c r="AD120" s="200"/>
      <c r="AE120" s="200"/>
      <c r="AF120" s="200"/>
      <c r="AG120" s="200"/>
      <c r="AH120" s="200"/>
      <c r="AI120" s="200"/>
      <c r="AJ120" s="200"/>
      <c r="AK120" s="200"/>
      <c r="AL120" s="200"/>
    </row>
    <row r="121" spans="1:38">
      <c r="A121" s="435">
        <f t="shared" si="9"/>
        <v>102</v>
      </c>
      <c r="B121" s="871" t="str">
        <f>CONCATENATE('3. Consumption by Rate Class'!B126,"-",'3. Consumption by Rate Class'!C126)</f>
        <v>2021-June</v>
      </c>
      <c r="C121" s="870">
        <v>7259419.1200000001</v>
      </c>
      <c r="D121" s="934">
        <v>0</v>
      </c>
      <c r="E121" s="935">
        <v>0</v>
      </c>
      <c r="F121" s="941">
        <v>0</v>
      </c>
      <c r="G121" s="875"/>
      <c r="H121" s="875"/>
      <c r="I121" s="469">
        <f t="shared" si="10"/>
        <v>7259419.1200000001</v>
      </c>
      <c r="J121" s="599">
        <f>IF(J$18='5.Variables'!$B$16,+'5.Variables'!$H35,+IF(J$18='5.Variables'!$B$39,+'5.Variables'!$H58,+IF(J$18='5.Variables'!$B$62,+'5.Variables'!$H72,+IF(J$18='5.Variables'!$B$76,+'5.Variables'!$H86,+IF(J$18='5.Variables'!$B$90,+'5.Variables'!$H100,+IF(J$18='5.Variables'!$B$104,+'5.Variables'!$H114,0))))))</f>
        <v>13.8</v>
      </c>
      <c r="K121" s="599">
        <f>IF(K$18='5.Variables'!$B$16,+'5.Variables'!$H34,+IF(K$18='5.Variables'!$B$39,+'5.Variables'!$H58,+IF(K$18='5.Variables'!$B$62,+'5.Variables'!$H72,+IF(K$18='5.Variables'!$B$76,+'5.Variables'!$H86,+IF(K$18='5.Variables'!$B$90,+'5.Variables'!$H100,+IF(K$18='5.Variables'!$B$104,+'5.Variables'!$H114,0))))))</f>
        <v>89.8</v>
      </c>
      <c r="L121" s="599">
        <f>IF(L$18='5.Variables'!$B$16,+'5.Variables'!$H34,+IF(L$18='5.Variables'!$B$39,+'5.Variables'!$H58,+IF(L$18='5.Variables'!$B$62,+'5.Variables'!$H72,+IF(L$18='5.Variables'!$B$76,+'5.Variables'!$H86,+IF(L$18='5.Variables'!$B$90,+'5.Variables'!$H100,+IF(L$18='5.Variables'!$B$104,+'5.Variables'!$H114,0))))))</f>
        <v>30</v>
      </c>
      <c r="M121" s="599">
        <f>IF(M$18='5.Variables'!$B$16,+'5.Variables'!$H34,+IF(M$18='5.Variables'!$B$39,+'5.Variables'!$H58,+IF(M$18='5.Variables'!$B$62,+'5.Variables'!$H72,+IF(M$18='5.Variables'!$B$76,+'5.Variables'!$H86,+IF(M$18='5.Variables'!$B$90,+'5.Variables'!$H100,+IF(M$18='5.Variables'!$B$104,+'5.Variables'!$H114,0))))))</f>
        <v>15.35</v>
      </c>
      <c r="N121" s="599">
        <f>IF(N$18='5.Variables'!$B$16,+'5.Variables'!$H34,+IF(N$18='5.Variables'!$B$39,+'5.Variables'!$H58,+IF(N$18='5.Variables'!$B$62,+'5.Variables'!$H72,+IF(N$18='5.Variables'!$B$76,+'5.Variables'!$H86,+IF(N$18='5.Variables'!$B$90,+'5.Variables'!$H100,+IF(N$18='5.Variables'!$B$104,+'5.Variables'!$H114,0))))))</f>
        <v>0</v>
      </c>
      <c r="O121" s="928">
        <v>0</v>
      </c>
      <c r="P121" s="200"/>
      <c r="Q121" s="469">
        <f t="shared" si="8"/>
        <v>7344599.6571752727</v>
      </c>
      <c r="R121" s="216"/>
      <c r="S121" s="200"/>
      <c r="T121" s="200"/>
      <c r="U121" s="200"/>
      <c r="V121" s="200"/>
      <c r="W121" s="200"/>
      <c r="X121" s="200"/>
      <c r="Y121" s="200"/>
      <c r="Z121" s="200"/>
      <c r="AA121" s="200"/>
      <c r="AB121" s="200"/>
      <c r="AC121" s="200"/>
      <c r="AD121" s="200"/>
      <c r="AE121" s="200"/>
      <c r="AF121" s="200"/>
      <c r="AG121" s="200"/>
      <c r="AH121" s="200"/>
      <c r="AI121" s="200"/>
      <c r="AJ121" s="200"/>
      <c r="AK121" s="200"/>
      <c r="AL121" s="200"/>
    </row>
    <row r="122" spans="1:38">
      <c r="A122" s="435">
        <f t="shared" si="9"/>
        <v>103</v>
      </c>
      <c r="B122" s="871" t="str">
        <f>CONCATENATE('3. Consumption by Rate Class'!B127,"-",'3. Consumption by Rate Class'!C127)</f>
        <v>2021-July</v>
      </c>
      <c r="C122" s="870">
        <v>7436255.2999999998</v>
      </c>
      <c r="D122" s="934">
        <v>0</v>
      </c>
      <c r="E122" s="935">
        <v>0</v>
      </c>
      <c r="F122" s="941">
        <v>0</v>
      </c>
      <c r="G122" s="875"/>
      <c r="H122" s="875"/>
      <c r="I122" s="469">
        <f t="shared" si="10"/>
        <v>7436255.2999999998</v>
      </c>
      <c r="J122" s="599">
        <f>IF(J$18='5.Variables'!$B$16,+'5.Variables'!$I35,+IF(J$18='5.Variables'!$B$39,+'5.Variables'!$I58,+IF(J$18='5.Variables'!$B$62,+'5.Variables'!$I72,+IF(J$18='5.Variables'!$B$76,+'5.Variables'!$I86,+IF(J$18='5.Variables'!$B$90,+'5.Variables'!$I100,+IF(J$18='5.Variables'!$B$104,+'5.Variables'!$I114,0))))))</f>
        <v>16.100000000000001</v>
      </c>
      <c r="K122" s="599">
        <f>IF(K$18='5.Variables'!$B$16,+'5.Variables'!$I34,+IF(K$18='5.Variables'!$B$39,+'5.Variables'!$I58,+IF(K$18='5.Variables'!$B$62,+'5.Variables'!$I72,+IF(K$18='5.Variables'!$B$76,+'5.Variables'!$I86,+IF(K$18='5.Variables'!$B$90,+'5.Variables'!$I100,+IF(K$18='5.Variables'!$B$104,+'5.Variables'!$I114,0))))))</f>
        <v>64.5</v>
      </c>
      <c r="L122" s="599">
        <f>IF(L$18='5.Variables'!$B$16,+'5.Variables'!$I34,+IF(L$18='5.Variables'!$B$39,+'5.Variables'!$I58,+IF(L$18='5.Variables'!$B$62,+'5.Variables'!$I72,+IF(L$18='5.Variables'!$B$76,+'5.Variables'!$I86,+IF(L$18='5.Variables'!$B$90,+'5.Variables'!$I100,+IF(L$18='5.Variables'!$B$104,+'5.Variables'!$I114,0))))))</f>
        <v>31</v>
      </c>
      <c r="M122" s="599">
        <f>IF(M$18='5.Variables'!$B$16,+'5.Variables'!$I34,+IF(M$18='5.Variables'!$B$39,+'5.Variables'!$I58,+IF(M$18='5.Variables'!$B$62,+'5.Variables'!$I72,+IF(M$18='5.Variables'!$B$76,+'5.Variables'!$I86,+IF(M$18='5.Variables'!$B$90,+'5.Variables'!$I100,+IF(M$18='5.Variables'!$B$104,+'5.Variables'!$I114,0))))))</f>
        <v>15.15</v>
      </c>
      <c r="N122" s="599">
        <f>IF(N$18='5.Variables'!$B$16,+'5.Variables'!$I34,+IF(N$18='5.Variables'!$B$39,+'5.Variables'!$I58,+IF(N$18='5.Variables'!$B$62,+'5.Variables'!$I72,+IF(N$18='5.Variables'!$B$76,+'5.Variables'!$I86,+IF(N$18='5.Variables'!$B$90,+'5.Variables'!$I100,+IF(N$18='5.Variables'!$B$104,+'5.Variables'!$I114,0))))))</f>
        <v>0</v>
      </c>
      <c r="O122" s="928">
        <v>0</v>
      </c>
      <c r="P122" s="200"/>
      <c r="Q122" s="469">
        <f t="shared" si="8"/>
        <v>7121040.9169923197</v>
      </c>
      <c r="R122" s="216"/>
      <c r="S122" s="200"/>
      <c r="T122" s="200"/>
      <c r="U122" s="200"/>
      <c r="V122" s="200"/>
      <c r="W122" s="200"/>
      <c r="X122" s="200"/>
      <c r="Y122" s="200"/>
      <c r="Z122" s="200"/>
      <c r="AA122" s="200"/>
      <c r="AB122" s="200"/>
      <c r="AC122" s="200"/>
      <c r="AD122" s="200"/>
      <c r="AE122" s="200"/>
      <c r="AF122" s="200"/>
      <c r="AG122" s="200"/>
      <c r="AH122" s="200"/>
      <c r="AI122" s="200"/>
      <c r="AJ122" s="200"/>
      <c r="AK122" s="200"/>
      <c r="AL122" s="200"/>
    </row>
    <row r="123" spans="1:38">
      <c r="A123" s="435">
        <f t="shared" si="9"/>
        <v>104</v>
      </c>
      <c r="B123" s="871" t="str">
        <f>CONCATENATE('3. Consumption by Rate Class'!B128,"-",'3. Consumption by Rate Class'!C128)</f>
        <v>2021-August</v>
      </c>
      <c r="C123" s="870">
        <v>8162059.2199999997</v>
      </c>
      <c r="D123" s="934">
        <v>0</v>
      </c>
      <c r="E123" s="935">
        <v>0</v>
      </c>
      <c r="F123" s="941">
        <v>0</v>
      </c>
      <c r="G123" s="875"/>
      <c r="H123" s="875"/>
      <c r="I123" s="469">
        <f t="shared" si="10"/>
        <v>8162059.2199999997</v>
      </c>
      <c r="J123" s="599">
        <f>IF(J$18='5.Variables'!$B$16,+'5.Variables'!$J35,+IF(J$18='5.Variables'!$B$39,+'5.Variables'!$J58,+IF(J$18='5.Variables'!$B$62,+'5.Variables'!$J72,+IF(J$18='5.Variables'!$B$76,+'5.Variables'!$J86,+IF(J$18='5.Variables'!$B$90,+'5.Variables'!$J100,+IF(J$18='5.Variables'!$B$104,+'5.Variables'!$J114,0))))))</f>
        <v>4.4000000000000004</v>
      </c>
      <c r="K123" s="599">
        <f>IF(K$18='5.Variables'!$B$16,+'5.Variables'!$J34,+IF(K$18='5.Variables'!$B$39,+'5.Variables'!$J58,+IF(K$18='5.Variables'!$B$62,+'5.Variables'!$J72,+IF(K$18='5.Variables'!$B$76,+'5.Variables'!$J86,+IF(K$18='5.Variables'!$B$90,+'5.Variables'!$J100,+IF(K$18='5.Variables'!$B$104,+'5.Variables'!$J114,0))))))</f>
        <v>136</v>
      </c>
      <c r="L123" s="599">
        <f>IF(L$18='5.Variables'!$B$16,+'5.Variables'!$J34,+IF(L$18='5.Variables'!$B$39,+'5.Variables'!$J58,+IF(L$18='5.Variables'!$B$62,+'5.Variables'!$J72,+IF(L$18='5.Variables'!$B$76,+'5.Variables'!$J86,+IF(L$18='5.Variables'!$B$90,+'5.Variables'!$J100,+IF(L$18='5.Variables'!$B$104,+'5.Variables'!$J114,0))))))</f>
        <v>31</v>
      </c>
      <c r="M123" s="599">
        <f>IF(M$18='5.Variables'!$B$16,+'5.Variables'!$J34,+IF(M$18='5.Variables'!$B$39,+'5.Variables'!$J58,+IF(M$18='5.Variables'!$B$62,+'5.Variables'!$J72,+IF(M$18='5.Variables'!$B$76,+'5.Variables'!$J86,+IF(M$18='5.Variables'!$B$90,+'5.Variables'!$J100,+IF(M$18='5.Variables'!$B$104,+'5.Variables'!$J114,0))))))</f>
        <v>14.03</v>
      </c>
      <c r="N123" s="599">
        <f>IF(N$18='5.Variables'!$B$16,+'5.Variables'!$J34,+IF(N$18='5.Variables'!$B$39,+'5.Variables'!$J58,+IF(N$18='5.Variables'!$B$62,+'5.Variables'!$J72,+IF(N$18='5.Variables'!$B$76,+'5.Variables'!$J86,+IF(N$18='5.Variables'!$B$90,+'5.Variables'!$J100,+IF(N$18='5.Variables'!$B$104,+'5.Variables'!$J114,0))))))</f>
        <v>0</v>
      </c>
      <c r="O123" s="928">
        <v>0</v>
      </c>
      <c r="P123" s="200"/>
      <c r="Q123" s="469">
        <f t="shared" si="8"/>
        <v>8184686.7272825297</v>
      </c>
      <c r="R123" s="216"/>
      <c r="S123" s="200"/>
      <c r="T123" s="200"/>
      <c r="U123" s="200"/>
      <c r="V123" s="200"/>
      <c r="W123" s="200"/>
      <c r="X123" s="200"/>
      <c r="Y123" s="200"/>
      <c r="Z123" s="200"/>
      <c r="AA123" s="200"/>
      <c r="AB123" s="200"/>
      <c r="AC123" s="200"/>
      <c r="AD123" s="200"/>
      <c r="AE123" s="200"/>
      <c r="AF123" s="200"/>
      <c r="AG123" s="200"/>
      <c r="AH123" s="200"/>
      <c r="AI123" s="200"/>
      <c r="AJ123" s="200"/>
      <c r="AK123" s="200"/>
      <c r="AL123" s="200"/>
    </row>
    <row r="124" spans="1:38">
      <c r="A124" s="435">
        <f t="shared" si="9"/>
        <v>105</v>
      </c>
      <c r="B124" s="871" t="str">
        <f>CONCATENATE('3. Consumption by Rate Class'!B129,"-",'3. Consumption by Rate Class'!C129)</f>
        <v>2021-September</v>
      </c>
      <c r="C124" s="870">
        <v>6440145.0599999996</v>
      </c>
      <c r="D124" s="934">
        <v>0</v>
      </c>
      <c r="E124" s="935">
        <v>0</v>
      </c>
      <c r="F124" s="941">
        <v>0</v>
      </c>
      <c r="G124" s="875"/>
      <c r="H124" s="875"/>
      <c r="I124" s="469">
        <f t="shared" si="10"/>
        <v>6440145.0599999996</v>
      </c>
      <c r="J124" s="599">
        <f>IF(J$18='5.Variables'!$B$16,+'5.Variables'!$K35,+IF(J$18='5.Variables'!$B$39,+'5.Variables'!$K58,+IF(J$18='5.Variables'!$B$62,+'5.Variables'!$K72,+IF(J$18='5.Variables'!$B$76,+'5.Variables'!$K86,+IF(J$18='5.Variables'!$B$90,+'5.Variables'!$K100,+IF(J$18='5.Variables'!$B$104,+'5.Variables'!$K114,0))))))</f>
        <v>69.5</v>
      </c>
      <c r="K124" s="599">
        <f>IF(K$18='5.Variables'!$B$16,+'5.Variables'!$K34,+IF(K$18='5.Variables'!$B$39,+'5.Variables'!$K58,+IF(K$18='5.Variables'!$B$62,+'5.Variables'!$K72,+IF(K$18='5.Variables'!$B$76,+'5.Variables'!$K86,+IF(K$18='5.Variables'!$B$90,+'5.Variables'!$K100,+IF(K$18='5.Variables'!$B$104,+'5.Variables'!$K114,0))))))</f>
        <v>4.7</v>
      </c>
      <c r="L124" s="599">
        <f>IF(L$18='5.Variables'!$B$16,+'5.Variables'!$K34,+IF(L$18='5.Variables'!$B$39,+'5.Variables'!$K58,+IF(L$18='5.Variables'!$B$62,+'5.Variables'!$K72,+IF(L$18='5.Variables'!$B$76,+'5.Variables'!$K86,+IF(L$18='5.Variables'!$B$90,+'5.Variables'!$K100,+IF(L$18='5.Variables'!$B$104,+'5.Variables'!$K114,0))))))</f>
        <v>30</v>
      </c>
      <c r="M124" s="599">
        <f>IF(M$18='5.Variables'!$B$16,+'5.Variables'!$K34,+IF(M$18='5.Variables'!$B$39,+'5.Variables'!$K58,+IF(M$18='5.Variables'!$B$62,+'5.Variables'!$K72,+IF(M$18='5.Variables'!$B$76,+'5.Variables'!$K86,+IF(M$18='5.Variables'!$B$90,+'5.Variables'!$K100,+IF(M$18='5.Variables'!$B$104,+'5.Variables'!$K114,0))))))</f>
        <v>12.29</v>
      </c>
      <c r="N124" s="599">
        <f>IF(N$18='5.Variables'!$B$16,+'5.Variables'!$K34,+IF(N$18='5.Variables'!$B$39,+'5.Variables'!$K58,+IF(N$18='5.Variables'!$B$62,+'5.Variables'!$K72,+IF(N$18='5.Variables'!$B$76,+'5.Variables'!$K86,+IF(N$18='5.Variables'!$B$90,+'5.Variables'!$K100,+IF(N$18='5.Variables'!$B$104,+'5.Variables'!$K114,0))))))</f>
        <v>0</v>
      </c>
      <c r="O124" s="928">
        <v>0</v>
      </c>
      <c r="P124" s="200"/>
      <c r="Q124" s="469">
        <f t="shared" si="8"/>
        <v>6201965.596252026</v>
      </c>
      <c r="R124" s="216"/>
      <c r="S124" s="200"/>
      <c r="T124" s="200"/>
      <c r="U124" s="200"/>
      <c r="V124" s="200"/>
      <c r="W124" s="200"/>
      <c r="X124" s="200"/>
      <c r="Y124" s="200"/>
      <c r="Z124" s="200"/>
      <c r="AA124" s="200"/>
      <c r="AB124" s="200"/>
      <c r="AC124" s="200"/>
      <c r="AD124" s="200"/>
      <c r="AE124" s="200"/>
      <c r="AF124" s="200"/>
      <c r="AG124" s="200"/>
      <c r="AH124" s="200"/>
      <c r="AI124" s="200"/>
      <c r="AJ124" s="200"/>
      <c r="AK124" s="200"/>
      <c r="AL124" s="200"/>
    </row>
    <row r="125" spans="1:38">
      <c r="A125" s="435">
        <f t="shared" si="9"/>
        <v>106</v>
      </c>
      <c r="B125" s="871" t="str">
        <f>CONCATENATE('3. Consumption by Rate Class'!B130,"-",'3. Consumption by Rate Class'!C130)</f>
        <v>2021-October</v>
      </c>
      <c r="C125" s="870">
        <v>6683692.8200000003</v>
      </c>
      <c r="D125" s="934">
        <v>0</v>
      </c>
      <c r="E125" s="935">
        <v>0</v>
      </c>
      <c r="F125" s="941">
        <v>0</v>
      </c>
      <c r="G125" s="875"/>
      <c r="H125" s="875"/>
      <c r="I125" s="469">
        <f t="shared" si="10"/>
        <v>6683692.8200000003</v>
      </c>
      <c r="J125" s="599">
        <f>IF(J$18='5.Variables'!$B$16,+'5.Variables'!$L35,+IF(J$18='5.Variables'!$B$39,+'5.Variables'!$L58,+IF(J$18='5.Variables'!$B$62,+'5.Variables'!$L72,+IF(J$18='5.Variables'!$B$76,+'5.Variables'!$L86,+IF(J$18='5.Variables'!$B$90,+'5.Variables'!$L100,+IF(J$18='5.Variables'!$B$104,+'5.Variables'!$L114,0))))))</f>
        <v>196.1</v>
      </c>
      <c r="K125" s="599">
        <f>IF(K$18='5.Variables'!$B$16,+'5.Variables'!$L34,+IF(K$18='5.Variables'!$B$39,+'5.Variables'!$L58,+IF(K$18='5.Variables'!$B$62,+'5.Variables'!$L72,+IF(K$18='5.Variables'!$B$76,+'5.Variables'!$L86,+IF(K$18='5.Variables'!$B$90,+'5.Variables'!$L100,+IF(K$18='5.Variables'!$B$104,+'5.Variables'!$L114,0))))))</f>
        <v>0.7</v>
      </c>
      <c r="L125" s="599">
        <f>IF(L$18='5.Variables'!$B$16,+'5.Variables'!$L34,+IF(L$18='5.Variables'!$B$39,+'5.Variables'!$L58,+IF(L$18='5.Variables'!$B$62,+'5.Variables'!$L72,+IF(L$18='5.Variables'!$B$76,+'5.Variables'!$L86,+IF(L$18='5.Variables'!$B$90,+'5.Variables'!$L100,+IF(L$18='5.Variables'!$B$104,+'5.Variables'!$L114,0))))))</f>
        <v>31</v>
      </c>
      <c r="M125" s="599">
        <f>IF(M$18='5.Variables'!$B$16,+'5.Variables'!$L34,+IF(M$18='5.Variables'!$B$39,+'5.Variables'!$L58,+IF(M$18='5.Variables'!$B$62,+'5.Variables'!$L72,+IF(M$18='5.Variables'!$B$76,+'5.Variables'!$L86,+IF(M$18='5.Variables'!$B$90,+'5.Variables'!$L100,+IF(M$18='5.Variables'!$B$104,+'5.Variables'!$L114,0))))))</f>
        <v>10.51</v>
      </c>
      <c r="N125" s="599">
        <f>IF(N$18='5.Variables'!$B$16,+'5.Variables'!$L34,+IF(N$18='5.Variables'!$B$39,+'5.Variables'!$L58,+IF(N$18='5.Variables'!$B$62,+'5.Variables'!$L72,+IF(N$18='5.Variables'!$B$76,+'5.Variables'!$L86,+IF(N$18='5.Variables'!$B$90,+'5.Variables'!$L100,+IF(N$18='5.Variables'!$B$104,+'5.Variables'!$L114,0))))))</f>
        <v>0</v>
      </c>
      <c r="O125" s="928">
        <v>0</v>
      </c>
      <c r="P125" s="200"/>
      <c r="Q125" s="469">
        <f t="shared" si="8"/>
        <v>6672519.7875408866</v>
      </c>
      <c r="R125" s="216"/>
      <c r="S125" s="200"/>
      <c r="T125" s="200"/>
      <c r="U125" s="200"/>
      <c r="V125" s="200"/>
      <c r="W125" s="200"/>
      <c r="X125" s="200"/>
      <c r="Y125" s="200"/>
      <c r="Z125" s="200"/>
      <c r="AA125" s="200"/>
      <c r="AB125" s="200"/>
      <c r="AC125" s="200"/>
      <c r="AD125" s="200"/>
      <c r="AE125" s="200"/>
      <c r="AF125" s="200"/>
      <c r="AG125" s="200"/>
      <c r="AH125" s="200"/>
      <c r="AI125" s="200"/>
      <c r="AJ125" s="200"/>
      <c r="AK125" s="200"/>
      <c r="AL125" s="200"/>
    </row>
    <row r="126" spans="1:38">
      <c r="A126" s="435">
        <f t="shared" si="9"/>
        <v>107</v>
      </c>
      <c r="B126" s="871" t="str">
        <f>CONCATENATE('3. Consumption by Rate Class'!B131,"-",'3. Consumption by Rate Class'!C131)</f>
        <v>2021-November</v>
      </c>
      <c r="C126" s="870">
        <v>7132445.2641586075</v>
      </c>
      <c r="D126" s="934">
        <v>0</v>
      </c>
      <c r="E126" s="935">
        <v>0</v>
      </c>
      <c r="F126" s="941">
        <v>0</v>
      </c>
      <c r="G126" s="875"/>
      <c r="H126" s="875"/>
      <c r="I126" s="469">
        <f t="shared" si="10"/>
        <v>7132445.2641586075</v>
      </c>
      <c r="J126" s="599">
        <f>IF(J$18='5.Variables'!$B$16,+'5.Variables'!$M35,+IF(J$18='5.Variables'!$B$39,+'5.Variables'!$M58,+IF(J$18='5.Variables'!$B$62,+'5.Variables'!$M72,+IF(J$18='5.Variables'!$B$76,+'5.Variables'!$M86,+IF(J$18='5.Variables'!$B$90,+'5.Variables'!$M100,+IF(J$18='5.Variables'!$B$104,+'5.Variables'!$M114,0))))))</f>
        <v>509.3</v>
      </c>
      <c r="K126" s="599">
        <f>IF(K$18='5.Variables'!$B$16,+'5.Variables'!$M34,+IF(K$18='5.Variables'!$B$39,+'5.Variables'!$M58,+IF(K$18='5.Variables'!$B$62,+'5.Variables'!$M72,+IF(K$18='5.Variables'!$B$76,+'5.Variables'!$M86,+IF(K$18='5.Variables'!$B$90,+'5.Variables'!$M100,+IF(K$18='5.Variables'!$B$104,+'5.Variables'!$M114,0))))))</f>
        <v>0</v>
      </c>
      <c r="L126" s="599">
        <f>IF(L$18='5.Variables'!$B$16,+'5.Variables'!$M34,+IF(L$18='5.Variables'!$B$39,+'5.Variables'!$M58,+IF(L$18='5.Variables'!$B$62,+'5.Variables'!$M72,+IF(L$18='5.Variables'!$B$76,+'5.Variables'!$M86,+IF(L$18='5.Variables'!$B$90,+'5.Variables'!$M100,+IF(L$18='5.Variables'!$B$104,+'5.Variables'!$M114,0))))))</f>
        <v>30</v>
      </c>
      <c r="M126" s="599">
        <f>IF(M$18='5.Variables'!$B$16,+'5.Variables'!$M34,+IF(M$18='5.Variables'!$B$39,+'5.Variables'!$M58,+IF(M$18='5.Variables'!$B$62,+'5.Variables'!$M72,+IF(M$18='5.Variables'!$B$76,+'5.Variables'!$M86,+IF(M$18='5.Variables'!$B$90,+'5.Variables'!$M100,+IF(M$18='5.Variables'!$B$104,+'5.Variables'!$M114,0))))))</f>
        <v>9.2799999999999994</v>
      </c>
      <c r="N126" s="599">
        <f>IF(N$18='5.Variables'!$B$16,+'5.Variables'!$M34,+IF(N$18='5.Variables'!$B$39,+'5.Variables'!$M58,+IF(N$18='5.Variables'!$B$62,+'5.Variables'!$M72,+IF(N$18='5.Variables'!$B$76,+'5.Variables'!$M86,+IF(N$18='5.Variables'!$B$90,+'5.Variables'!$M100,+IF(N$18='5.Variables'!$B$104,+'5.Variables'!$M114,0))))))</f>
        <v>0</v>
      </c>
      <c r="O126" s="928">
        <v>0</v>
      </c>
      <c r="P126" s="200"/>
      <c r="Q126" s="469">
        <f t="shared" si="8"/>
        <v>7428162.8956331909</v>
      </c>
      <c r="R126" s="216"/>
      <c r="S126" s="200"/>
      <c r="T126" s="200"/>
      <c r="U126" s="200"/>
      <c r="V126" s="200"/>
      <c r="W126" s="200"/>
      <c r="X126" s="200"/>
      <c r="Y126" s="200"/>
      <c r="Z126" s="200"/>
      <c r="AA126" s="200"/>
      <c r="AB126" s="200"/>
      <c r="AC126" s="200"/>
      <c r="AD126" s="200"/>
      <c r="AE126" s="200"/>
      <c r="AF126" s="200"/>
      <c r="AG126" s="200"/>
      <c r="AH126" s="200"/>
      <c r="AI126" s="200"/>
      <c r="AJ126" s="200"/>
      <c r="AK126" s="200"/>
      <c r="AL126" s="200"/>
    </row>
    <row r="127" spans="1:38">
      <c r="A127" s="435">
        <f t="shared" si="9"/>
        <v>108</v>
      </c>
      <c r="B127" s="451" t="str">
        <f>CONCATENATE('3. Consumption by Rate Class'!B132,"-",'3. Consumption by Rate Class'!C132)</f>
        <v>2021-December</v>
      </c>
      <c r="C127" s="584">
        <v>7987864.7000000002</v>
      </c>
      <c r="D127" s="940">
        <v>0</v>
      </c>
      <c r="E127" s="939">
        <v>0</v>
      </c>
      <c r="F127" s="939">
        <v>0</v>
      </c>
      <c r="G127" s="880"/>
      <c r="H127" s="880"/>
      <c r="I127" s="881">
        <f t="shared" si="10"/>
        <v>7987864.7000000002</v>
      </c>
      <c r="J127" s="599">
        <f>IF(J$18='5.Variables'!$B$16,+'5.Variables'!$N35,+IF(J$18='5.Variables'!$B$39,+'5.Variables'!$N58,+IF(J$18='5.Variables'!$B$62,+'5.Variables'!$N72,+IF(J$18='5.Variables'!$B$76,+'5.Variables'!$N86,+IF(J$18='5.Variables'!$B$90,+'5.Variables'!$N100,+IF(J$18='5.Variables'!$B$104,+'5.Variables'!$N114,0))))))</f>
        <v>692.7</v>
      </c>
      <c r="K127" s="599">
        <f>IF(K$18='5.Variables'!$B$16,+'5.Variables'!$N34,+IF(K$18='5.Variables'!$B$39,+'5.Variables'!$N58,+IF(K$18='5.Variables'!$B$62,+'5.Variables'!$N72,+IF(K$18='5.Variables'!$B$76,+'5.Variables'!$N86,+IF(K$18='5.Variables'!$B$90,+'5.Variables'!$N100,+IF(K$18='5.Variables'!$B$104,+'5.Variables'!$N114,0))))))</f>
        <v>0</v>
      </c>
      <c r="L127" s="599">
        <f>IF(L$18='5.Variables'!$B$16,+'5.Variables'!$N34,+IF(L$18='5.Variables'!$B$39,+'5.Variables'!$N58,+IF(L$18='5.Variables'!$B$62,+'5.Variables'!$N72,+IF(L$18='5.Variables'!$B$76,+'5.Variables'!$N86,+IF(L$18='5.Variables'!$B$90,+'5.Variables'!$N100,+IF(L$18='5.Variables'!$B$104,+'5.Variables'!$N114,0))))))</f>
        <v>31</v>
      </c>
      <c r="M127" s="599">
        <f>IF(M$18='5.Variables'!$B$16,+'5.Variables'!$N34,+IF(M$18='5.Variables'!$B$39,+'5.Variables'!$N58,+IF(M$18='5.Variables'!$B$62,+'5.Variables'!$N72,+IF(M$18='5.Variables'!$B$76,+'5.Variables'!$N86,+IF(M$18='5.Variables'!$B$90,+'5.Variables'!$N100,+IF(M$18='5.Variables'!$B$104,+'5.Variables'!$N114,0))))))</f>
        <v>8.4700000000000006</v>
      </c>
      <c r="N127" s="599">
        <f>IF(N$18='5.Variables'!$B$16,+'5.Variables'!$N34,+IF(N$18='5.Variables'!$B$39,+'5.Variables'!$N58,+IF(N$18='5.Variables'!$B$62,+'5.Variables'!$N72,+IF(N$18='5.Variables'!$B$76,+'5.Variables'!$N86,+IF(N$18='5.Variables'!$B$90,+'5.Variables'!$N100,+IF(N$18='5.Variables'!$B$104,+'5.Variables'!$N114,0))))))</f>
        <v>0</v>
      </c>
      <c r="O127" s="928">
        <v>0</v>
      </c>
      <c r="P127" s="200"/>
      <c r="Q127" s="469">
        <f t="shared" si="8"/>
        <v>8127840.1332257334</v>
      </c>
      <c r="R127" s="216">
        <f>SUM(Q116:Q127)</f>
        <v>88573665.33966735</v>
      </c>
      <c r="S127" s="200"/>
      <c r="T127" s="200"/>
      <c r="U127" s="200"/>
      <c r="V127" s="200"/>
      <c r="W127" s="200"/>
      <c r="X127" s="200"/>
      <c r="Y127" s="200"/>
      <c r="Z127" s="200"/>
      <c r="AA127" s="200"/>
      <c r="AB127" s="200"/>
      <c r="AC127" s="200"/>
      <c r="AD127" s="200"/>
      <c r="AE127" s="200"/>
      <c r="AF127" s="200"/>
      <c r="AG127" s="200"/>
      <c r="AH127" s="200"/>
      <c r="AI127" s="200"/>
      <c r="AJ127" s="200"/>
      <c r="AK127" s="200"/>
      <c r="AL127" s="200"/>
    </row>
    <row r="128" spans="1:38">
      <c r="A128" s="435">
        <f t="shared" si="9"/>
        <v>109</v>
      </c>
      <c r="B128" s="871" t="str">
        <f>CONCATENATE('3. Consumption by Rate Class'!B133,"-",'3. Consumption by Rate Class'!C133)</f>
        <v>2022-January</v>
      </c>
      <c r="C128" s="870">
        <v>9189014.803733075</v>
      </c>
      <c r="D128" s="934">
        <v>0</v>
      </c>
      <c r="E128" s="935">
        <v>0</v>
      </c>
      <c r="F128" s="941">
        <v>0</v>
      </c>
      <c r="G128" s="875"/>
      <c r="H128" s="875"/>
      <c r="I128" s="469">
        <f t="shared" si="10"/>
        <v>9189014.803733075</v>
      </c>
      <c r="J128" s="599">
        <f>IF(J$18='5.Variables'!$B$16,+'5.Variables'!$C36,+IF(J$18='5.Variables'!$B$39,+'5.Variables'!$C59,+IF(J$18='5.Variables'!$B$62,+'5.Variables'!$C73,+IF(J$18='5.Variables'!$B$76,+'5.Variables'!$C87,+IF(J$18='5.Variables'!$B$90,+'5.Variables'!$C101,+IF(J$18='5.Variables'!$B$104,+'5.Variables'!$C115,0))))))</f>
        <v>1015.7</v>
      </c>
      <c r="K128" s="599">
        <f>IF(K$18='5.Variables'!$B$16,+'5.Variables'!$C35,+IF(K$18='5.Variables'!$B$39,+'5.Variables'!$C59,+IF(K$18='5.Variables'!$B$62,+'5.Variables'!$C73,+IF(K$18='5.Variables'!$B$76,+'5.Variables'!$C87,+IF(K$18='5.Variables'!$B$90,+'5.Variables'!$C101,+IF(K$18='5.Variables'!$B$104,+'5.Variables'!$C115,0))))))</f>
        <v>0</v>
      </c>
      <c r="L128" s="599">
        <f>IF(L$18='5.Variables'!$B$16,+'5.Variables'!$C35,+IF(L$18='5.Variables'!$B$39,+'5.Variables'!$C59,+IF(L$18='5.Variables'!$B$62,+'5.Variables'!$C73,+IF(L$18='5.Variables'!$B$76,+'5.Variables'!$C87,+IF(L$18='5.Variables'!$B$90,+'5.Variables'!$C101,+IF(L$18='5.Variables'!$B$104,+'5.Variables'!$C115,0))))))</f>
        <v>31</v>
      </c>
      <c r="M128" s="599">
        <f>IF(M$18='5.Variables'!$B$16,+'5.Variables'!$C35,+IF(M$18='5.Variables'!$B$39,+'5.Variables'!$C59,+IF(M$18='5.Variables'!$B$62,+'5.Variables'!$C73,+IF(M$18='5.Variables'!$B$76,+'5.Variables'!$C87,+IF(M$18='5.Variables'!$B$90,+'5.Variables'!$C101,+IF(M$18='5.Variables'!$B$104,+'5.Variables'!$C115,0))))))</f>
        <v>9.09</v>
      </c>
      <c r="N128" s="599">
        <f>IF(N$18='5.Variables'!$B$16,+'5.Variables'!$C35,+IF(N$18='5.Variables'!$B$39,+'5.Variables'!$C59,+IF(N$18='5.Variables'!$B$62,+'5.Variables'!$C73,+IF(N$18='5.Variables'!$B$76,+'5.Variables'!$C87,+IF(N$18='5.Variables'!$B$90,+'5.Variables'!$C101,+IF(N$18='5.Variables'!$B$104,+'5.Variables'!$C115,0))))))</f>
        <v>0</v>
      </c>
      <c r="O128" s="928">
        <v>0</v>
      </c>
      <c r="P128" s="200"/>
      <c r="Q128" s="469">
        <f t="shared" si="8"/>
        <v>9081406.7851160504</v>
      </c>
      <c r="R128" s="216"/>
      <c r="S128" s="200"/>
      <c r="T128" s="200"/>
      <c r="U128" s="200"/>
      <c r="V128" s="200"/>
      <c r="W128" s="200"/>
      <c r="X128" s="200"/>
      <c r="Y128" s="200"/>
      <c r="Z128" s="200"/>
      <c r="AA128" s="200"/>
      <c r="AB128" s="200"/>
      <c r="AC128" s="200"/>
      <c r="AD128" s="200"/>
      <c r="AE128" s="200"/>
      <c r="AF128" s="200"/>
      <c r="AG128" s="200"/>
      <c r="AH128" s="200"/>
      <c r="AI128" s="200"/>
      <c r="AJ128" s="200"/>
      <c r="AK128" s="200"/>
      <c r="AL128" s="200"/>
    </row>
    <row r="129" spans="1:38">
      <c r="A129" s="435">
        <f t="shared" si="9"/>
        <v>110</v>
      </c>
      <c r="B129" s="871" t="str">
        <f>CONCATENATE('3. Consumption by Rate Class'!B134,"-",'3. Consumption by Rate Class'!C134)</f>
        <v>2022-February</v>
      </c>
      <c r="C129" s="870">
        <v>7949161.3421856873</v>
      </c>
      <c r="D129" s="934">
        <v>0</v>
      </c>
      <c r="E129" s="935">
        <v>0</v>
      </c>
      <c r="F129" s="941">
        <v>0</v>
      </c>
      <c r="G129" s="875"/>
      <c r="H129" s="875"/>
      <c r="I129" s="469">
        <f t="shared" si="10"/>
        <v>7949161.3421856873</v>
      </c>
      <c r="J129" s="599">
        <f>IF(J$18='5.Variables'!$B$16,+'5.Variables'!$D36,+IF(J$18='5.Variables'!$B$39,+'5.Variables'!$D59,+IF(J$18='5.Variables'!$B$62,+'5.Variables'!$D73,+IF(J$18='5.Variables'!$B$76,+'5.Variables'!$D87,+IF(J$18='5.Variables'!$B$90,+'5.Variables'!$D101,+IF(J$18='5.Variables'!$B$104,+'5.Variables'!$D115,0))))))</f>
        <v>722.8</v>
      </c>
      <c r="K129" s="599">
        <f>IF(K$18='5.Variables'!$B$16,+'5.Variables'!$D35,+IF(K$18='5.Variables'!$B$39,+'5.Variables'!$D59,+IF(K$18='5.Variables'!$B$62,+'5.Variables'!$D73,+IF(K$18='5.Variables'!$B$76,+'5.Variables'!$D87,+IF(K$18='5.Variables'!$B$90,+'5.Variables'!$D101,+IF(K$18='5.Variables'!$B$104,+'5.Variables'!$D115,0))))))</f>
        <v>0</v>
      </c>
      <c r="L129" s="599">
        <f>IF(L$18='5.Variables'!$B$16,+'5.Variables'!$D35,+IF(L$18='5.Variables'!$B$39,+'5.Variables'!$D59,+IF(L$18='5.Variables'!$B$62,+'5.Variables'!$D73,+IF(L$18='5.Variables'!$B$76,+'5.Variables'!$D87,+IF(L$18='5.Variables'!$B$90,+'5.Variables'!$D101,+IF(L$18='5.Variables'!$B$104,+'5.Variables'!$D115,0))))))</f>
        <v>28</v>
      </c>
      <c r="M129" s="599">
        <f>IF(M$18='5.Variables'!$B$16,+'5.Variables'!$D35,+IF(M$18='5.Variables'!$B$39,+'5.Variables'!$D59,+IF(M$18='5.Variables'!$B$62,+'5.Variables'!$D73,+IF(M$18='5.Variables'!$B$76,+'5.Variables'!$D87,+IF(M$18='5.Variables'!$B$90,+'5.Variables'!$D101,+IF(M$18='5.Variables'!$B$104,+'5.Variables'!$D115,0))))))</f>
        <v>10.19</v>
      </c>
      <c r="N129" s="599">
        <f>IF(N$18='5.Variables'!$B$16,+'5.Variables'!$D35,+IF(N$18='5.Variables'!$B$39,+'5.Variables'!$D59,+IF(N$18='5.Variables'!$B$62,+'5.Variables'!$D73,+IF(N$18='5.Variables'!$B$76,+'5.Variables'!$D87,+IF(N$18='5.Variables'!$B$90,+'5.Variables'!$D101,+IF(N$18='5.Variables'!$B$104,+'5.Variables'!$D115,0))))))</f>
        <v>0</v>
      </c>
      <c r="O129" s="928">
        <v>0</v>
      </c>
      <c r="P129" s="200"/>
      <c r="Q129" s="469">
        <f t="shared" si="8"/>
        <v>7741980.9532405231</v>
      </c>
      <c r="R129" s="216"/>
      <c r="S129" s="200"/>
      <c r="T129" s="200"/>
      <c r="U129" s="200"/>
      <c r="V129" s="200"/>
      <c r="W129" s="200"/>
      <c r="X129" s="200"/>
      <c r="Y129" s="200"/>
      <c r="Z129" s="200"/>
      <c r="AA129" s="200"/>
      <c r="AB129" s="200"/>
      <c r="AC129" s="200"/>
      <c r="AD129" s="200"/>
      <c r="AE129" s="200"/>
      <c r="AF129" s="200"/>
      <c r="AG129" s="200"/>
      <c r="AH129" s="200"/>
      <c r="AI129" s="200"/>
      <c r="AJ129" s="200"/>
      <c r="AK129" s="200"/>
      <c r="AL129" s="200"/>
    </row>
    <row r="130" spans="1:38">
      <c r="A130" s="435">
        <f t="shared" si="9"/>
        <v>111</v>
      </c>
      <c r="B130" s="871" t="str">
        <f>CONCATENATE('3. Consumption by Rate Class'!B135,"-",'3. Consumption by Rate Class'!C135)</f>
        <v>2022-March</v>
      </c>
      <c r="C130" s="870">
        <v>8021381.7514506765</v>
      </c>
      <c r="D130" s="934">
        <v>0</v>
      </c>
      <c r="E130" s="935">
        <v>0</v>
      </c>
      <c r="F130" s="941">
        <v>0</v>
      </c>
      <c r="G130" s="875"/>
      <c r="H130" s="875"/>
      <c r="I130" s="469">
        <f t="shared" si="10"/>
        <v>8021381.7514506765</v>
      </c>
      <c r="J130" s="599">
        <f>IF(J$18='5.Variables'!$B$16,+'5.Variables'!$E36,+IF(J$18='5.Variables'!$B$39,+'5.Variables'!$E59,+IF(J$18='5.Variables'!$B$62,+'5.Variables'!$E73,+IF(J$18='5.Variables'!$B$76,+'5.Variables'!$E87,+IF(J$18='5.Variables'!$B$90,+'5.Variables'!$E101,+IF(J$18='5.Variables'!$B$104,+'5.Variables'!$E115,0))))))</f>
        <v>610.70000000000005</v>
      </c>
      <c r="K130" s="599">
        <f>IF(K$18='5.Variables'!$B$16,+'5.Variables'!$E35,+IF(K$18='5.Variables'!$B$39,+'5.Variables'!$E59,+IF(K$18='5.Variables'!$B$62,+'5.Variables'!$E73,+IF(K$18='5.Variables'!$B$76,+'5.Variables'!$E87,+IF(K$18='5.Variables'!$B$90,+'5.Variables'!$E101,+IF(K$18='5.Variables'!$B$104,+'5.Variables'!$E115,0))))))</f>
        <v>0</v>
      </c>
      <c r="L130" s="599">
        <f>IF(L$18='5.Variables'!$B$16,+'5.Variables'!$E35,+IF(L$18='5.Variables'!$B$39,+'5.Variables'!$E59,+IF(L$18='5.Variables'!$B$62,+'5.Variables'!$E73,+IF(L$18='5.Variables'!$B$76,+'5.Variables'!$E87,+IF(L$18='5.Variables'!$B$90,+'5.Variables'!$E101,+IF(L$18='5.Variables'!$B$104,+'5.Variables'!$E115,0))))))</f>
        <v>31</v>
      </c>
      <c r="M130" s="599">
        <f>IF(M$18='5.Variables'!$B$16,+'5.Variables'!$E35,+IF(M$18='5.Variables'!$B$39,+'5.Variables'!$E59,+IF(M$18='5.Variables'!$B$62,+'5.Variables'!$E73,+IF(M$18='5.Variables'!$B$76,+'5.Variables'!$E87,+IF(M$18='5.Variables'!$B$90,+'5.Variables'!$E101,+IF(M$18='5.Variables'!$B$104,+'5.Variables'!$E115,0))))))</f>
        <v>11.51</v>
      </c>
      <c r="N130" s="599">
        <f>IF(N$18='5.Variables'!$B$16,+'5.Variables'!$E35,+IF(N$18='5.Variables'!$B$39,+'5.Variables'!$E59,+IF(N$18='5.Variables'!$B$62,+'5.Variables'!$E73,+IF(N$18='5.Variables'!$B$76,+'5.Variables'!$E87,+IF(N$18='5.Variables'!$B$90,+'5.Variables'!$E101,+IF(N$18='5.Variables'!$B$104,+'5.Variables'!$E115,0))))))</f>
        <v>0</v>
      </c>
      <c r="O130" s="928">
        <v>0</v>
      </c>
      <c r="P130" s="200"/>
      <c r="Q130" s="469">
        <f t="shared" si="8"/>
        <v>7885758.1968325255</v>
      </c>
      <c r="R130" s="216"/>
      <c r="S130" s="200"/>
      <c r="T130" s="200"/>
      <c r="U130" s="200"/>
      <c r="V130" s="200"/>
      <c r="W130" s="200"/>
      <c r="X130" s="200"/>
      <c r="Y130" s="200"/>
      <c r="Z130" s="200"/>
      <c r="AA130" s="200"/>
      <c r="AB130" s="200"/>
      <c r="AC130" s="200"/>
      <c r="AD130" s="200"/>
      <c r="AE130" s="200"/>
      <c r="AF130" s="200"/>
      <c r="AG130" s="200"/>
      <c r="AH130" s="200"/>
      <c r="AI130" s="200"/>
      <c r="AJ130" s="200"/>
      <c r="AK130" s="200"/>
      <c r="AL130" s="200"/>
    </row>
    <row r="131" spans="1:38">
      <c r="A131" s="435">
        <f t="shared" si="9"/>
        <v>112</v>
      </c>
      <c r="B131" s="871" t="str">
        <f>CONCATENATE('3. Consumption by Rate Class'!B136,"-",'3. Consumption by Rate Class'!C136)</f>
        <v>2022-April</v>
      </c>
      <c r="C131" s="929">
        <v>6795597.5807736944</v>
      </c>
      <c r="D131" s="934">
        <v>0</v>
      </c>
      <c r="E131" s="935">
        <v>0</v>
      </c>
      <c r="F131" s="941">
        <v>0</v>
      </c>
      <c r="G131" s="875"/>
      <c r="H131" s="875"/>
      <c r="I131" s="469">
        <f t="shared" si="10"/>
        <v>6795597.5807736944</v>
      </c>
      <c r="J131" s="599">
        <f>IF(J$18='5.Variables'!$B$16,+'5.Variables'!$F36,+IF(J$18='5.Variables'!$B$39,+'5.Variables'!$F59,+IF(J$18='5.Variables'!$B$62,+'5.Variables'!$F73,+IF(J$18='5.Variables'!$B$76,+'5.Variables'!$F87,+IF(J$18='5.Variables'!$B$90,+'5.Variables'!$F101,+IF(J$18='5.Variables'!$B$104,+'5.Variables'!$F115,0))))))</f>
        <v>363.6</v>
      </c>
      <c r="K131" s="599">
        <f>IF(K$18='5.Variables'!$B$16,+'5.Variables'!$F35,+IF(K$18='5.Variables'!$B$39,+'5.Variables'!$F59,+IF(K$18='5.Variables'!$B$62,+'5.Variables'!$F73,+IF(K$18='5.Variables'!$B$76,+'5.Variables'!$F87,+IF(K$18='5.Variables'!$B$90,+'5.Variables'!$F101,+IF(K$18='5.Variables'!$B$104,+'5.Variables'!$F115,0))))))</f>
        <v>0</v>
      </c>
      <c r="L131" s="599">
        <f>IF(L$18='5.Variables'!$B$16,+'5.Variables'!$F35,+IF(L$18='5.Variables'!$B$39,+'5.Variables'!$F59,+IF(L$18='5.Variables'!$B$62,+'5.Variables'!$F73,+IF(L$18='5.Variables'!$B$76,+'5.Variables'!$F87,+IF(L$18='5.Variables'!$B$90,+'5.Variables'!$F101,+IF(L$18='5.Variables'!$B$104,+'5.Variables'!$F115,0))))))</f>
        <v>30</v>
      </c>
      <c r="M131" s="599">
        <f>IF(M$18='5.Variables'!$B$16,+'5.Variables'!$F35,+IF(M$18='5.Variables'!$B$39,+'5.Variables'!$F59,+IF(M$18='5.Variables'!$B$62,+'5.Variables'!$F73,+IF(M$18='5.Variables'!$B$76,+'5.Variables'!$F87,+IF(M$18='5.Variables'!$B$90,+'5.Variables'!$F101,+IF(M$18='5.Variables'!$B$104,+'5.Variables'!$F115,0))))))</f>
        <v>13.28</v>
      </c>
      <c r="N131" s="599">
        <f>IF(N$18='5.Variables'!$B$16,+'5.Variables'!$F35,+IF(N$18='5.Variables'!$B$39,+'5.Variables'!$F59,+IF(N$18='5.Variables'!$B$62,+'5.Variables'!$F73,+IF(N$18='5.Variables'!$B$76,+'5.Variables'!$F87,+IF(N$18='5.Variables'!$B$90,+'5.Variables'!$F101,+IF(N$18='5.Variables'!$B$104,+'5.Variables'!$F115,0))))))</f>
        <v>0</v>
      </c>
      <c r="O131" s="928">
        <v>0</v>
      </c>
      <c r="P131" s="200"/>
      <c r="Q131" s="469">
        <f t="shared" si="8"/>
        <v>6998024.625724772</v>
      </c>
      <c r="R131" s="216"/>
      <c r="S131" s="200"/>
      <c r="T131" s="200"/>
      <c r="U131" s="200"/>
      <c r="V131" s="200"/>
      <c r="W131" s="200"/>
      <c r="X131" s="200"/>
      <c r="Y131" s="200"/>
      <c r="Z131" s="200"/>
      <c r="AA131" s="200"/>
      <c r="AB131" s="200"/>
      <c r="AC131" s="200"/>
      <c r="AD131" s="200"/>
      <c r="AE131" s="200"/>
      <c r="AF131" s="200"/>
      <c r="AG131" s="200"/>
      <c r="AH131" s="200"/>
      <c r="AI131" s="200"/>
      <c r="AJ131" s="200"/>
      <c r="AK131" s="200"/>
      <c r="AL131" s="200"/>
    </row>
    <row r="132" spans="1:38">
      <c r="A132" s="435">
        <f t="shared" si="9"/>
        <v>113</v>
      </c>
      <c r="B132" s="871" t="str">
        <f>CONCATENATE('3. Consumption by Rate Class'!B137,"-",'3. Consumption by Rate Class'!C137)</f>
        <v>2022-May</v>
      </c>
      <c r="C132" s="929">
        <v>6859525.9973500967</v>
      </c>
      <c r="D132" s="934">
        <v>0</v>
      </c>
      <c r="E132" s="935">
        <v>0</v>
      </c>
      <c r="F132" s="941">
        <v>0</v>
      </c>
      <c r="G132" s="875"/>
      <c r="H132" s="875"/>
      <c r="I132" s="469">
        <f t="shared" si="10"/>
        <v>6859525.9973500967</v>
      </c>
      <c r="J132" s="599">
        <f>IF(J$18='5.Variables'!$B$16,+'5.Variables'!$G36,+IF(J$18='5.Variables'!$B$39,+'5.Variables'!$G59,+IF(J$18='5.Variables'!$B$62,+'5.Variables'!$G73,+IF(J$18='5.Variables'!$B$76,+'5.Variables'!$G87,+IF(J$18='5.Variables'!$B$90,+'5.Variables'!$G101,+IF(J$18='5.Variables'!$B$104,+'5.Variables'!$G115,0))))))</f>
        <v>115.2</v>
      </c>
      <c r="K132" s="599">
        <f>IF(K$18='5.Variables'!$B$16,+'5.Variables'!$G35,+IF(K$18='5.Variables'!$B$39,+'5.Variables'!$G59,+IF(K$18='5.Variables'!$B$62,+'5.Variables'!$G73,+IF(K$18='5.Variables'!$B$76,+'5.Variables'!$G87,+IF(K$18='5.Variables'!$B$90,+'5.Variables'!$G101,+IF(K$18='5.Variables'!$B$104,+'5.Variables'!$G115,0))))))</f>
        <v>25.9</v>
      </c>
      <c r="L132" s="599">
        <f>IF(L$18='5.Variables'!$B$16,+'5.Variables'!$G35,+IF(L$18='5.Variables'!$B$39,+'5.Variables'!$G59,+IF(L$18='5.Variables'!$B$62,+'5.Variables'!$G73,+IF(L$18='5.Variables'!$B$76,+'5.Variables'!$G87,+IF(L$18='5.Variables'!$B$90,+'5.Variables'!$G101,+IF(L$18='5.Variables'!$B$104,+'5.Variables'!$G115,0))))))</f>
        <v>31</v>
      </c>
      <c r="M132" s="599">
        <f>IF(M$18='5.Variables'!$B$16,+'5.Variables'!$G35,+IF(M$18='5.Variables'!$B$39,+'5.Variables'!$G59,+IF(M$18='5.Variables'!$B$62,+'5.Variables'!$G73,+IF(M$18='5.Variables'!$B$76,+'5.Variables'!$G87,+IF(M$18='5.Variables'!$B$90,+'5.Variables'!$G101,+IF(M$18='5.Variables'!$B$104,+'5.Variables'!$G115,0))))))</f>
        <v>14.52</v>
      </c>
      <c r="N132" s="599">
        <f>IF(N$18='5.Variables'!$B$16,+'5.Variables'!$G35,+IF(N$18='5.Variables'!$B$39,+'5.Variables'!$G59,+IF(N$18='5.Variables'!$B$62,+'5.Variables'!$G73,+IF(N$18='5.Variables'!$B$76,+'5.Variables'!$G87,+IF(N$18='5.Variables'!$B$90,+'5.Variables'!$G101,+IF(N$18='5.Variables'!$B$104,+'5.Variables'!$G115,0))))))</f>
        <v>0</v>
      </c>
      <c r="O132" s="928">
        <v>0</v>
      </c>
      <c r="P132" s="200"/>
      <c r="Q132" s="469">
        <f t="shared" si="8"/>
        <v>6820738.53080096</v>
      </c>
      <c r="R132" s="216"/>
      <c r="S132" s="200"/>
      <c r="T132" s="200"/>
      <c r="U132" s="200"/>
      <c r="V132" s="200"/>
      <c r="W132" s="200"/>
      <c r="X132" s="200"/>
      <c r="Y132" s="200"/>
      <c r="Z132" s="200"/>
      <c r="AA132" s="200"/>
      <c r="AB132" s="200"/>
      <c r="AC132" s="200"/>
      <c r="AD132" s="200"/>
      <c r="AE132" s="200"/>
      <c r="AF132" s="200"/>
      <c r="AG132" s="200"/>
      <c r="AH132" s="200"/>
      <c r="AI132" s="200"/>
      <c r="AJ132" s="200"/>
      <c r="AK132" s="200"/>
      <c r="AL132" s="200"/>
    </row>
    <row r="133" spans="1:38">
      <c r="A133" s="435">
        <f t="shared" si="9"/>
        <v>114</v>
      </c>
      <c r="B133" s="871" t="str">
        <f>CONCATENATE('3. Consumption by Rate Class'!B138,"-",'3. Consumption by Rate Class'!C138)</f>
        <v>2022-June</v>
      </c>
      <c r="C133" s="929">
        <v>6997619.0194003861</v>
      </c>
      <c r="D133" s="934">
        <v>0</v>
      </c>
      <c r="E133" s="935">
        <v>0</v>
      </c>
      <c r="F133" s="941">
        <v>0</v>
      </c>
      <c r="G133" s="875"/>
      <c r="H133" s="875"/>
      <c r="I133" s="469">
        <f t="shared" si="10"/>
        <v>6997619.0194003861</v>
      </c>
      <c r="J133" s="599">
        <f>IF(J$18='5.Variables'!$B$16,+'5.Variables'!$H36,+IF(J$18='5.Variables'!$B$39,+'5.Variables'!$H59,+IF(J$18='5.Variables'!$B$62,+'5.Variables'!$H73,+IF(J$18='5.Variables'!$B$76,+'5.Variables'!$H87,+IF(J$18='5.Variables'!$B$90,+'5.Variables'!$H101,+IF(J$18='5.Variables'!$B$104,+'5.Variables'!$H115,0))))))</f>
        <v>30.9</v>
      </c>
      <c r="K133" s="599">
        <f>IF(K$18='5.Variables'!$B$16,+'5.Variables'!$H35,+IF(K$18='5.Variables'!$B$39,+'5.Variables'!$H59,+IF(K$18='5.Variables'!$B$62,+'5.Variables'!$H73,+IF(K$18='5.Variables'!$B$76,+'5.Variables'!$H87,+IF(K$18='5.Variables'!$B$90,+'5.Variables'!$H101,+IF(K$18='5.Variables'!$B$104,+'5.Variables'!$H115,0))))))</f>
        <v>28.7</v>
      </c>
      <c r="L133" s="599">
        <f>IF(L$18='5.Variables'!$B$16,+'5.Variables'!$H35,+IF(L$18='5.Variables'!$B$39,+'5.Variables'!$H59,+IF(L$18='5.Variables'!$B$62,+'5.Variables'!$H73,+IF(L$18='5.Variables'!$B$76,+'5.Variables'!$H87,+IF(L$18='5.Variables'!$B$90,+'5.Variables'!$H101,+IF(L$18='5.Variables'!$B$104,+'5.Variables'!$H115,0))))))</f>
        <v>30</v>
      </c>
      <c r="M133" s="599">
        <f>IF(M$18='5.Variables'!$B$16,+'5.Variables'!$H35,+IF(M$18='5.Variables'!$B$39,+'5.Variables'!$H59,+IF(M$18='5.Variables'!$B$62,+'5.Variables'!$H73,+IF(M$18='5.Variables'!$B$76,+'5.Variables'!$H87,+IF(M$18='5.Variables'!$B$90,+'5.Variables'!$H101,+IF(M$18='5.Variables'!$B$104,+'5.Variables'!$H115,0))))))</f>
        <v>15.35</v>
      </c>
      <c r="N133" s="599">
        <f>IF(N$18='5.Variables'!$B$16,+'5.Variables'!$H35,+IF(N$18='5.Variables'!$B$39,+'5.Variables'!$H59,+IF(N$18='5.Variables'!$B$62,+'5.Variables'!$H73,+IF(N$18='5.Variables'!$B$76,+'5.Variables'!$H87,+IF(N$18='5.Variables'!$B$90,+'5.Variables'!$H101,+IF(N$18='5.Variables'!$B$104,+'5.Variables'!$H115,0))))))</f>
        <v>0</v>
      </c>
      <c r="O133" s="928">
        <v>0</v>
      </c>
      <c r="P133" s="200"/>
      <c r="Q133" s="469">
        <f t="shared" si="8"/>
        <v>6456632.0854450557</v>
      </c>
      <c r="R133" s="216"/>
      <c r="S133" s="200"/>
      <c r="T133" s="200"/>
      <c r="U133" s="200"/>
      <c r="V133" s="200"/>
      <c r="W133" s="200"/>
      <c r="X133" s="200"/>
      <c r="Y133" s="200"/>
      <c r="Z133" s="200"/>
      <c r="AA133" s="200"/>
      <c r="AB133" s="200"/>
      <c r="AC133" s="200"/>
      <c r="AD133" s="200"/>
      <c r="AE133" s="200"/>
      <c r="AF133" s="200"/>
      <c r="AG133" s="200"/>
      <c r="AH133" s="200"/>
      <c r="AI133" s="200"/>
      <c r="AJ133" s="200"/>
      <c r="AK133" s="200"/>
      <c r="AL133" s="200"/>
    </row>
    <row r="134" spans="1:38">
      <c r="A134" s="435">
        <f t="shared" si="9"/>
        <v>115</v>
      </c>
      <c r="B134" s="871" t="str">
        <f>CONCATENATE('3. Consumption by Rate Class'!B139,"-",'3. Consumption by Rate Class'!C139)</f>
        <v>2022-July</v>
      </c>
      <c r="C134" s="911">
        <v>7706954.047040619</v>
      </c>
      <c r="D134" s="163">
        <v>0</v>
      </c>
      <c r="E134" s="163">
        <v>0</v>
      </c>
      <c r="F134" s="941">
        <v>0</v>
      </c>
      <c r="G134" s="875"/>
      <c r="H134" s="875"/>
      <c r="I134" s="469">
        <f t="shared" si="10"/>
        <v>7706954.047040619</v>
      </c>
      <c r="J134" s="599">
        <f>IF(J$18='5.Variables'!$B$16,+'5.Variables'!$I36,+IF(J$18='5.Variables'!$B$39,+'5.Variables'!$I59,+IF(J$18='5.Variables'!$B$62,+'5.Variables'!$I73,+IF(J$18='5.Variables'!$B$76,+'5.Variables'!$I87,+IF(J$18='5.Variables'!$B$90,+'5.Variables'!$I101,+IF(J$18='5.Variables'!$B$104,+'5.Variables'!$I115,0))))))</f>
        <v>0.5</v>
      </c>
      <c r="K134" s="599">
        <f>IF(K$18='5.Variables'!$B$16,+'5.Variables'!$I35,+IF(K$18='5.Variables'!$B$39,+'5.Variables'!$I59,+IF(K$18='5.Variables'!$B$62,+'5.Variables'!$I73,+IF(K$18='5.Variables'!$B$76,+'5.Variables'!$I87,+IF(K$18='5.Variables'!$B$90,+'5.Variables'!$I101,+IF(K$18='5.Variables'!$B$104,+'5.Variables'!$I115,0))))))</f>
        <v>92.9</v>
      </c>
      <c r="L134" s="599">
        <f>IF(L$18='5.Variables'!$B$16,+'5.Variables'!$I35,+IF(L$18='5.Variables'!$B$39,+'5.Variables'!$I59,+IF(L$18='5.Variables'!$B$62,+'5.Variables'!$I73,+IF(L$18='5.Variables'!$B$76,+'5.Variables'!$I87,+IF(L$18='5.Variables'!$B$90,+'5.Variables'!$I101,+IF(L$18='5.Variables'!$B$104,+'5.Variables'!$I115,0))))))</f>
        <v>31</v>
      </c>
      <c r="M134" s="599">
        <f>IF(M$18='5.Variables'!$B$16,+'5.Variables'!$I35,+IF(M$18='5.Variables'!$B$39,+'5.Variables'!$I59,+IF(M$18='5.Variables'!$B$62,+'5.Variables'!$I73,+IF(M$18='5.Variables'!$B$76,+'5.Variables'!$I87,+IF(M$18='5.Variables'!$B$90,+'5.Variables'!$I101,+IF(M$18='5.Variables'!$B$104,+'5.Variables'!$I115,0))))))</f>
        <v>15.15</v>
      </c>
      <c r="N134" s="599">
        <f>IF(N$18='5.Variables'!$B$16,+'5.Variables'!$I35,+IF(N$18='5.Variables'!$B$39,+'5.Variables'!$I59,+IF(N$18='5.Variables'!$B$62,+'5.Variables'!$I73,+IF(N$18='5.Variables'!$B$76,+'5.Variables'!$I87,+IF(N$18='5.Variables'!$B$90,+'5.Variables'!$I101,+IF(N$18='5.Variables'!$B$104,+'5.Variables'!$I115,0))))))</f>
        <v>0</v>
      </c>
      <c r="O134" s="928">
        <v>0</v>
      </c>
      <c r="P134" s="200"/>
      <c r="Q134" s="469">
        <f t="shared" si="8"/>
        <v>7511189.1614022795</v>
      </c>
      <c r="R134" s="216"/>
      <c r="S134" s="200"/>
      <c r="T134" s="200"/>
      <c r="U134" s="200"/>
      <c r="V134" s="200"/>
      <c r="W134" s="200"/>
      <c r="X134" s="200"/>
      <c r="Y134" s="200"/>
      <c r="Z134" s="200"/>
      <c r="AA134" s="200"/>
      <c r="AB134" s="200"/>
      <c r="AC134" s="200"/>
      <c r="AD134" s="200"/>
      <c r="AE134" s="200"/>
      <c r="AF134" s="200"/>
      <c r="AG134" s="200"/>
      <c r="AH134" s="200"/>
      <c r="AI134" s="200"/>
      <c r="AJ134" s="200"/>
      <c r="AK134" s="200"/>
      <c r="AL134" s="200"/>
    </row>
    <row r="135" spans="1:38">
      <c r="A135" s="435">
        <f t="shared" si="9"/>
        <v>116</v>
      </c>
      <c r="B135" s="871" t="str">
        <f>CONCATENATE('3. Consumption by Rate Class'!B140,"-",'3. Consumption by Rate Class'!C140)</f>
        <v>2022-August</v>
      </c>
      <c r="C135" s="911">
        <v>7668844.6221856866</v>
      </c>
      <c r="D135" s="163">
        <v>0</v>
      </c>
      <c r="E135" s="163">
        <v>0</v>
      </c>
      <c r="F135" s="941">
        <v>0</v>
      </c>
      <c r="G135" s="875"/>
      <c r="H135" s="875"/>
      <c r="I135" s="469">
        <f t="shared" si="10"/>
        <v>7668844.6221856866</v>
      </c>
      <c r="J135" s="599">
        <f>IF(J$18='5.Variables'!$B$16,+'5.Variables'!$J36,+IF(J$18='5.Variables'!$B$39,+'5.Variables'!$J59,+IF(J$18='5.Variables'!$B$62,+'5.Variables'!$J73,+IF(J$18='5.Variables'!$B$76,+'5.Variables'!$J87,+IF(J$18='5.Variables'!$B$90,+'5.Variables'!$J101,+IF(J$18='5.Variables'!$B$104,+'5.Variables'!$J115,0))))))</f>
        <v>5</v>
      </c>
      <c r="K135" s="599">
        <f>IF(K$18='5.Variables'!$B$16,+'5.Variables'!$J35,+IF(K$18='5.Variables'!$B$39,+'5.Variables'!$J59,+IF(K$18='5.Variables'!$B$62,+'5.Variables'!$J73,+IF(K$18='5.Variables'!$B$76,+'5.Variables'!$J87,+IF(K$18='5.Variables'!$B$90,+'5.Variables'!$J101,+IF(K$18='5.Variables'!$B$104,+'5.Variables'!$J115,0))))))</f>
        <v>84.2</v>
      </c>
      <c r="L135" s="599">
        <f>IF(L$18='5.Variables'!$B$16,+'5.Variables'!$J35,+IF(L$18='5.Variables'!$B$39,+'5.Variables'!$J59,+IF(L$18='5.Variables'!$B$62,+'5.Variables'!$J73,+IF(L$18='5.Variables'!$B$76,+'5.Variables'!$J87,+IF(L$18='5.Variables'!$B$90,+'5.Variables'!$J101,+IF(L$18='5.Variables'!$B$104,+'5.Variables'!$J115,0))))))</f>
        <v>31</v>
      </c>
      <c r="M135" s="599">
        <f>IF(M$18='5.Variables'!$B$16,+'5.Variables'!$J35,+IF(M$18='5.Variables'!$B$39,+'5.Variables'!$J59,+IF(M$18='5.Variables'!$B$62,+'5.Variables'!$J73,+IF(M$18='5.Variables'!$B$76,+'5.Variables'!$J87,+IF(M$18='5.Variables'!$B$90,+'5.Variables'!$J101,+IF(M$18='5.Variables'!$B$104,+'5.Variables'!$J115,0))))))</f>
        <v>14.03</v>
      </c>
      <c r="N135" s="599">
        <f>IF(N$18='5.Variables'!$B$16,+'5.Variables'!$J35,+IF(N$18='5.Variables'!$B$39,+'5.Variables'!$J59,+IF(N$18='5.Variables'!$B$62,+'5.Variables'!$J73,+IF(N$18='5.Variables'!$B$76,+'5.Variables'!$J87,+IF(N$18='5.Variables'!$B$90,+'5.Variables'!$J101,+IF(N$18='5.Variables'!$B$104,+'5.Variables'!$J115,0))))))</f>
        <v>0</v>
      </c>
      <c r="O135" s="928">
        <v>0</v>
      </c>
      <c r="P135" s="200"/>
      <c r="Q135" s="469">
        <f t="shared" si="8"/>
        <v>7390848.6227135565</v>
      </c>
      <c r="R135" s="216"/>
      <c r="S135" s="200"/>
      <c r="T135" s="200"/>
      <c r="U135" s="200"/>
      <c r="V135" s="200"/>
      <c r="W135" s="200"/>
      <c r="X135" s="200"/>
      <c r="Y135" s="200"/>
      <c r="Z135" s="200"/>
      <c r="AA135" s="200"/>
      <c r="AB135" s="200"/>
      <c r="AC135" s="200"/>
      <c r="AD135" s="200"/>
      <c r="AE135" s="200"/>
      <c r="AF135" s="200"/>
      <c r="AG135" s="200"/>
      <c r="AH135" s="200"/>
      <c r="AI135" s="200"/>
      <c r="AJ135" s="200"/>
      <c r="AK135" s="200"/>
      <c r="AL135" s="200"/>
    </row>
    <row r="136" spans="1:38">
      <c r="A136" s="435">
        <f t="shared" si="9"/>
        <v>117</v>
      </c>
      <c r="B136" s="871" t="str">
        <f>CONCATENATE('3. Consumption by Rate Class'!B141,"-",'3. Consumption by Rate Class'!C141)</f>
        <v>2022-September</v>
      </c>
      <c r="C136" s="911">
        <v>6630881.2966924561</v>
      </c>
      <c r="D136" s="163">
        <v>0</v>
      </c>
      <c r="E136" s="163">
        <v>0</v>
      </c>
      <c r="F136" s="941">
        <v>0</v>
      </c>
      <c r="G136" s="875"/>
      <c r="H136" s="875"/>
      <c r="I136" s="469">
        <f t="shared" si="10"/>
        <v>6630881.2966924561</v>
      </c>
      <c r="J136" s="599">
        <f>IF(J$18='5.Variables'!$B$16,+'5.Variables'!$K36,+IF(J$18='5.Variables'!$B$39,+'5.Variables'!$K59,+IF(J$18='5.Variables'!$B$62,+'5.Variables'!$K73,+IF(J$18='5.Variables'!$B$76,+'5.Variables'!$K87,+IF(J$18='5.Variables'!$B$90,+'5.Variables'!$K101,+IF(J$18='5.Variables'!$B$104,+'5.Variables'!$K115,0))))))</f>
        <v>107.1</v>
      </c>
      <c r="K136" s="599">
        <f>IF(K$18='5.Variables'!$B$16,+'5.Variables'!$K35,+IF(K$18='5.Variables'!$B$39,+'5.Variables'!$K59,+IF(K$18='5.Variables'!$B$62,+'5.Variables'!$K73,+IF(K$18='5.Variables'!$B$76,+'5.Variables'!$K87,+IF(K$18='5.Variables'!$B$90,+'5.Variables'!$K101,+IF(K$18='5.Variables'!$B$104,+'5.Variables'!$K115,0))))))</f>
        <v>11.9</v>
      </c>
      <c r="L136" s="599">
        <f>IF(L$18='5.Variables'!$B$16,+'5.Variables'!$K35,+IF(L$18='5.Variables'!$B$39,+'5.Variables'!$K59,+IF(L$18='5.Variables'!$B$62,+'5.Variables'!$K73,+IF(L$18='5.Variables'!$B$76,+'5.Variables'!$K87,+IF(L$18='5.Variables'!$B$90,+'5.Variables'!$K101,+IF(L$18='5.Variables'!$B$104,+'5.Variables'!$K115,0))))))</f>
        <v>30</v>
      </c>
      <c r="M136" s="599">
        <f>IF(M$18='5.Variables'!$B$16,+'5.Variables'!$K35,+IF(M$18='5.Variables'!$B$39,+'5.Variables'!$K59,+IF(M$18='5.Variables'!$B$62,+'5.Variables'!$K73,+IF(M$18='5.Variables'!$B$76,+'5.Variables'!$K87,+IF(M$18='5.Variables'!$B$90,+'5.Variables'!$K101,+IF(M$18='5.Variables'!$B$104,+'5.Variables'!$K115,0))))))</f>
        <v>12.29</v>
      </c>
      <c r="N136" s="599">
        <f>IF(N$18='5.Variables'!$B$16,+'5.Variables'!$K35,+IF(N$18='5.Variables'!$B$39,+'5.Variables'!$K59,+IF(N$18='5.Variables'!$B$62,+'5.Variables'!$K73,+IF(N$18='5.Variables'!$B$76,+'5.Variables'!$K87,+IF(N$18='5.Variables'!$B$90,+'5.Variables'!$K101,+IF(N$18='5.Variables'!$B$104,+'5.Variables'!$K115,0))))))</f>
        <v>0</v>
      </c>
      <c r="O136" s="928">
        <v>0</v>
      </c>
      <c r="P136" s="200"/>
      <c r="Q136" s="469">
        <f t="shared" si="8"/>
        <v>6423555.6604711292</v>
      </c>
      <c r="R136" s="216"/>
      <c r="S136" s="200"/>
      <c r="T136" s="200"/>
      <c r="U136" s="200"/>
      <c r="V136" s="200"/>
      <c r="W136" s="200"/>
      <c r="X136" s="200"/>
      <c r="Y136" s="200"/>
      <c r="Z136" s="200"/>
      <c r="AA136" s="200"/>
      <c r="AB136" s="200"/>
      <c r="AC136" s="200"/>
      <c r="AD136" s="200"/>
      <c r="AE136" s="200"/>
      <c r="AF136" s="200"/>
      <c r="AG136" s="200"/>
      <c r="AH136" s="200"/>
      <c r="AI136" s="200"/>
      <c r="AJ136" s="200"/>
      <c r="AK136" s="200"/>
      <c r="AL136" s="200"/>
    </row>
    <row r="137" spans="1:38">
      <c r="A137" s="435">
        <f t="shared" si="9"/>
        <v>118</v>
      </c>
      <c r="B137" s="871" t="str">
        <f>CONCATENATE('3. Consumption by Rate Class'!B142,"-",'3. Consumption by Rate Class'!C142)</f>
        <v>2022-October</v>
      </c>
      <c r="C137" s="911">
        <v>6832597.7389555126</v>
      </c>
      <c r="D137" s="163">
        <v>0</v>
      </c>
      <c r="E137" s="163">
        <v>0</v>
      </c>
      <c r="F137" s="941">
        <v>0</v>
      </c>
      <c r="G137" s="875"/>
      <c r="H137" s="875"/>
      <c r="I137" s="469">
        <f t="shared" si="10"/>
        <v>6832597.7389555126</v>
      </c>
      <c r="J137" s="599">
        <f>IF(J$18='5.Variables'!$B$16,+'5.Variables'!$L36,+IF(J$18='5.Variables'!$B$39,+'5.Variables'!$L59,+IF(J$18='5.Variables'!$B$62,+'5.Variables'!$L73,+IF(J$18='5.Variables'!$B$76,+'5.Variables'!$L87,+IF(J$18='5.Variables'!$B$90,+'5.Variables'!$L101,+IF(J$18='5.Variables'!$B$104,+'5.Variables'!$L115,0))))))</f>
        <v>278.8</v>
      </c>
      <c r="K137" s="599">
        <f>IF(K$18='5.Variables'!$B$16,+'5.Variables'!$L35,+IF(K$18='5.Variables'!$B$39,+'5.Variables'!$L59,+IF(K$18='5.Variables'!$B$62,+'5.Variables'!$L73,+IF(K$18='5.Variables'!$B$76,+'5.Variables'!$L87,+IF(K$18='5.Variables'!$B$90,+'5.Variables'!$L101,+IF(K$18='5.Variables'!$B$104,+'5.Variables'!$L115,0))))))</f>
        <v>0</v>
      </c>
      <c r="L137" s="599">
        <f>IF(L$18='5.Variables'!$B$16,+'5.Variables'!$L35,+IF(L$18='5.Variables'!$B$39,+'5.Variables'!$L59,+IF(L$18='5.Variables'!$B$62,+'5.Variables'!$L73,+IF(L$18='5.Variables'!$B$76,+'5.Variables'!$L87,+IF(L$18='5.Variables'!$B$90,+'5.Variables'!$L101,+IF(L$18='5.Variables'!$B$104,+'5.Variables'!$L115,0))))))</f>
        <v>31</v>
      </c>
      <c r="M137" s="599">
        <f>IF(M$18='5.Variables'!$B$16,+'5.Variables'!$L35,+IF(M$18='5.Variables'!$B$39,+'5.Variables'!$L59,+IF(M$18='5.Variables'!$B$62,+'5.Variables'!$L73,+IF(M$18='5.Variables'!$B$76,+'5.Variables'!$L87,+IF(M$18='5.Variables'!$B$90,+'5.Variables'!$L101,+IF(M$18='5.Variables'!$B$104,+'5.Variables'!$L115,0))))))</f>
        <v>10.51</v>
      </c>
      <c r="N137" s="599">
        <f>IF(N$18='5.Variables'!$B$16,+'5.Variables'!$L35,+IF(N$18='5.Variables'!$B$39,+'5.Variables'!$L59,+IF(N$18='5.Variables'!$B$62,+'5.Variables'!$L73,+IF(N$18='5.Variables'!$B$76,+'5.Variables'!$L87,+IF(N$18='5.Variables'!$B$90,+'5.Variables'!$L101,+IF(N$18='5.Variables'!$B$104,+'5.Variables'!$L115,0))))))</f>
        <v>0</v>
      </c>
      <c r="O137" s="928">
        <v>0</v>
      </c>
      <c r="P137" s="200"/>
      <c r="Q137" s="469">
        <f t="shared" si="8"/>
        <v>6905916.798187336</v>
      </c>
      <c r="R137" s="216"/>
      <c r="S137" s="200"/>
      <c r="T137" s="200"/>
      <c r="U137" s="200"/>
      <c r="V137" s="200"/>
      <c r="W137" s="200"/>
      <c r="X137" s="200"/>
      <c r="Y137" s="200"/>
      <c r="Z137" s="200"/>
      <c r="AA137" s="200"/>
      <c r="AB137" s="200"/>
      <c r="AC137" s="200"/>
      <c r="AD137" s="200"/>
      <c r="AE137" s="200"/>
      <c r="AF137" s="200"/>
      <c r="AG137" s="200"/>
      <c r="AH137" s="200"/>
      <c r="AI137" s="200"/>
      <c r="AJ137" s="200"/>
      <c r="AK137" s="200"/>
      <c r="AL137" s="200"/>
    </row>
    <row r="138" spans="1:38">
      <c r="A138" s="435">
        <f t="shared" si="9"/>
        <v>119</v>
      </c>
      <c r="B138" s="871" t="str">
        <f>CONCATENATE('3. Consumption by Rate Class'!B143,"-",'3. Consumption by Rate Class'!C143)</f>
        <v>2022-November</v>
      </c>
      <c r="C138" s="911">
        <v>7293332.3793036742</v>
      </c>
      <c r="D138" s="163">
        <v>0</v>
      </c>
      <c r="E138" s="163">
        <v>0</v>
      </c>
      <c r="F138" s="941">
        <v>0</v>
      </c>
      <c r="G138" s="875"/>
      <c r="H138" s="875"/>
      <c r="I138" s="469">
        <f t="shared" si="10"/>
        <v>7293332.3793036742</v>
      </c>
      <c r="J138" s="599">
        <f>IF(J$18='5.Variables'!$B$16,+'5.Variables'!$M36,+IF(J$18='5.Variables'!$B$39,+'5.Variables'!$M59,+IF(J$18='5.Variables'!$B$62,+'5.Variables'!$M73,+IF(J$18='5.Variables'!$B$76,+'5.Variables'!$M87,+IF(J$18='5.Variables'!$B$90,+'5.Variables'!$M101,+IF(J$18='5.Variables'!$B$104,+'5.Variables'!$M115,0))))))</f>
        <v>426.7</v>
      </c>
      <c r="K138" s="599">
        <f>IF(K$18='5.Variables'!$B$16,+'5.Variables'!$M35,+IF(K$18='5.Variables'!$B$39,+'5.Variables'!$M59,+IF(K$18='5.Variables'!$B$62,+'5.Variables'!$M73,+IF(K$18='5.Variables'!$B$76,+'5.Variables'!$M87,+IF(K$18='5.Variables'!$B$90,+'5.Variables'!$M101,+IF(K$18='5.Variables'!$B$104,+'5.Variables'!$M115,0))))))</f>
        <v>1.1000000000000001</v>
      </c>
      <c r="L138" s="599">
        <f>IF(L$18='5.Variables'!$B$16,+'5.Variables'!$M35,+IF(L$18='5.Variables'!$B$39,+'5.Variables'!$M59,+IF(L$18='5.Variables'!$B$62,+'5.Variables'!$M73,+IF(L$18='5.Variables'!$B$76,+'5.Variables'!$M87,+IF(L$18='5.Variables'!$B$90,+'5.Variables'!$M101,+IF(L$18='5.Variables'!$B$104,+'5.Variables'!$M115,0))))))</f>
        <v>30</v>
      </c>
      <c r="M138" s="599">
        <f>IF(M$18='5.Variables'!$B$16,+'5.Variables'!$M35,+IF(M$18='5.Variables'!$B$39,+'5.Variables'!$M59,+IF(M$18='5.Variables'!$B$62,+'5.Variables'!$M73,+IF(M$18='5.Variables'!$B$76,+'5.Variables'!$M87,+IF(M$18='5.Variables'!$B$90,+'5.Variables'!$M101,+IF(M$18='5.Variables'!$B$104,+'5.Variables'!$M115,0))))))</f>
        <v>9.2799999999999994</v>
      </c>
      <c r="N138" s="599">
        <f>IF(N$18='5.Variables'!$B$16,+'5.Variables'!$M35,+IF(N$18='5.Variables'!$B$39,+'5.Variables'!$M59,+IF(N$18='5.Variables'!$B$62,+'5.Variables'!$M73,+IF(N$18='5.Variables'!$B$76,+'5.Variables'!$M87,+IF(N$18='5.Variables'!$B$90,+'5.Variables'!$M101,+IF(N$18='5.Variables'!$B$104,+'5.Variables'!$M115,0))))))</f>
        <v>0</v>
      </c>
      <c r="O138" s="928">
        <v>0</v>
      </c>
      <c r="P138" s="200"/>
      <c r="Q138" s="469">
        <f t="shared" si="8"/>
        <v>7201204.8090674244</v>
      </c>
      <c r="R138" s="216"/>
      <c r="S138" s="200"/>
      <c r="T138" s="200"/>
      <c r="U138" s="200"/>
      <c r="V138" s="200"/>
      <c r="W138" s="200"/>
      <c r="X138" s="200"/>
      <c r="Y138" s="200"/>
      <c r="Z138" s="200"/>
      <c r="AA138" s="200"/>
      <c r="AB138" s="200"/>
      <c r="AC138" s="200"/>
      <c r="AD138" s="200"/>
      <c r="AE138" s="200"/>
      <c r="AF138" s="200"/>
      <c r="AG138" s="200"/>
      <c r="AH138" s="200"/>
      <c r="AI138" s="200"/>
      <c r="AJ138" s="200"/>
      <c r="AK138" s="200"/>
      <c r="AL138" s="200"/>
    </row>
    <row r="139" spans="1:38">
      <c r="A139" s="435">
        <f t="shared" si="9"/>
        <v>120</v>
      </c>
      <c r="B139" s="451" t="str">
        <f>CONCATENATE('3. Consumption by Rate Class'!B144,"-",'3. Consumption by Rate Class'!C144)</f>
        <v>2022-December</v>
      </c>
      <c r="C139" s="584">
        <v>8072934.2310831714</v>
      </c>
      <c r="D139" s="940">
        <v>0</v>
      </c>
      <c r="E139" s="939">
        <v>0</v>
      </c>
      <c r="F139" s="939">
        <v>0</v>
      </c>
      <c r="G139" s="880"/>
      <c r="H139" s="880"/>
      <c r="I139" s="881">
        <f t="shared" si="10"/>
        <v>8072934.2310831714</v>
      </c>
      <c r="J139" s="599">
        <f>IF(J$18='5.Variables'!$B$16,+'5.Variables'!$N36,+IF(J$18='5.Variables'!$B$39,+'5.Variables'!$N59,+IF(J$18='5.Variables'!$B$62,+'5.Variables'!$N73,+IF(J$18='5.Variables'!$B$76,+'5.Variables'!$N87,+IF(J$18='5.Variables'!$B$90,+'5.Variables'!$N101,+IF(J$18='5.Variables'!$B$104,+'5.Variables'!$N115,0))))))</f>
        <v>650.20000000000005</v>
      </c>
      <c r="K139" s="599">
        <f>IF(K$18='5.Variables'!$B$16,+'5.Variables'!$N35,+IF(K$18='5.Variables'!$B$39,+'5.Variables'!$N59,+IF(K$18='5.Variables'!$B$62,+'5.Variables'!$N73,+IF(K$18='5.Variables'!$B$76,+'5.Variables'!$N87,+IF(K$18='5.Variables'!$B$90,+'5.Variables'!$N101,+IF(K$18='5.Variables'!$B$104,+'5.Variables'!$N115,0))))))</f>
        <v>0</v>
      </c>
      <c r="L139" s="599">
        <f>IF(L$18='5.Variables'!$B$16,+'5.Variables'!$N35,+IF(L$18='5.Variables'!$B$39,+'5.Variables'!$N59,+IF(L$18='5.Variables'!$B$62,+'5.Variables'!$N73,+IF(L$18='5.Variables'!$B$76,+'5.Variables'!$N87,+IF(L$18='5.Variables'!$B$90,+'5.Variables'!$N101,+IF(L$18='5.Variables'!$B$104,+'5.Variables'!$N115,0))))))</f>
        <v>31</v>
      </c>
      <c r="M139" s="599">
        <f>IF(M$18='5.Variables'!$B$16,+'5.Variables'!$N35,+IF(M$18='5.Variables'!$B$39,+'5.Variables'!$N59,+IF(M$18='5.Variables'!$B$62,+'5.Variables'!$N73,+IF(M$18='5.Variables'!$B$76,+'5.Variables'!$N87,+IF(M$18='5.Variables'!$B$90,+'5.Variables'!$N101,+IF(M$18='5.Variables'!$B$104,+'5.Variables'!$N115,0))))))</f>
        <v>8.4700000000000006</v>
      </c>
      <c r="N139" s="599">
        <f>IF(N$18='5.Variables'!$B$16,+'5.Variables'!$N35,+IF(N$18='5.Variables'!$B$39,+'5.Variables'!$N59,+IF(N$18='5.Variables'!$B$62,+'5.Variables'!$N73,+IF(N$18='5.Variables'!$B$76,+'5.Variables'!$N87,+IF(N$18='5.Variables'!$B$90,+'5.Variables'!$N101,+IF(N$18='5.Variables'!$B$104,+'5.Variables'!$N115,0))))))</f>
        <v>0</v>
      </c>
      <c r="O139" s="928">
        <v>0</v>
      </c>
      <c r="P139" s="200"/>
      <c r="Q139" s="469">
        <f t="shared" si="8"/>
        <v>8002370.836924376</v>
      </c>
      <c r="R139" s="216">
        <f>SUM(Q128:Q139)</f>
        <v>88419627.065925986</v>
      </c>
      <c r="S139" s="200"/>
      <c r="T139" s="200"/>
      <c r="U139" s="200"/>
      <c r="V139" s="200"/>
      <c r="W139" s="200"/>
      <c r="X139" s="200"/>
      <c r="Y139" s="200"/>
      <c r="Z139" s="200"/>
      <c r="AA139" s="200"/>
      <c r="AB139" s="200"/>
      <c r="AC139" s="200"/>
      <c r="AD139" s="200"/>
      <c r="AE139" s="200"/>
      <c r="AF139" s="200"/>
      <c r="AG139" s="200"/>
      <c r="AH139" s="200"/>
      <c r="AI139" s="200"/>
      <c r="AJ139" s="200"/>
      <c r="AK139" s="200"/>
      <c r="AL139" s="200"/>
    </row>
    <row r="140" spans="1:38">
      <c r="A140" s="435">
        <f t="shared" si="9"/>
        <v>121</v>
      </c>
      <c r="B140" s="871" t="str">
        <f>CONCATENATE('3. Consumption by Rate Class'!B145,"-",'3. Consumption by Rate Class'!C145)</f>
        <v>2023-January</v>
      </c>
      <c r="C140" s="591"/>
      <c r="D140" s="878"/>
      <c r="E140" s="879"/>
      <c r="F140" s="226"/>
      <c r="G140" s="226"/>
      <c r="H140" s="226"/>
      <c r="I140" s="201"/>
      <c r="J140" s="616">
        <f>IF(J$19=$B$169,+AVERAGE(J20,J32,J44,J56,J68,J80,J92,J104,J116,J128),+IF(J$19=$B$170,+(EXP((LN(+'4. Customer Growth'!$W$42)/12))*$J139),IF($J$19=$B$171,+$A140*$C$176+#REF!,0)))</f>
        <v>860.66000000000008</v>
      </c>
      <c r="K140" s="616">
        <f>IF(K$19=$B$169,+AVERAGE(K20,K32,K44,K56,K68,K80,K92,K104,K116,K128),+IF(K$19=$B$170,+(EXP((LN(+'4. Customer Growth'!$W$42)/12))*$J139),IF($K$19=$B$171,+$A140*$C$177+#REF!,0)))</f>
        <v>0</v>
      </c>
      <c r="L140" s="616">
        <f>IF(L$19=$B$169,+AVERAGE(L20,L32,L44,L56,L68,L80,L92,L104,L116,L128),+IF(L$19=$B$170,+(EXP((LN(+'4. Customer Growth'!$W$42)/12))*$J139),IF($L$19=$B$171,+$A140*$C$178+#REF!,0)))</f>
        <v>31</v>
      </c>
      <c r="M140" s="616">
        <f>IF(M$19=$B$169,+AVERAGE(M20,M32,M44,M56,M68,M80,M92,M104,M116,M128),+IF(M$19=$B$170,+(EXP((LN(+'4. Customer Growth'!$W$42)/12))*$M139),IF($M$19=$B$171,+$A140*$C$180+#REF!,0)))</f>
        <v>9.0900000000000016</v>
      </c>
      <c r="N140" s="616">
        <f>IF(N$19=$B$169,+AVERAGE(N20,N32,N44,N56,N68,N80,N92,N104,N116,N128),+IF(N$19=$B$170,+(EXP((LN(+'4. Customer Growth'!$W$42)/12))*$N139),IF($N$19=$B$171,+$A140*$C$181+#REF!,0)))</f>
        <v>0</v>
      </c>
      <c r="O140" s="928">
        <v>0</v>
      </c>
      <c r="P140" s="200"/>
      <c r="Q140" s="469">
        <f>$U$34+(J140*$U$35)+(K140*$U$36)+(L140*$U$37)</f>
        <v>8623694.7922086976</v>
      </c>
      <c r="R140" s="216"/>
      <c r="S140" s="200"/>
      <c r="T140" s="200"/>
      <c r="U140" s="200"/>
      <c r="V140" s="200"/>
      <c r="W140" s="200"/>
      <c r="X140" s="200"/>
      <c r="Y140" s="200"/>
      <c r="Z140" s="200"/>
      <c r="AA140" s="200"/>
      <c r="AB140" s="200"/>
      <c r="AC140" s="200"/>
      <c r="AD140" s="200"/>
      <c r="AE140" s="200"/>
      <c r="AF140" s="200"/>
      <c r="AG140" s="200"/>
      <c r="AH140" s="200"/>
      <c r="AI140" s="200"/>
      <c r="AJ140" s="200"/>
      <c r="AK140" s="200"/>
      <c r="AL140" s="200"/>
    </row>
    <row r="141" spans="1:38">
      <c r="A141" s="435">
        <f t="shared" si="9"/>
        <v>122</v>
      </c>
      <c r="B141" s="871" t="str">
        <f>CONCATENATE('3. Consumption by Rate Class'!B146,"-",'3. Consumption by Rate Class'!C146)</f>
        <v>2023-February</v>
      </c>
      <c r="C141" s="591"/>
      <c r="D141" s="878"/>
      <c r="E141" s="879"/>
      <c r="F141" s="226"/>
      <c r="G141" s="226"/>
      <c r="H141" s="226"/>
      <c r="I141" s="201"/>
      <c r="J141" s="616">
        <f>IF(J$19=$B$169,+AVERAGE(J21,J33,J45,J57,J69,J81,J93,J105,J117,J129),+IF(J$19=$B$170,+(EXP((LN(+'4. Customer Growth'!$W$42)/12))*$J140),IF($J$19=$B$171,+$A141*$C$176+#REF!,0)))</f>
        <v>743.68999999999994</v>
      </c>
      <c r="K141" s="616">
        <f>IF(K$19=$B$169,+AVERAGE(K21,K33,K45,K57,K69,K81,K93,K105,K117,K129),+IF(K$19=$B$170,+(EXP((LN(+'4. Customer Growth'!$W$42)/12))*$J140),IF($K$19=$B$171,+$A141*$C$177+#REF!,0)))</f>
        <v>0</v>
      </c>
      <c r="L141" s="616">
        <f>IF(L$19=$B$169,+AVERAGE(L21,L33,L45,L57,L69,L81,L93,L105,L117,L129),+IF(L$19=$B$170,+(EXP((LN(+'4. Customer Growth'!$W$42)/12))*$J140),IF($L$19=$B$171,+$A141*$C$178+#REF!,0)))</f>
        <v>28.2</v>
      </c>
      <c r="M141" s="616">
        <f>IF(M$19=$B$169,+AVERAGE(M21,M33,M45,M57,M69,M81,M93,M105,M117,M129),+IF(M$19=$B$170,+(EXP((LN(+'4. Customer Growth'!$W$42)/12))*$M140),IF($M$19=$B$171,+$A141*$C$180+#REF!,0)))</f>
        <v>10.19</v>
      </c>
      <c r="N141" s="616">
        <f>IF(N$19=$B$169,+AVERAGE(N21,N33,N45,N57,N69,N81,N93,N105,N117,N129),+IF(N$19=$B$170,+(EXP((LN(+'4. Customer Growth'!$W$42)/12))*$N140),IF($N$19=$B$171,+$A141*$C$181+#REF!,0)))</f>
        <v>0</v>
      </c>
      <c r="O141" s="928">
        <v>0</v>
      </c>
      <c r="P141" s="200"/>
      <c r="Q141" s="469">
        <f t="shared" ref="Q141:Q163" si="11">$U$34+(J141*$U$35)+(K141*$U$36)+(L141*$U$37)</f>
        <v>7835300.8669096567</v>
      </c>
      <c r="R141" s="216"/>
      <c r="S141" s="200"/>
      <c r="T141" s="200"/>
      <c r="U141" s="200"/>
      <c r="V141" s="200"/>
      <c r="W141" s="200"/>
      <c r="X141" s="200"/>
      <c r="Y141" s="200"/>
      <c r="Z141" s="200"/>
      <c r="AA141" s="200"/>
      <c r="AB141" s="200"/>
      <c r="AC141" s="200"/>
      <c r="AD141" s="200"/>
      <c r="AE141" s="200"/>
      <c r="AF141" s="200"/>
      <c r="AG141" s="200"/>
      <c r="AH141" s="200"/>
      <c r="AI141" s="200"/>
      <c r="AJ141" s="200"/>
      <c r="AK141" s="200"/>
      <c r="AL141" s="200"/>
    </row>
    <row r="142" spans="1:38">
      <c r="A142" s="435">
        <f t="shared" si="9"/>
        <v>123</v>
      </c>
      <c r="B142" s="871" t="str">
        <f>CONCATENATE('3. Consumption by Rate Class'!B147,"-",'3. Consumption by Rate Class'!C147)</f>
        <v>2023-March</v>
      </c>
      <c r="C142" s="591"/>
      <c r="D142" s="653"/>
      <c r="E142" s="226"/>
      <c r="F142" s="226"/>
      <c r="G142" s="226"/>
      <c r="H142" s="226"/>
      <c r="I142" s="201"/>
      <c r="J142" s="616">
        <f>IF(J$19=$B$169,+AVERAGE(J22,J34,J46,J58,J70,J82,J94,J106,J118,J130),+IF(J$19=$B$170,+(EXP((LN(+'4. Customer Growth'!$W$42)/12))*$J141),IF($J$19=$B$171,+$A142*$C$176+#REF!,0)))</f>
        <v>641.17000000000007</v>
      </c>
      <c r="K142" s="616">
        <f>IF(K$19=$B$169,+AVERAGE(K22,K34,K46,K58,K70,K82,K94,K106,K118,K130),+IF(K$19=$B$170,+(EXP((LN(+'4. Customer Growth'!$W$42)/12))*$J141),IF($K$19=$B$171,+$A142*$C$177+#REF!,0)))</f>
        <v>0</v>
      </c>
      <c r="L142" s="616">
        <f>IF(L$19=$B$169,+AVERAGE(L22,L34,L46,L58,L70,L82,L94,L106,L118,L130),+IF(L$19=$B$170,+(EXP((LN(+'4. Customer Growth'!$W$42)/12))*$J141),IF($L$19=$B$171,+$A142*$C$178+#REF!,0)))</f>
        <v>31</v>
      </c>
      <c r="M142" s="616">
        <f>IF(M$19=$B$169,+AVERAGE(M22,M34,M46,M58,M70,M82,M94,M106,M118,M130),+IF(M$19=$B$170,+(EXP((LN(+'4. Customer Growth'!$W$42)/12))*$M141),IF($M$19=$B$171,+$A142*$C$180+#REF!,0)))</f>
        <v>11.510000000000002</v>
      </c>
      <c r="N142" s="616">
        <f>IF(N$19=$B$169,+AVERAGE(N22,N34,N46,N58,N70,N82,N94,N106,N118,N130),+IF(N$19=$B$170,+(EXP((LN(+'4. Customer Growth'!$W$42)/12))*$N141),IF($N$19=$B$171,+$A142*$C$181+#REF!,0)))</f>
        <v>0</v>
      </c>
      <c r="O142" s="928">
        <v>0</v>
      </c>
      <c r="P142" s="200"/>
      <c r="Q142" s="469">
        <f t="shared" si="11"/>
        <v>7975712.3017337574</v>
      </c>
      <c r="R142" s="216"/>
      <c r="S142" s="200"/>
      <c r="T142" s="200"/>
      <c r="U142" s="200"/>
      <c r="V142" s="200"/>
      <c r="W142" s="200"/>
      <c r="X142" s="200"/>
      <c r="Y142" s="200"/>
      <c r="Z142" s="200"/>
      <c r="AA142" s="200"/>
      <c r="AB142" s="200"/>
      <c r="AC142" s="200"/>
      <c r="AD142" s="200"/>
      <c r="AE142" s="200"/>
      <c r="AF142" s="200"/>
      <c r="AG142" s="200"/>
      <c r="AH142" s="200"/>
      <c r="AI142" s="200"/>
      <c r="AJ142" s="200"/>
      <c r="AK142" s="200"/>
      <c r="AL142" s="200"/>
    </row>
    <row r="143" spans="1:38">
      <c r="A143" s="435">
        <f t="shared" si="9"/>
        <v>124</v>
      </c>
      <c r="B143" s="871" t="str">
        <f>CONCATENATE('3. Consumption by Rate Class'!B148,"-",'3. Consumption by Rate Class'!C148)</f>
        <v>2023-April</v>
      </c>
      <c r="C143" s="591"/>
      <c r="D143" s="653"/>
      <c r="E143" s="226"/>
      <c r="F143" s="226"/>
      <c r="G143" s="226"/>
      <c r="H143" s="226"/>
      <c r="I143" s="201"/>
      <c r="J143" s="616">
        <f>IF(J$19=$B$169,+AVERAGE(J23,J35,J47,J59,J71,J83,J95,J107,J119,J131),+IF(J$19=$B$170,+(EXP((LN(+'4. Customer Growth'!$W$42)/12))*$J142),IF($J$19=$B$171,+$A143*$C$176+#REF!,0)))</f>
        <v>367.87</v>
      </c>
      <c r="K143" s="616">
        <f>IF(K$19=$B$169,+AVERAGE(K23,K35,K47,K59,K71,K83,K95,K107,K119,K131),+IF(K$19=$B$170,+(EXP((LN(+'4. Customer Growth'!$W$42)/12))*$J142),IF($K$19=$B$171,+$A143*$C$177+#REF!,0)))</f>
        <v>0.12</v>
      </c>
      <c r="L143" s="616">
        <f>IF(L$19=$B$169,+AVERAGE(L23,L35,L47,L59,L71,L83,L95,L107,L119,L131),+IF(L$19=$B$170,+(EXP((LN(+'4. Customer Growth'!$W$42)/12))*$J142),IF($L$19=$B$171,+$A143*$C$178+#REF!,0)))</f>
        <v>30</v>
      </c>
      <c r="M143" s="616">
        <f>IF(M$19=$B$169,+AVERAGE(M23,M35,M47,M59,M71,M83,M95,M107,M119,M131),+IF(M$19=$B$170,+(EXP((LN(+'4. Customer Growth'!$W$42)/12))*$M142),IF($M$19=$B$171,+$A143*$C$180+#REF!,0)))</f>
        <v>13.279999999999998</v>
      </c>
      <c r="N143" s="616">
        <f>IF(N$19=$B$169,+AVERAGE(N23,N35,N47,N59,N71,N83,N95,N107,N119,N131),+IF(N$19=$B$170,+(EXP((LN(+'4. Customer Growth'!$W$42)/12))*$N142),IF($N$19=$B$171,+$A143*$C$181+#REF!,0)))</f>
        <v>0</v>
      </c>
      <c r="O143" s="928">
        <v>0</v>
      </c>
      <c r="P143" s="200"/>
      <c r="Q143" s="469">
        <f t="shared" si="11"/>
        <v>7012473.7103917487</v>
      </c>
      <c r="R143" s="216"/>
      <c r="S143" s="200"/>
      <c r="T143" s="200"/>
      <c r="U143" s="200"/>
      <c r="V143" s="200"/>
      <c r="W143" s="200"/>
      <c r="X143" s="200"/>
      <c r="Y143" s="200"/>
      <c r="Z143" s="200"/>
      <c r="AA143" s="200"/>
      <c r="AB143" s="200"/>
      <c r="AC143" s="200"/>
      <c r="AD143" s="200"/>
      <c r="AE143" s="200"/>
      <c r="AF143" s="200"/>
      <c r="AG143" s="200"/>
      <c r="AH143" s="200"/>
      <c r="AI143" s="200"/>
      <c r="AJ143" s="200"/>
      <c r="AK143" s="200"/>
      <c r="AL143" s="200"/>
    </row>
    <row r="144" spans="1:38">
      <c r="A144" s="435">
        <f t="shared" si="9"/>
        <v>125</v>
      </c>
      <c r="B144" s="871" t="str">
        <f>CONCATENATE('3. Consumption by Rate Class'!B149,"-",'3. Consumption by Rate Class'!C149)</f>
        <v>2023-May</v>
      </c>
      <c r="C144" s="591"/>
      <c r="D144" s="653"/>
      <c r="E144" s="226"/>
      <c r="F144" s="226"/>
      <c r="G144" s="227"/>
      <c r="H144" s="226"/>
      <c r="I144" s="201"/>
      <c r="J144" s="616">
        <f>IF(J$19=$B$169,+AVERAGE(J24,J36,J48,J60,J72,J84,J96,J108,J120,J132),+IF(J$19=$B$170,+(EXP((LN(+'4. Customer Growth'!$W$42)/12))*$J143),IF($J$19=$B$171,+$A144*$C$176+#REF!,0)))</f>
        <v>146.9</v>
      </c>
      <c r="K144" s="616">
        <f>IF(K$19=$B$169,+AVERAGE(K24,K36,K48,K60,K72,K84,K96,K108,K120,K132),+IF(K$19=$B$170,+(EXP((LN(+'4. Customer Growth'!$W$42)/12))*$J143),IF($K$19=$B$171,+$A144*$C$177+#REF!,0)))</f>
        <v>17.89</v>
      </c>
      <c r="L144" s="616">
        <f>IF(L$19=$B$169,+AVERAGE(L24,L36,L48,L60,L72,L84,L96,L108,L120,L132),+IF(L$19=$B$170,+(EXP((LN(+'4. Customer Growth'!$W$42)/12))*$J143),IF($L$19=$B$171,+$A144*$C$178+#REF!,0)))</f>
        <v>31</v>
      </c>
      <c r="M144" s="616">
        <f>IF(M$19=$B$169,+AVERAGE(M24,M36,M48,M60,M72,M84,M96,M108,M120,M132),+IF(M$19=$B$170,+(EXP((LN(+'4. Customer Growth'!$W$42)/12))*$M143),IF($M$19=$B$171,+$A144*$C$180+#REF!,0)))</f>
        <v>14.52</v>
      </c>
      <c r="N144" s="616">
        <f>IF(N$19=$B$169,+AVERAGE(N24,N36,N48,N60,N72,N84,N96,N108,N120,N132),+IF(N$19=$B$170,+(EXP((LN(+'4. Customer Growth'!$W$42)/12))*$N143),IF($N$19=$B$171,+$A144*$C$181+#REF!,0)))</f>
        <v>0</v>
      </c>
      <c r="O144" s="928">
        <v>0</v>
      </c>
      <c r="P144" s="200"/>
      <c r="Q144" s="469">
        <f t="shared" si="11"/>
        <v>6791296.228052238</v>
      </c>
      <c r="R144" s="216"/>
      <c r="S144" s="200"/>
      <c r="T144" s="200"/>
      <c r="U144" s="200"/>
      <c r="V144" s="200"/>
      <c r="W144" s="200"/>
      <c r="X144" s="200"/>
      <c r="Y144" s="200"/>
      <c r="Z144" s="200"/>
      <c r="AA144" s="200"/>
      <c r="AB144" s="200"/>
      <c r="AC144" s="200"/>
      <c r="AD144" s="200"/>
      <c r="AE144" s="200"/>
      <c r="AF144" s="200"/>
      <c r="AG144" s="200"/>
      <c r="AH144" s="200"/>
      <c r="AI144" s="200"/>
      <c r="AJ144" s="200"/>
      <c r="AK144" s="200"/>
      <c r="AL144" s="200"/>
    </row>
    <row r="145" spans="1:38">
      <c r="A145" s="435">
        <f t="shared" si="9"/>
        <v>126</v>
      </c>
      <c r="B145" s="871" t="str">
        <f>CONCATENATE('3. Consumption by Rate Class'!B150,"-",'3. Consumption by Rate Class'!C150)</f>
        <v>2023-June</v>
      </c>
      <c r="C145" s="591"/>
      <c r="D145" s="653"/>
      <c r="E145" s="226"/>
      <c r="F145" s="226"/>
      <c r="G145" s="226"/>
      <c r="H145" s="226"/>
      <c r="I145" s="201"/>
      <c r="J145" s="616">
        <f>IF(J$19=$B$169,+AVERAGE(J25,J37,J49,J61,J73,J85,J97,J109,J121,J133),+IF(J$19=$B$170,+(EXP((LN(+'4. Customer Growth'!$W$42)/12))*$J144),IF($J$19=$B$171,+$A145*$C$176+#REF!,0)))</f>
        <v>39.36</v>
      </c>
      <c r="K145" s="616">
        <f>IF(K$19=$B$169,+AVERAGE(K25,K37,K49,K61,K73,K85,K97,K109,K121,K133),+IF(K$19=$B$170,+(EXP((LN(+'4. Customer Growth'!$W$42)/12))*$J144),IF($K$19=$B$171,+$A145*$C$177+#REF!,0)))</f>
        <v>46.870000000000005</v>
      </c>
      <c r="L145" s="616">
        <f>IF(L$19=$B$169,+AVERAGE(L25,L37,L49,L61,L73,L85,L97,L109,L121,L133),+IF(L$19=$B$170,+(EXP((LN(+'4. Customer Growth'!$W$42)/12))*$J144),IF($L$19=$B$171,+$A145*$C$178+#REF!,0)))</f>
        <v>30</v>
      </c>
      <c r="M145" s="616">
        <f>IF(M$19=$B$169,+AVERAGE(M25,M37,M49,M61,M73,M85,M97,M109,M121,M133),+IF(M$19=$B$170,+(EXP((LN(+'4. Customer Growth'!$W$42)/12))*$M144),IF($M$19=$B$171,+$A145*$C$180+#REF!,0)))</f>
        <v>15.349999999999998</v>
      </c>
      <c r="N145" s="616">
        <f>IF(N$19=$B$169,+AVERAGE(N25,N37,N49,N61,N73,N85,N97,N109,N121,N133),+IF(N$19=$B$170,+(EXP((LN(+'4. Customer Growth'!$W$42)/12))*$N144),IF($N$19=$B$171,+$A145*$C$181+#REF!,0)))</f>
        <v>0</v>
      </c>
      <c r="O145" s="928">
        <v>0</v>
      </c>
      <c r="P145" s="200"/>
      <c r="Q145" s="469">
        <f t="shared" si="11"/>
        <v>6760685.5287103765</v>
      </c>
      <c r="R145" s="216"/>
      <c r="S145" s="200"/>
      <c r="T145" s="200"/>
      <c r="U145" s="200"/>
      <c r="V145" s="200"/>
      <c r="W145" s="228"/>
      <c r="X145" s="200"/>
      <c r="Y145" s="200"/>
      <c r="Z145" s="200"/>
      <c r="AA145" s="200"/>
      <c r="AB145" s="200"/>
      <c r="AC145" s="200"/>
      <c r="AD145" s="200"/>
      <c r="AE145" s="200"/>
      <c r="AF145" s="200"/>
      <c r="AG145" s="200"/>
      <c r="AH145" s="200"/>
      <c r="AI145" s="200"/>
      <c r="AJ145" s="200"/>
      <c r="AK145" s="200"/>
      <c r="AL145" s="200"/>
    </row>
    <row r="146" spans="1:38">
      <c r="A146" s="435">
        <f t="shared" si="9"/>
        <v>127</v>
      </c>
      <c r="B146" s="871" t="str">
        <f>CONCATENATE('3. Consumption by Rate Class'!B151,"-",'3. Consumption by Rate Class'!C151)</f>
        <v>2023-July</v>
      </c>
      <c r="C146" s="591"/>
      <c r="D146" s="653"/>
      <c r="E146" s="226"/>
      <c r="F146" s="226"/>
      <c r="G146" s="226"/>
      <c r="H146" s="226"/>
      <c r="I146" s="201"/>
      <c r="J146" s="616">
        <f>IF(J$19=$B$169,+AVERAGE(J26,J38,J50,J62,J74,J86,J98,J110,J122,J134),+IF(J$19=$B$170,+(EXP((LN(+'4. Customer Growth'!$W$42)/12))*$J145),IF($J$19=$B$171,+$A146*$C$176+#REF!,0)))</f>
        <v>5.0600000000000005</v>
      </c>
      <c r="K146" s="616">
        <f>IF(K$19=$B$169,+AVERAGE(K26,K38,K50,K62,K74,K86,K98,K110,K122,K134),+IF(K$19=$B$170,+(EXP((LN(+'4. Customer Growth'!$W$42)/12))*$J145),IF($K$19=$B$171,+$A146*$C$177+#REF!,0)))</f>
        <v>108.35000000000002</v>
      </c>
      <c r="L146" s="616">
        <f>IF(L$19=$B$169,+AVERAGE(L26,L38,L50,L62,L74,L86,L98,L110,L122,L134),+IF(L$19=$B$170,+(EXP((LN(+'4. Customer Growth'!$W$42)/12))*$J145),IF($L$19=$B$171,+$A146*$C$178+#REF!,0)))</f>
        <v>31</v>
      </c>
      <c r="M146" s="616">
        <f>IF(M$19=$B$169,+AVERAGE(M26,M38,M50,M62,M74,M86,M98,M110,M122,M134),+IF(M$19=$B$170,+(EXP((LN(+'4. Customer Growth'!$W$42)/12))*$M145),IF($M$19=$B$171,+$A146*$C$180+#REF!,0)))</f>
        <v>15.150000000000002</v>
      </c>
      <c r="N146" s="616">
        <f>IF(N$19=$B$169,+AVERAGE(N26,N38,N50,N62,N74,N86,N98,N110,N122,N134),+IF(N$19=$B$170,+(EXP((LN(+'4. Customer Growth'!$W$42)/12))*$N145),IF($N$19=$B$171,+$A146*$C$181+#REF!,0)))</f>
        <v>0</v>
      </c>
      <c r="O146" s="928">
        <v>0</v>
      </c>
      <c r="P146" s="200"/>
      <c r="Q146" s="469">
        <f t="shared" si="11"/>
        <v>7761951.7765874118</v>
      </c>
      <c r="R146" s="216"/>
      <c r="S146" s="200"/>
      <c r="T146" s="200"/>
      <c r="U146" s="200"/>
      <c r="V146" s="200"/>
      <c r="W146" s="200"/>
      <c r="X146" s="200"/>
      <c r="Y146" s="200"/>
      <c r="Z146" s="200"/>
      <c r="AA146" s="200"/>
      <c r="AB146" s="200"/>
      <c r="AC146" s="200"/>
      <c r="AD146" s="200"/>
      <c r="AE146" s="200"/>
      <c r="AF146" s="200"/>
      <c r="AG146" s="200"/>
      <c r="AH146" s="200"/>
      <c r="AI146" s="200"/>
      <c r="AJ146" s="200"/>
      <c r="AK146" s="200"/>
      <c r="AL146" s="200"/>
    </row>
    <row r="147" spans="1:38">
      <c r="A147" s="435">
        <f t="shared" si="9"/>
        <v>128</v>
      </c>
      <c r="B147" s="871" t="str">
        <f>CONCATENATE('3. Consumption by Rate Class'!B152,"-",'3. Consumption by Rate Class'!C152)</f>
        <v>2023-August</v>
      </c>
      <c r="C147" s="591"/>
      <c r="D147" s="653"/>
      <c r="E147" s="226"/>
      <c r="F147" s="226"/>
      <c r="G147" s="226"/>
      <c r="H147" s="226"/>
      <c r="I147" s="201"/>
      <c r="J147" s="616">
        <f>IF(J$19=$B$169,+AVERAGE(J27,J39,J51,J63,J75,J87,J99,J111,J123,J135),+IF(J$19=$B$170,+(EXP((LN(+'4. Customer Growth'!$W$42)/12))*$J146),IF($J$19=$B$171,+$A147*$C$176+#REF!,0)))</f>
        <v>11.349999999999998</v>
      </c>
      <c r="K147" s="616">
        <f>IF(K$19=$B$169,+AVERAGE(K27,K39,K51,K63,K75,K87,K99,K111,K123,K135),+IF(K$19=$B$170,+(EXP((LN(+'4. Customer Growth'!$W$42)/12))*$J146),IF($K$19=$B$171,+$A147*$C$177+#REF!,0)))</f>
        <v>81.679999999999993</v>
      </c>
      <c r="L147" s="616">
        <f>IF(L$19=$B$169,+AVERAGE(L27,L39,L51,L63,L75,L87,L99,L111,L123,L135),+IF(L$19=$B$170,+(EXP((LN(+'4. Customer Growth'!$W$42)/12))*$J146),IF($L$19=$B$171,+$A147*$C$178+#REF!,0)))</f>
        <v>31</v>
      </c>
      <c r="M147" s="616">
        <f>IF(M$19=$B$169,+AVERAGE(M27,M39,M51,M63,M75,M87,M99,M111,M123,M135),+IF(M$19=$B$170,+(EXP((LN(+'4. Customer Growth'!$W$42)/12))*$M146),IF($M$19=$B$171,+$A147*$C$180+#REF!,0)))</f>
        <v>14.029999999999998</v>
      </c>
      <c r="N147" s="616">
        <f>IF(N$19=$B$169,+AVERAGE(N27,N39,N51,N63,N75,N87,N99,N111,N123,N135),+IF(N$19=$B$170,+(EXP((LN(+'4. Customer Growth'!$W$42)/12))*$N146),IF($N$19=$B$171,+$A147*$C$181+#REF!,0)))</f>
        <v>0</v>
      </c>
      <c r="O147" s="928">
        <v>0</v>
      </c>
      <c r="P147" s="200"/>
      <c r="Q147" s="469">
        <f t="shared" si="11"/>
        <v>7370889.8877860345</v>
      </c>
      <c r="R147" s="216"/>
      <c r="S147" s="200"/>
      <c r="T147" s="200"/>
      <c r="U147" s="200"/>
      <c r="V147" s="200"/>
      <c r="W147" s="200"/>
      <c r="X147" s="200"/>
      <c r="Y147" s="200"/>
      <c r="Z147" s="200"/>
      <c r="AA147" s="200"/>
      <c r="AB147" s="200"/>
      <c r="AC147" s="200"/>
      <c r="AD147" s="200"/>
      <c r="AE147" s="200"/>
      <c r="AF147" s="200"/>
      <c r="AG147" s="200"/>
      <c r="AH147" s="200"/>
      <c r="AI147" s="200"/>
      <c r="AJ147" s="200"/>
      <c r="AK147" s="200"/>
      <c r="AL147" s="200"/>
    </row>
    <row r="148" spans="1:38">
      <c r="A148" s="435">
        <f t="shared" si="9"/>
        <v>129</v>
      </c>
      <c r="B148" s="871" t="str">
        <f>CONCATENATE('3. Consumption by Rate Class'!B153,"-",'3. Consumption by Rate Class'!C153)</f>
        <v>2023-September</v>
      </c>
      <c r="C148" s="591"/>
      <c r="D148" s="653"/>
      <c r="E148" s="226"/>
      <c r="F148" s="226"/>
      <c r="G148" s="226"/>
      <c r="H148" s="226"/>
      <c r="I148" s="201"/>
      <c r="J148" s="616">
        <f>IF(J$19=$B$169,+AVERAGE(J28,J40,J52,J64,J76,J88,J100,J112,J124,J136),+IF(J$19=$B$170,+(EXP((LN(+'4. Customer Growth'!$W$42)/12))*$J147),IF($J$19=$B$171,+$A148*$C$176+#REF!,0)))</f>
        <v>94.320000000000007</v>
      </c>
      <c r="K148" s="616">
        <f>IF(K$19=$B$169,+AVERAGE(K28,K40,K52,K64,K76,K88,K100,K112,K124,K136),+IF(K$19=$B$170,+(EXP((LN(+'4. Customer Growth'!$W$42)/12))*$J147),IF($K$19=$B$171,+$A148*$C$177+#REF!,0)))</f>
        <v>23.93</v>
      </c>
      <c r="L148" s="616">
        <f>IF(L$19=$B$169,+AVERAGE(L28,L40,L52,L64,L76,L88,L100,L112,L124,L136),+IF(L$19=$B$170,+(EXP((LN(+'4. Customer Growth'!$W$42)/12))*$J147),IF($L$19=$B$171,+$A148*$C$178+#REF!,0)))</f>
        <v>30</v>
      </c>
      <c r="M148" s="616">
        <f>IF(M$19=$B$169,+AVERAGE(M28,M40,M52,M64,M76,M88,M100,M112,M124,M136),+IF(M$19=$B$170,+(EXP((LN(+'4. Customer Growth'!$W$42)/12))*$M147),IF($M$19=$B$171,+$A148*$C$180+#REF!,0)))</f>
        <v>12.289999999999997</v>
      </c>
      <c r="N148" s="616">
        <f>IF(N$19=$B$169,+AVERAGE(N28,N40,N52,N64,N76,N88,N100,N112,N124,N136),+IF(N$19=$B$170,+(EXP((LN(+'4. Customer Growth'!$W$42)/12))*$N147),IF($N$19=$B$171,+$A148*$C$181+#REF!,0)))</f>
        <v>0</v>
      </c>
      <c r="O148" s="928">
        <v>0</v>
      </c>
      <c r="P148" s="200"/>
      <c r="Q148" s="469">
        <f t="shared" si="11"/>
        <v>6570598.1488951677</v>
      </c>
      <c r="R148" s="216"/>
      <c r="S148" s="200"/>
      <c r="T148" s="200"/>
      <c r="U148" s="200"/>
      <c r="V148" s="200"/>
      <c r="W148" s="200"/>
      <c r="X148" s="200"/>
      <c r="Y148" s="200"/>
      <c r="Z148" s="200"/>
      <c r="AA148" s="200"/>
      <c r="AB148" s="200"/>
      <c r="AC148" s="200"/>
      <c r="AD148" s="200"/>
      <c r="AE148" s="200"/>
      <c r="AF148" s="200"/>
      <c r="AG148" s="200"/>
      <c r="AH148" s="200"/>
      <c r="AI148" s="200"/>
      <c r="AJ148" s="200"/>
      <c r="AK148" s="200"/>
      <c r="AL148" s="200"/>
    </row>
    <row r="149" spans="1:38">
      <c r="A149" s="435">
        <f t="shared" si="9"/>
        <v>130</v>
      </c>
      <c r="B149" s="871" t="str">
        <f>CONCATENATE('3. Consumption by Rate Class'!B154,"-",'3. Consumption by Rate Class'!C154)</f>
        <v>2023-October</v>
      </c>
      <c r="C149" s="591"/>
      <c r="D149" s="653"/>
      <c r="E149" s="226"/>
      <c r="F149" s="226"/>
      <c r="G149" s="226"/>
      <c r="H149" s="226"/>
      <c r="I149" s="201"/>
      <c r="J149" s="616">
        <f>IF(J$19=$B$169,+AVERAGE(J29,J41,J53,J65,J77,J89,J101,J113,J125,J137),+IF(J$19=$B$170,+(EXP((LN(+'4. Customer Growth'!$W$42)/12))*$J148),IF($J$19=$B$171,+$A149*$C$176+#REF!,0)))</f>
        <v>276.31</v>
      </c>
      <c r="K149" s="616">
        <f>IF(K$19=$B$169,+AVERAGE(K29,K41,K53,K65,K77,K89,K101,K113,K125,K137),+IF(K$19=$B$170,+(EXP((LN(+'4. Customer Growth'!$W$42)/12))*$J148),IF($K$19=$B$171,+$A149*$C$177+#REF!,0)))</f>
        <v>0.56000000000000005</v>
      </c>
      <c r="L149" s="616">
        <f>IF(L$19=$B$169,+AVERAGE(L29,L41,L53,L65,L77,L89,L101,L113,L125,L137),+IF(L$19=$B$170,+(EXP((LN(+'4. Customer Growth'!$W$42)/12))*$J148),IF($L$19=$B$171,+$A149*$C$178+#REF!,0)))</f>
        <v>31</v>
      </c>
      <c r="M149" s="616">
        <f>IF(M$19=$B$169,+AVERAGE(M29,M41,M53,M65,M77,M89,M101,M113,M125,M137),+IF(M$19=$B$170,+(EXP((LN(+'4. Customer Growth'!$W$42)/12))*$M148),IF($M$19=$B$171,+$A149*$C$180+#REF!,0)))</f>
        <v>10.510000000000002</v>
      </c>
      <c r="N149" s="616">
        <f>IF(N$19=$B$169,+AVERAGE(N29,N41,N53,N65,N77,N89,N101,N113,N125,N137),+IF(N$19=$B$170,+(EXP((LN(+'4. Customer Growth'!$W$42)/12))*$N148),IF($N$19=$B$171,+$A149*$C$181+#REF!,0)))</f>
        <v>0</v>
      </c>
      <c r="O149" s="928">
        <v>0</v>
      </c>
      <c r="P149" s="200"/>
      <c r="Q149" s="469">
        <f t="shared" si="11"/>
        <v>6907166.9566232916</v>
      </c>
      <c r="R149" s="216"/>
      <c r="S149" s="200"/>
      <c r="T149" s="200"/>
      <c r="U149" s="200"/>
      <c r="V149" s="200"/>
      <c r="W149" s="200"/>
      <c r="X149" s="200"/>
      <c r="Y149" s="200"/>
      <c r="Z149" s="200"/>
      <c r="AA149" s="200"/>
      <c r="AB149" s="200"/>
      <c r="AC149" s="200"/>
      <c r="AD149" s="200"/>
      <c r="AE149" s="200"/>
      <c r="AF149" s="200"/>
      <c r="AG149" s="200"/>
      <c r="AH149" s="200"/>
      <c r="AI149" s="200"/>
      <c r="AJ149" s="200"/>
      <c r="AK149" s="200"/>
      <c r="AL149" s="200"/>
    </row>
    <row r="150" spans="1:38">
      <c r="A150" s="435">
        <f t="shared" ref="A150:A163" si="12">+A149+1</f>
        <v>131</v>
      </c>
      <c r="B150" s="871" t="str">
        <f>CONCATENATE('3. Consumption by Rate Class'!B155,"-",'3. Consumption by Rate Class'!C155)</f>
        <v>2023-November</v>
      </c>
      <c r="C150" s="591"/>
      <c r="D150" s="653"/>
      <c r="E150" s="226"/>
      <c r="F150" s="226"/>
      <c r="G150" s="226"/>
      <c r="H150" s="226"/>
      <c r="I150" s="201"/>
      <c r="J150" s="616">
        <f>IF(J$19=$B$169,+AVERAGE(J30,J42,J54,J66,J78,J90,J102,J114,J126,J138),+IF(J$19=$B$170,+(EXP((LN(+'4. Customer Growth'!$W$42)/12))*$J149),IF($J$19=$B$171,+$A150*$C$176+#REF!,0)))</f>
        <v>503.03999999999996</v>
      </c>
      <c r="K150" s="616">
        <f>IF(K$19=$B$169,+AVERAGE(K30,K42,K54,K66,K78,K90,K102,K114,K126,K138),+IF(K$19=$B$170,+(EXP((LN(+'4. Customer Growth'!$W$42)/12))*$J149),IF($K$19=$B$171,+$A150*$C$177+#REF!,0)))</f>
        <v>0.11000000000000001</v>
      </c>
      <c r="L150" s="616">
        <f>IF(L$19=$B$169,+AVERAGE(L30,L42,L54,L66,L78,L90,L102,L114,L126,L138),+IF(L$19=$B$170,+(EXP((LN(+'4. Customer Growth'!$W$42)/12))*$J149),IF($L$19=$B$171,+$A150*$C$178+#REF!,0)))</f>
        <v>30</v>
      </c>
      <c r="M150" s="616">
        <f>IF(M$19=$B$169,+AVERAGE(M30,M42,M54,M66,M78,M90,M102,M114,M126,M138),+IF(M$19=$B$170,+(EXP((LN(+'4. Customer Growth'!$W$42)/12))*$M149),IF($M$19=$B$171,+$A150*$C$180+#REF!,0)))</f>
        <v>9.2799999999999994</v>
      </c>
      <c r="N150" s="616">
        <f>IF(N$19=$B$169,+AVERAGE(N30,N42,N54,N66,N78,N90,N102,N114,N126,N138),+IF(N$19=$B$170,+(EXP((LN(+'4. Customer Growth'!$W$42)/12))*$N149),IF($N$19=$B$171,+$A150*$C$181+#REF!,0)))</f>
        <v>0</v>
      </c>
      <c r="O150" s="928">
        <v>0</v>
      </c>
      <c r="P150" s="200"/>
      <c r="Q150" s="469">
        <f t="shared" si="11"/>
        <v>7411371.5244496185</v>
      </c>
      <c r="R150" s="216"/>
      <c r="S150" s="200"/>
      <c r="T150" s="200"/>
      <c r="U150" s="200"/>
      <c r="V150" s="200"/>
      <c r="W150" s="200"/>
      <c r="X150" s="200"/>
      <c r="Y150" s="200"/>
      <c r="Z150" s="200"/>
      <c r="AA150" s="200"/>
      <c r="AB150" s="200"/>
      <c r="AC150" s="200"/>
      <c r="AD150" s="200"/>
      <c r="AE150" s="200"/>
      <c r="AF150" s="200"/>
      <c r="AG150" s="200"/>
      <c r="AH150" s="200"/>
      <c r="AI150" s="200"/>
      <c r="AJ150" s="200"/>
      <c r="AK150" s="200"/>
      <c r="AL150" s="200"/>
    </row>
    <row r="151" spans="1:38">
      <c r="A151" s="435">
        <f t="shared" si="12"/>
        <v>132</v>
      </c>
      <c r="B151" s="871" t="str">
        <f>CONCATENATE('3. Consumption by Rate Class'!B156,"-",'3. Consumption by Rate Class'!C156)</f>
        <v>2023-December</v>
      </c>
      <c r="C151" s="591"/>
      <c r="D151" s="653"/>
      <c r="E151" s="226"/>
      <c r="F151" s="226"/>
      <c r="G151" s="226"/>
      <c r="H151" s="226"/>
      <c r="I151" s="201"/>
      <c r="J151" s="616">
        <f>IF(J$19=$B$169,+AVERAGE(J31,J43,J55,J67,J79,J91,J103,J115,J127,J139),+IF(J$19=$B$170,+(EXP((LN(+'4. Customer Growth'!$W$42)/12))*$J150),IF($J$19=$B$171,+$A151*$C$176+#REF!,0)))</f>
        <v>715.29</v>
      </c>
      <c r="K151" s="616">
        <f>IF(K$19=$B$169,+AVERAGE(K31,K43,K55,K67,K79,K91,K103,K115,K127,K139),+IF(K$19=$B$170,+(EXP((LN(+'4. Customer Growth'!$W$42)/12))*$J150),IF($K$19=$B$171,+$A151*$C$177+#REF!,0)))</f>
        <v>0</v>
      </c>
      <c r="L151" s="616">
        <f>IF(L$19=$B$169,+AVERAGE(L31,L43,L55,L67,L79,L91,L103,L115,L127,L139),+IF(L$19=$B$170,+(EXP((LN(+'4. Customer Growth'!$W$42)/12))*$J150),IF($L$19=$B$171,+$A151*$C$178+#REF!,0)))</f>
        <v>31</v>
      </c>
      <c r="M151" s="616">
        <f>IF(M$19=$B$169,+AVERAGE(M31,M43,M55,M67,M79,M91,M103,M115,M127,M139),+IF(M$19=$B$170,+(EXP((LN(+'4. Customer Growth'!$W$42)/12))*$M150),IF($M$19=$B$171,+$A151*$C$180+#REF!,0)))</f>
        <v>8.4700000000000006</v>
      </c>
      <c r="N151" s="616">
        <f>IF(N$19=$B$169,+AVERAGE(N31,N43,N55,N67,N79,N91,N103,N115,N127,N139),+IF(N$19=$B$170,+(EXP((LN(+'4. Customer Growth'!$W$42)/12))*$N150),IF($N$19=$B$171,+$A151*$C$181+#REF!,0)))</f>
        <v>0</v>
      </c>
      <c r="O151" s="928">
        <v>0</v>
      </c>
      <c r="P151" s="200"/>
      <c r="Q151" s="469">
        <f t="shared" si="11"/>
        <v>8194530.7544833254</v>
      </c>
      <c r="R151" s="216">
        <f>SUM(Q140:Q151)</f>
        <v>89215672.476831317</v>
      </c>
      <c r="S151" s="200"/>
      <c r="T151" s="200"/>
      <c r="U151" s="200"/>
      <c r="V151" s="200"/>
      <c r="W151" s="200"/>
      <c r="X151" s="200"/>
      <c r="Y151" s="200"/>
      <c r="Z151" s="200"/>
      <c r="AA151" s="200"/>
      <c r="AB151" s="200"/>
      <c r="AC151" s="200"/>
      <c r="AD151" s="200"/>
      <c r="AE151" s="200"/>
      <c r="AF151" s="200"/>
      <c r="AG151" s="200"/>
      <c r="AH151" s="200"/>
      <c r="AI151" s="200"/>
      <c r="AJ151" s="200"/>
      <c r="AK151" s="200"/>
      <c r="AL151" s="200"/>
    </row>
    <row r="152" spans="1:38">
      <c r="A152" s="435">
        <f t="shared" si="12"/>
        <v>133</v>
      </c>
      <c r="B152" s="871" t="str">
        <f>CONCATENATE('3. Consumption by Rate Class'!B157,"-",'3. Consumption by Rate Class'!C157)</f>
        <v>2024-January</v>
      </c>
      <c r="C152" s="591"/>
      <c r="D152" s="653"/>
      <c r="E152" s="226"/>
      <c r="F152" s="226"/>
      <c r="G152" s="226"/>
      <c r="H152" s="226"/>
      <c r="I152" s="201"/>
      <c r="J152" s="616">
        <f>IF(J$19=$B$169,+AVERAGE(J32,J44,J56,J68,J80,J92,J104,J116,J128,J140),+IF(J$19=$B$170,+(EXP((LN(+'4. Customer Growth'!$W$43)/12))*$J151),IF($J$19=$B$171,+$A152*$C$176+#REF!,0)))</f>
        <v>862.7360000000001</v>
      </c>
      <c r="K152" s="616">
        <f>IF(K$19=$B$169,+AVERAGE(K32,K44,K56,K68,K80,K92,K104,K116,K128,K140),+IF(K$19=$B$170,+(EXP((LN(+'4. Customer Growth'!$W$43)/12))*$J151),IF($K$19=$B$171,+$A152*$C$177+#REF!,0)))</f>
        <v>0</v>
      </c>
      <c r="L152" s="616">
        <f>IF(L$19=$B$169,+AVERAGE(L32,L44,L56,L68,L80,L92,L104,L116,L128,L140),+IF(L$19=$B$170,+(EXP((LN(+'4. Customer Growth'!$W$43)/12))*$J151),IF($L$19=$B$171,+$A152*$C$178+#REF!,0)))</f>
        <v>31</v>
      </c>
      <c r="M152" s="616">
        <f>IF(M$19=$B$169,+AVERAGE(M32,M44,M56,M68,M80,M92,M104,M116,M128,M140),+IF(M$19=$B$170,+(EXP((LN(+'4. Customer Growth'!$W$43)/12))*$M151),IF($M$19=$B$171,+$A152*$C$180+#REF!,0)))</f>
        <v>9.0900000000000016</v>
      </c>
      <c r="N152" s="616">
        <f>IF(N$19=$B$169,+AVERAGE(N32,N44,N56,N68,N80,N92,N104,N116,N128,N140),+IF(N$19=$B$170,+(EXP((LN(+'4. Customer Growth'!$W$43)/12))*$N151),IF($N$19=$B$171,+$A152*$C$181+#REF!,0)))</f>
        <v>0</v>
      </c>
      <c r="O152" s="928">
        <v>0</v>
      </c>
      <c r="P152" s="200"/>
      <c r="Q152" s="469">
        <f t="shared" si="11"/>
        <v>8629823.5983056761</v>
      </c>
      <c r="R152" s="216"/>
      <c r="S152" s="200"/>
      <c r="T152" s="200"/>
      <c r="U152" s="200"/>
      <c r="V152" s="200"/>
      <c r="W152" s="200"/>
      <c r="X152" s="200"/>
      <c r="Y152" s="200"/>
      <c r="Z152" s="200"/>
      <c r="AA152" s="200"/>
      <c r="AB152" s="200"/>
      <c r="AC152" s="200"/>
      <c r="AD152" s="200"/>
      <c r="AE152" s="200"/>
      <c r="AF152" s="200"/>
      <c r="AG152" s="200"/>
      <c r="AH152" s="200"/>
      <c r="AI152" s="200"/>
      <c r="AJ152" s="200"/>
      <c r="AK152" s="200"/>
      <c r="AL152" s="200"/>
    </row>
    <row r="153" spans="1:38">
      <c r="A153" s="435">
        <f t="shared" si="12"/>
        <v>134</v>
      </c>
      <c r="B153" s="871" t="str">
        <f>CONCATENATE('3. Consumption by Rate Class'!B158,"-",'3. Consumption by Rate Class'!C158)</f>
        <v>2024-February</v>
      </c>
      <c r="C153" s="591"/>
      <c r="D153" s="653"/>
      <c r="E153" s="226"/>
      <c r="F153" s="226"/>
      <c r="G153" s="226"/>
      <c r="H153" s="226"/>
      <c r="I153" s="201"/>
      <c r="J153" s="616">
        <f>IF(J$19=$B$169,+AVERAGE(J33,J45,J57,J69,J81,J93,J105,J117,J129,J141),+IF(J$19=$B$170,+(EXP((LN(+'4. Customer Growth'!$W$43)/12))*$J152),IF($J$19=$B$171,+$A153*$C$176+#REF!,0)))</f>
        <v>745.20899999999995</v>
      </c>
      <c r="K153" s="616">
        <f>IF(K$19=$B$169,+AVERAGE(K33,K45,K57,K69,K81,K93,K105,K117,K129,K141),+IF(K$19=$B$170,+(EXP((LN(+'4. Customer Growth'!$W$43)/12))*$J152),IF($K$19=$B$171,+$A153*$C$177+#REF!,0)))</f>
        <v>0</v>
      </c>
      <c r="L153" s="616">
        <f>IF(L$19=$B$169,+AVERAGE(L33,L45,L57,L69,L81,L93,L105,L117,L129,L141),+IF(L$19=$B$170,+(EXP((LN(+'4. Customer Growth'!$W$43)/12))*$J152),IF($L$19=$B$171,+$A153*$C$178+#REF!,0)))</f>
        <v>28.22</v>
      </c>
      <c r="M153" s="616">
        <f>IF(M$19=$B$169,+AVERAGE(M33,M45,M57,M69,M81,M93,M105,M117,M129,M141),+IF(M$19=$B$170,+(EXP((LN(+'4. Customer Growth'!$W$43)/12))*$M152),IF($M$19=$B$171,+$A153*$C$180+#REF!,0)))</f>
        <v>10.19</v>
      </c>
      <c r="N153" s="616">
        <f>IF(N$19=$B$169,+AVERAGE(N33,N45,N57,N69,N81,N93,N105,N117,N129,N141),+IF(N$19=$B$170,+(EXP((LN(+'4. Customer Growth'!$W$43)/12))*$N152),IF($N$19=$B$171,+$A153*$C$181+#REF!,0)))</f>
        <v>0</v>
      </c>
      <c r="O153" s="928">
        <v>0</v>
      </c>
      <c r="P153" s="200"/>
      <c r="Q153" s="469">
        <f t="shared" si="11"/>
        <v>7842950.0935967639</v>
      </c>
      <c r="R153" s="216"/>
      <c r="S153" s="200"/>
      <c r="T153" s="200"/>
      <c r="U153" s="200"/>
      <c r="V153" s="200"/>
      <c r="W153" s="200"/>
      <c r="X153" s="200"/>
      <c r="Y153" s="200"/>
      <c r="Z153" s="200"/>
      <c r="AA153" s="200"/>
      <c r="AB153" s="200"/>
      <c r="AC153" s="200"/>
      <c r="AD153" s="200"/>
      <c r="AE153" s="200"/>
      <c r="AF153" s="200"/>
      <c r="AG153" s="200"/>
      <c r="AH153" s="200"/>
      <c r="AI153" s="200"/>
      <c r="AJ153" s="200"/>
      <c r="AK153" s="200"/>
      <c r="AL153" s="200"/>
    </row>
    <row r="154" spans="1:38">
      <c r="A154" s="435">
        <f t="shared" si="12"/>
        <v>135</v>
      </c>
      <c r="B154" s="871" t="str">
        <f>CONCATENATE('3. Consumption by Rate Class'!B159,"-",'3. Consumption by Rate Class'!C159)</f>
        <v>2024-March</v>
      </c>
      <c r="C154" s="591"/>
      <c r="D154" s="653"/>
      <c r="E154" s="226"/>
      <c r="F154" s="226"/>
      <c r="G154" s="226"/>
      <c r="H154" s="226"/>
      <c r="I154" s="201"/>
      <c r="J154" s="616">
        <f>IF(J$19=$B$169,+AVERAGE(J34,J46,J58,J70,J82,J94,J106,J118,J130,J142),+IF(J$19=$B$170,+(EXP((LN(+'4. Customer Growth'!$W$43)/12))*$J153),IF($J$19=$B$171,+$A154*$C$176+#REF!,0)))</f>
        <v>647.327</v>
      </c>
      <c r="K154" s="616">
        <f>IF(K$19=$B$169,+AVERAGE(K34,K46,K58,K70,K82,K94,K106,K118,K130,K142),+IF(K$19=$B$170,+(EXP((LN(+'4. Customer Growth'!$W$43)/12))*$J153),IF($K$19=$B$171,+$A154*$C$177+#REF!,0)))</f>
        <v>0</v>
      </c>
      <c r="L154" s="616">
        <f>IF(L$19=$B$169,+AVERAGE(L34,L46,L58,L70,L82,L94,L106,L118,L130,L142),+IF(L$19=$B$170,+(EXP((LN(+'4. Customer Growth'!$W$43)/12))*$J153),IF($L$19=$B$171,+$A154*$C$178+#REF!,0)))</f>
        <v>31</v>
      </c>
      <c r="M154" s="616">
        <f>IF(M$19=$B$169,+AVERAGE(M34,M46,M58,M70,M82,M94,M106,M118,M130,M142),+IF(M$19=$B$170,+(EXP((LN(+'4. Customer Growth'!$W$43)/12))*$M153),IF($M$19=$B$171,+$A154*$C$180+#REF!,0)))</f>
        <v>11.510000000000002</v>
      </c>
      <c r="N154" s="616">
        <f>IF(N$19=$B$169,+AVERAGE(N34,N46,N58,N70,N82,N94,N106,N118,N130,N142),+IF(N$19=$B$170,+(EXP((LN(+'4. Customer Growth'!$W$43)/12))*$N153),IF($N$19=$B$171,+$A154*$C$181+#REF!,0)))</f>
        <v>0</v>
      </c>
      <c r="O154" s="928">
        <v>0</v>
      </c>
      <c r="P154" s="200"/>
      <c r="Q154" s="469">
        <f t="shared" si="11"/>
        <v>7993889.1124944035</v>
      </c>
      <c r="R154" s="216"/>
      <c r="S154" s="200"/>
      <c r="T154" s="200"/>
      <c r="U154" s="200"/>
      <c r="V154" s="200"/>
      <c r="W154" s="200"/>
      <c r="X154" s="200"/>
      <c r="Y154" s="200"/>
      <c r="Z154" s="200"/>
      <c r="AA154" s="200"/>
      <c r="AB154" s="200"/>
      <c r="AC154" s="200"/>
      <c r="AD154" s="200"/>
      <c r="AE154" s="200"/>
      <c r="AF154" s="200"/>
      <c r="AG154" s="200"/>
      <c r="AH154" s="200"/>
      <c r="AI154" s="200"/>
      <c r="AJ154" s="200"/>
      <c r="AK154" s="200"/>
      <c r="AL154" s="200"/>
    </row>
    <row r="155" spans="1:38">
      <c r="A155" s="435">
        <f t="shared" si="12"/>
        <v>136</v>
      </c>
      <c r="B155" s="871" t="str">
        <f>CONCATENATE('3. Consumption by Rate Class'!B160,"-",'3. Consumption by Rate Class'!C160)</f>
        <v>2024-April</v>
      </c>
      <c r="C155" s="591"/>
      <c r="D155" s="653"/>
      <c r="E155" s="226"/>
      <c r="F155" s="226"/>
      <c r="G155" s="226"/>
      <c r="H155" s="226"/>
      <c r="I155" s="201"/>
      <c r="J155" s="616">
        <f>IF(J$19=$B$169,+AVERAGE(J35,J47,J59,J71,J83,J95,J107,J119,J131,J143),+IF(J$19=$B$170,+(EXP((LN(+'4. Customer Growth'!$W$43)/12))*$J154),IF($J$19=$B$171,+$A155*$C$176+#REF!,0)))</f>
        <v>376.10700000000003</v>
      </c>
      <c r="K155" s="616">
        <f>IF(K$19=$B$169,+AVERAGE(K35,K47,K59,K71,K83,K95,K107,K119,K131,K143),+IF(K$19=$B$170,+(EXP((LN(+'4. Customer Growth'!$W$43)/12))*$J154),IF($K$19=$B$171,+$A155*$C$177+#REF!,0)))</f>
        <v>0.13199999999999998</v>
      </c>
      <c r="L155" s="616">
        <f>IF(L$19=$B$169,+AVERAGE(L35,L47,L59,L71,L83,L95,L107,L119,L131,L143),+IF(L$19=$B$170,+(EXP((LN(+'4. Customer Growth'!$W$43)/12))*$J154),IF($L$19=$B$171,+$A155*$C$178+#REF!,0)))</f>
        <v>30</v>
      </c>
      <c r="M155" s="616">
        <f>IF(M$19=$B$169,+AVERAGE(M35,M47,M59,M71,M83,M95,M107,M119,M131,M143),+IF(M$19=$B$170,+(EXP((LN(+'4. Customer Growth'!$W$43)/12))*$M154),IF($M$19=$B$171,+$A155*$C$180+#REF!,0)))</f>
        <v>13.279999999999998</v>
      </c>
      <c r="N155" s="616">
        <f>IF(N$19=$B$169,+AVERAGE(N35,N47,N59,N71,N83,N95,N107,N119,N131,N143),+IF(N$19=$B$170,+(EXP((LN(+'4. Customer Growth'!$W$43)/12))*$N154),IF($N$19=$B$171,+$A155*$C$181+#REF!,0)))</f>
        <v>0</v>
      </c>
      <c r="O155" s="928">
        <v>0</v>
      </c>
      <c r="P155" s="200"/>
      <c r="Q155" s="469">
        <f t="shared" si="11"/>
        <v>7036975.4471905306</v>
      </c>
      <c r="R155" s="216"/>
      <c r="S155" s="200"/>
      <c r="T155" s="200"/>
      <c r="U155" s="200"/>
      <c r="V155" s="200"/>
      <c r="W155" s="200"/>
      <c r="X155" s="200"/>
      <c r="Y155" s="200"/>
      <c r="Z155" s="200"/>
      <c r="AA155" s="200"/>
      <c r="AB155" s="200"/>
      <c r="AC155" s="200"/>
      <c r="AD155" s="200"/>
      <c r="AE155" s="200"/>
      <c r="AF155" s="200"/>
      <c r="AG155" s="200"/>
      <c r="AH155" s="200"/>
      <c r="AI155" s="200"/>
      <c r="AJ155" s="200"/>
      <c r="AK155" s="200"/>
      <c r="AL155" s="200"/>
    </row>
    <row r="156" spans="1:38">
      <c r="A156" s="435">
        <f t="shared" si="12"/>
        <v>137</v>
      </c>
      <c r="B156" s="871" t="str">
        <f>CONCATENATE('3. Consumption by Rate Class'!B161,"-",'3. Consumption by Rate Class'!C161)</f>
        <v>2024-May</v>
      </c>
      <c r="C156" s="591"/>
      <c r="D156" s="653"/>
      <c r="E156" s="226"/>
      <c r="F156" s="226"/>
      <c r="G156" s="226"/>
      <c r="H156" s="226"/>
      <c r="I156" s="201"/>
      <c r="J156" s="616">
        <f>IF(J$19=$B$169,+AVERAGE(J36,J48,J60,J72,J84,J96,J108,J120,J132,J144),+IF(J$19=$B$170,+(EXP((LN(+'4. Customer Growth'!$W$43)/12))*$J155),IF($J$19=$B$171,+$A156*$C$176+#REF!,0)))</f>
        <v>151.02000000000001</v>
      </c>
      <c r="K156" s="616">
        <f>IF(K$19=$B$169,+AVERAGE(K36,K48,K60,K72,K84,K96,K108,K120,K132,K144),+IF(K$19=$B$170,+(EXP((LN(+'4. Customer Growth'!$W$43)/12))*$J155),IF($K$19=$B$171,+$A156*$C$177+#REF!,0)))</f>
        <v>18.149000000000001</v>
      </c>
      <c r="L156" s="616">
        <f>IF(L$19=$B$169,+AVERAGE(L36,L48,L60,L72,L84,L96,L108,L120,L132,L144),+IF(L$19=$B$170,+(EXP((LN(+'4. Customer Growth'!$W$43)/12))*$J155),IF($L$19=$B$171,+$A156*$C$178+#REF!,0)))</f>
        <v>31</v>
      </c>
      <c r="M156" s="616">
        <f>IF(M$19=$B$169,+AVERAGE(M36,M48,M60,M72,M84,M96,M108,M120,M132,M144),+IF(M$19=$B$170,+(EXP((LN(+'4. Customer Growth'!$W$43)/12))*$M155),IF($M$19=$B$171,+$A156*$C$180+#REF!,0)))</f>
        <v>14.52</v>
      </c>
      <c r="N156" s="616">
        <f>IF(N$19=$B$169,+AVERAGE(N36,N48,N60,N72,N84,N96,N108,N120,N132,N144),+IF(N$19=$B$170,+(EXP((LN(+'4. Customer Growth'!$W$43)/12))*$N155),IF($N$19=$B$171,+$A156*$C$181+#REF!,0)))</f>
        <v>0</v>
      </c>
      <c r="O156" s="928">
        <v>0</v>
      </c>
      <c r="P156" s="200"/>
      <c r="Q156" s="469">
        <f t="shared" si="11"/>
        <v>6807437.4164256835</v>
      </c>
      <c r="R156" s="216"/>
      <c r="S156" s="200"/>
      <c r="T156" s="200"/>
      <c r="U156" s="200"/>
      <c r="V156" s="200"/>
      <c r="W156" s="200"/>
      <c r="X156" s="200"/>
      <c r="Y156" s="200"/>
      <c r="Z156" s="200"/>
      <c r="AA156" s="200"/>
      <c r="AB156" s="200"/>
      <c r="AC156" s="200"/>
      <c r="AD156" s="200"/>
      <c r="AE156" s="200"/>
      <c r="AF156" s="200"/>
      <c r="AG156" s="200"/>
      <c r="AH156" s="200"/>
      <c r="AI156" s="200"/>
      <c r="AJ156" s="200"/>
      <c r="AK156" s="200"/>
      <c r="AL156" s="200"/>
    </row>
    <row r="157" spans="1:38">
      <c r="A157" s="435">
        <f t="shared" si="12"/>
        <v>138</v>
      </c>
      <c r="B157" s="871" t="str">
        <f>CONCATENATE('3. Consumption by Rate Class'!B162,"-",'3. Consumption by Rate Class'!C162)</f>
        <v>2024-June</v>
      </c>
      <c r="C157" s="591"/>
      <c r="D157" s="653"/>
      <c r="E157" s="226"/>
      <c r="F157" s="226"/>
      <c r="G157" s="226"/>
      <c r="H157" s="226"/>
      <c r="I157" s="201"/>
      <c r="J157" s="616">
        <f>IF(J$19=$B$169,+AVERAGE(J37,J49,J61,J73,J85,J97,J109,J121,J133,J145),+IF(J$19=$B$170,+(EXP((LN(+'4. Customer Growth'!$W$43)/12))*$J156),IF($J$19=$B$171,+$A157*$C$176+#REF!,0)))</f>
        <v>37.886000000000003</v>
      </c>
      <c r="K157" s="616">
        <f>IF(K$19=$B$169,+AVERAGE(K37,K49,K61,K73,K85,K97,K109,K121,K133,K145),+IF(K$19=$B$170,+(EXP((LN(+'4. Customer Growth'!$W$43)/12))*$J156),IF($K$19=$B$171,+$A157*$C$177+#REF!,0)))</f>
        <v>47.616999999999997</v>
      </c>
      <c r="L157" s="616">
        <f>IF(L$19=$B$169,+AVERAGE(L37,L49,L61,L73,L85,L97,L109,L121,L133,L145),+IF(L$19=$B$170,+(EXP((LN(+'4. Customer Growth'!$W$43)/12))*$J156),IF($L$19=$B$171,+$A157*$C$178+#REF!,0)))</f>
        <v>30</v>
      </c>
      <c r="M157" s="616">
        <f>IF(M$19=$B$169,+AVERAGE(M37,M49,M61,M73,M85,M97,M109,M121,M133,M145),+IF(M$19=$B$170,+(EXP((LN(+'4. Customer Growth'!$W$43)/12))*$M156),IF($M$19=$B$171,+$A157*$C$180+#REF!,0)))</f>
        <v>15.349999999999998</v>
      </c>
      <c r="N157" s="616">
        <f>IF(N$19=$B$169,+AVERAGE(N37,N49,N61,N73,N85,N97,N109,N121,N133,N145),+IF(N$19=$B$170,+(EXP((LN(+'4. Customer Growth'!$W$43)/12))*$N156),IF($N$19=$B$171,+$A157*$C$181+#REF!,0)))</f>
        <v>0</v>
      </c>
      <c r="O157" s="928">
        <v>0</v>
      </c>
      <c r="P157" s="200"/>
      <c r="Q157" s="469">
        <f t="shared" si="11"/>
        <v>6767807.322164407</v>
      </c>
      <c r="R157" s="216"/>
      <c r="S157" s="200"/>
      <c r="T157" s="200"/>
      <c r="U157" s="200"/>
      <c r="V157" s="200"/>
      <c r="W157" s="200"/>
      <c r="X157" s="200"/>
      <c r="Y157" s="200"/>
      <c r="Z157" s="200"/>
      <c r="AA157" s="200"/>
      <c r="AB157" s="200"/>
      <c r="AC157" s="200"/>
      <c r="AD157" s="200"/>
      <c r="AE157" s="200"/>
      <c r="AF157" s="200"/>
      <c r="AG157" s="200"/>
      <c r="AH157" s="200"/>
      <c r="AI157" s="200"/>
      <c r="AJ157" s="200"/>
      <c r="AK157" s="200"/>
      <c r="AL157" s="200"/>
    </row>
    <row r="158" spans="1:38">
      <c r="A158" s="435">
        <f t="shared" si="12"/>
        <v>139</v>
      </c>
      <c r="B158" s="871" t="str">
        <f>CONCATENATE('3. Consumption by Rate Class'!B163,"-",'3. Consumption by Rate Class'!C163)</f>
        <v>2024-July</v>
      </c>
      <c r="C158" s="591"/>
      <c r="D158" s="653"/>
      <c r="E158" s="226"/>
      <c r="F158" s="226"/>
      <c r="G158" s="226"/>
      <c r="H158" s="226"/>
      <c r="I158" s="201"/>
      <c r="J158" s="616">
        <f>IF(J$19=$B$169,+AVERAGE(J38,J50,J62,J74,J86,J98,J110,J122,J134,J146),+IF(J$19=$B$170,+(EXP((LN(+'4. Customer Growth'!$W$43)/12))*$J157),IF($J$19=$B$171,+$A158*$C$176+#REF!,0)))</f>
        <v>4.7960000000000012</v>
      </c>
      <c r="K158" s="616">
        <f>IF(K$19=$B$169,+AVERAGE(K38,K50,K62,K74,K86,K98,K110,K122,K134,K146),+IF(K$19=$B$170,+(EXP((LN(+'4. Customer Growth'!$W$43)/12))*$J157),IF($K$19=$B$171,+$A158*$C$177+#REF!,0)))</f>
        <v>108.075</v>
      </c>
      <c r="L158" s="616">
        <f>IF(L$19=$B$169,+AVERAGE(L38,L50,L62,L74,L86,L98,L110,L122,L134,L146),+IF(L$19=$B$170,+(EXP((LN(+'4. Customer Growth'!$W$43)/12))*$J157),IF($L$19=$B$171,+$A158*$C$178+#REF!,0)))</f>
        <v>31</v>
      </c>
      <c r="M158" s="616">
        <f>IF(M$19=$B$169,+AVERAGE(M38,M50,M62,M74,M86,M98,M110,M122,M134,M146),+IF(M$19=$B$170,+(EXP((LN(+'4. Customer Growth'!$W$43)/12))*$M157),IF($M$19=$B$171,+$A158*$C$180+#REF!,0)))</f>
        <v>15.150000000000002</v>
      </c>
      <c r="N158" s="616">
        <f>IF(N$19=$B$169,+AVERAGE(N38,N50,N62,N74,N86,N98,N110,N122,N134,N146),+IF(N$19=$B$170,+(EXP((LN(+'4. Customer Growth'!$W$43)/12))*$N157),IF($N$19=$B$171,+$A158*$C$181+#REF!,0)))</f>
        <v>0</v>
      </c>
      <c r="O158" s="928">
        <v>0</v>
      </c>
      <c r="P158" s="200"/>
      <c r="Q158" s="469">
        <f t="shared" si="11"/>
        <v>7756948.5955736386</v>
      </c>
      <c r="R158" s="216"/>
      <c r="S158" s="200"/>
      <c r="T158" s="200"/>
      <c r="U158" s="200"/>
      <c r="V158" s="200"/>
      <c r="W158" s="200"/>
      <c r="X158" s="200"/>
      <c r="Y158" s="200"/>
      <c r="Z158" s="200"/>
      <c r="AA158" s="200"/>
      <c r="AB158" s="200"/>
      <c r="AC158" s="200"/>
      <c r="AD158" s="200"/>
      <c r="AE158" s="200"/>
      <c r="AF158" s="200"/>
      <c r="AG158" s="200"/>
      <c r="AH158" s="200"/>
      <c r="AI158" s="200"/>
      <c r="AJ158" s="200"/>
      <c r="AK158" s="200"/>
      <c r="AL158" s="200"/>
    </row>
    <row r="159" spans="1:38">
      <c r="A159" s="435">
        <f t="shared" si="12"/>
        <v>140</v>
      </c>
      <c r="B159" s="871" t="str">
        <f>CONCATENATE('3. Consumption by Rate Class'!B164,"-",'3. Consumption by Rate Class'!C164)</f>
        <v>2024-August</v>
      </c>
      <c r="C159" s="591"/>
      <c r="D159" s="653"/>
      <c r="E159" s="226"/>
      <c r="F159" s="226"/>
      <c r="G159" s="226"/>
      <c r="H159" s="226"/>
      <c r="I159" s="201"/>
      <c r="J159" s="616">
        <f>IF(J$19=$B$169,+AVERAGE(J39,J51,J63,J75,J87,J99,J111,J123,J135,J147),+IF(J$19=$B$170,+(EXP((LN(+'4. Customer Growth'!$W$43)/12))*$J158),IF($J$19=$B$171,+$A159*$C$176+#REF!,0)))</f>
        <v>11.145</v>
      </c>
      <c r="K159" s="616">
        <f>IF(K$19=$B$169,+AVERAGE(K39,K51,K63,K75,K87,K99,K111,K123,K135,K147),+IF(K$19=$B$170,+(EXP((LN(+'4. Customer Growth'!$W$43)/12))*$J158),IF($K$19=$B$171,+$A159*$C$177+#REF!,0)))</f>
        <v>84.128000000000014</v>
      </c>
      <c r="L159" s="616">
        <f>IF(L$19=$B$169,+AVERAGE(L39,L51,L63,L75,L87,L99,L111,L123,L135,L147),+IF(L$19=$B$170,+(EXP((LN(+'4. Customer Growth'!$W$43)/12))*$J158),IF($L$19=$B$171,+$A159*$C$178+#REF!,0)))</f>
        <v>31</v>
      </c>
      <c r="M159" s="616">
        <f>IF(M$19=$B$169,+AVERAGE(M39,M51,M63,M75,M87,M99,M111,M123,M135,M147),+IF(M$19=$B$170,+(EXP((LN(+'4. Customer Growth'!$W$43)/12))*$M158),IF($M$19=$B$171,+$A159*$C$180+#REF!,0)))</f>
        <v>14.029999999999998</v>
      </c>
      <c r="N159" s="616">
        <f>IF(N$19=$B$169,+AVERAGE(N39,N51,N63,N75,N87,N99,N111,N123,N135,N147),+IF(N$19=$B$170,+(EXP((LN(+'4. Customer Growth'!$W$43)/12))*$N158),IF($N$19=$B$171,+$A159*$C$181+#REF!,0)))</f>
        <v>0</v>
      </c>
      <c r="O159" s="928">
        <v>0</v>
      </c>
      <c r="P159" s="200"/>
      <c r="Q159" s="469">
        <f t="shared" si="11"/>
        <v>7407884.1404520981</v>
      </c>
      <c r="R159" s="216"/>
      <c r="S159" s="200"/>
      <c r="T159" s="200"/>
      <c r="U159" s="200"/>
      <c r="V159" s="200"/>
      <c r="W159" s="200"/>
      <c r="X159" s="200"/>
      <c r="Y159" s="200"/>
      <c r="Z159" s="200"/>
      <c r="AA159" s="200"/>
      <c r="AB159" s="200"/>
      <c r="AC159" s="200"/>
      <c r="AD159" s="200"/>
      <c r="AE159" s="200"/>
      <c r="AF159" s="200"/>
      <c r="AG159" s="200"/>
      <c r="AH159" s="200"/>
      <c r="AI159" s="200"/>
      <c r="AJ159" s="200"/>
      <c r="AK159" s="200"/>
      <c r="AL159" s="200"/>
    </row>
    <row r="160" spans="1:38">
      <c r="A160" s="435">
        <f t="shared" si="12"/>
        <v>141</v>
      </c>
      <c r="B160" s="871" t="str">
        <f>CONCATENATE('3. Consumption by Rate Class'!B165,"-",'3. Consumption by Rate Class'!C165)</f>
        <v>2024-September</v>
      </c>
      <c r="C160" s="591"/>
      <c r="D160" s="653"/>
      <c r="E160" s="226"/>
      <c r="F160" s="226"/>
      <c r="G160" s="226"/>
      <c r="H160" s="226"/>
      <c r="I160" s="201"/>
      <c r="J160" s="616">
        <f>IF(J$19=$B$169,+AVERAGE(J40,J52,J64,J76,J88,J100,J112,J124,J136,J148),+IF(J$19=$B$170,+(EXP((LN(+'4. Customer Growth'!$W$43)/12))*$J159),IF($J$19=$B$171,+$A160*$C$176+#REF!,0)))</f>
        <v>90.432000000000002</v>
      </c>
      <c r="K160" s="616">
        <f>IF(K$19=$B$169,+AVERAGE(K40,K52,K64,K76,K88,K100,K112,K124,K136,K148),+IF(K$19=$B$170,+(EXP((LN(+'4. Customer Growth'!$W$43)/12))*$J159),IF($K$19=$B$171,+$A160*$C$177+#REF!,0)))</f>
        <v>25.312999999999999</v>
      </c>
      <c r="L160" s="616">
        <f>IF(L$19=$B$169,+AVERAGE(L40,L52,L64,L76,L88,L100,L112,L124,L136,L148),+IF(L$19=$B$170,+(EXP((LN(+'4. Customer Growth'!$W$43)/12))*$J159),IF($L$19=$B$171,+$A160*$C$178+#REF!,0)))</f>
        <v>30</v>
      </c>
      <c r="M160" s="616">
        <f>IF(M$19=$B$169,+AVERAGE(M40,M52,M64,M76,M88,M100,M112,M124,M136,M148),+IF(M$19=$B$170,+(EXP((LN(+'4. Customer Growth'!$W$43)/12))*$M159),IF($M$19=$B$171,+$A160*$C$180+#REF!,0)))</f>
        <v>12.289999999999997</v>
      </c>
      <c r="N160" s="616">
        <f>IF(N$19=$B$169,+AVERAGE(N40,N52,N64,N76,N88,N100,N112,N124,N136,N148),+IF(N$19=$B$170,+(EXP((LN(+'4. Customer Growth'!$W$43)/12))*$N159),IF($N$19=$B$171,+$A160*$C$181+#REF!,0)))</f>
        <v>0</v>
      </c>
      <c r="O160" s="928">
        <v>0</v>
      </c>
      <c r="P160" s="200"/>
      <c r="Q160" s="469">
        <f t="shared" si="11"/>
        <v>6580361.7728284653</v>
      </c>
      <c r="R160" s="216"/>
      <c r="S160" s="200"/>
      <c r="T160" s="200"/>
      <c r="U160" s="200"/>
      <c r="V160" s="200"/>
      <c r="W160" s="200"/>
      <c r="X160" s="200"/>
      <c r="Y160" s="200"/>
      <c r="Z160" s="200"/>
      <c r="AA160" s="200"/>
      <c r="AB160" s="200"/>
      <c r="AC160" s="200"/>
      <c r="AD160" s="200"/>
      <c r="AE160" s="200"/>
      <c r="AF160" s="200"/>
      <c r="AG160" s="200"/>
      <c r="AH160" s="200"/>
      <c r="AI160" s="200"/>
      <c r="AJ160" s="200"/>
      <c r="AK160" s="200"/>
      <c r="AL160" s="200"/>
    </row>
    <row r="161" spans="1:38">
      <c r="A161" s="435">
        <f t="shared" si="12"/>
        <v>142</v>
      </c>
      <c r="B161" s="871" t="str">
        <f>CONCATENATE('3. Consumption by Rate Class'!B166,"-",'3. Consumption by Rate Class'!C166)</f>
        <v>2024-October</v>
      </c>
      <c r="C161" s="591"/>
      <c r="D161" s="653"/>
      <c r="E161" s="226"/>
      <c r="F161" s="226"/>
      <c r="G161" s="226"/>
      <c r="H161" s="226"/>
      <c r="I161" s="201"/>
      <c r="J161" s="616">
        <f>IF(J$19=$B$169,+AVERAGE(J41,J53,J65,J77,J89,J101,J113,J125,J137,J149),+IF(J$19=$B$170,+(EXP((LN(+'4. Customer Growth'!$W$43)/12))*$J160),IF($J$19=$B$171,+$A161*$C$176+#REF!,0)))</f>
        <v>280.36099999999999</v>
      </c>
      <c r="K161" s="616">
        <f>IF(K$19=$B$169,+AVERAGE(K41,K53,K65,K77,K89,K101,K113,K125,K137,K149),+IF(K$19=$B$170,+(EXP((LN(+'4. Customer Growth'!$W$43)/12))*$J160),IF($K$19=$B$171,+$A161*$C$177+#REF!,0)))</f>
        <v>0.54600000000000004</v>
      </c>
      <c r="L161" s="616">
        <f>IF(L$19=$B$169,+AVERAGE(L41,L53,L65,L77,L89,L101,L113,L125,L137,L149),+IF(L$19=$B$170,+(EXP((LN(+'4. Customer Growth'!$W$43)/12))*$J160),IF($L$19=$B$171,+$A161*$C$178+#REF!,0)))</f>
        <v>31</v>
      </c>
      <c r="M161" s="616">
        <f>IF(M$19=$B$169,+AVERAGE(M41,M53,M65,M77,M89,M101,M113,M125,M137,M149),+IF(M$19=$B$170,+(EXP((LN(+'4. Customer Growth'!$W$43)/12))*$M160),IF($M$19=$B$171,+$A161*$C$180+#REF!,0)))</f>
        <v>10.510000000000002</v>
      </c>
      <c r="N161" s="616">
        <f>IF(N$19=$B$169,+AVERAGE(N41,N53,N65,N77,N89,N101,N113,N125,N137,N149),+IF(N$19=$B$170,+(EXP((LN(+'4. Customer Growth'!$W$43)/12))*$N160),IF($N$19=$B$171,+$A161*$C$181+#REF!,0)))</f>
        <v>0</v>
      </c>
      <c r="O161" s="928">
        <v>0</v>
      </c>
      <c r="P161" s="200"/>
      <c r="Q161" s="469">
        <f t="shared" si="11"/>
        <v>6918911.3651476176</v>
      </c>
      <c r="R161" s="216"/>
      <c r="S161" s="200"/>
      <c r="T161" s="200"/>
      <c r="U161" s="200"/>
      <c r="V161" s="200"/>
      <c r="W161" s="200"/>
      <c r="X161" s="200"/>
      <c r="Y161" s="200"/>
      <c r="Z161" s="200"/>
      <c r="AA161" s="200"/>
      <c r="AB161" s="200"/>
      <c r="AC161" s="200"/>
      <c r="AD161" s="200"/>
      <c r="AE161" s="200"/>
      <c r="AF161" s="200"/>
      <c r="AG161" s="200"/>
      <c r="AH161" s="200"/>
      <c r="AI161" s="200"/>
      <c r="AJ161" s="200"/>
      <c r="AK161" s="200"/>
      <c r="AL161" s="200"/>
    </row>
    <row r="162" spans="1:38">
      <c r="A162" s="435">
        <f t="shared" si="12"/>
        <v>143</v>
      </c>
      <c r="B162" s="872" t="str">
        <f>CONCATENATE('3. Consumption by Rate Class'!B167,"-",'3. Consumption by Rate Class'!C167)</f>
        <v>2024-November</v>
      </c>
      <c r="C162" s="592"/>
      <c r="D162" s="654"/>
      <c r="E162" s="43"/>
      <c r="F162" s="43"/>
      <c r="G162" s="43"/>
      <c r="H162" s="43"/>
      <c r="J162" s="616">
        <f>IF(J$19=$B$169,+AVERAGE(J42,J54,J66,J78,J90,J102,J114,J126,J138,J150),+IF(J$19=$B$170,+(EXP((LN(+'4. Customer Growth'!$W$43)/12))*$J161),IF($J$19=$B$171,+$A162*$C$176+#REF!,0)))</f>
        <v>497.26400000000001</v>
      </c>
      <c r="K162" s="616">
        <f>IF(K$19=$B$169,+AVERAGE(K42,K54,K66,K78,K90,K102,K114,K126,K138,K150),+IF(K$19=$B$170,+(EXP((LN(+'4. Customer Growth'!$W$43)/12))*$J161),IF($K$19=$B$171,+$A162*$C$177+#REF!,0)))</f>
        <v>0.12100000000000002</v>
      </c>
      <c r="L162" s="616">
        <f>IF(L$19=$B$169,+AVERAGE(L42,L54,L66,L78,L90,L102,L114,L126,L138,L150),+IF(L$19=$B$170,+(EXP((LN(+'4. Customer Growth'!$W$43)/12))*$J161),IF($L$19=$B$171,+$A162*$C$178+#REF!,0)))</f>
        <v>30</v>
      </c>
      <c r="M162" s="616">
        <f>IF(M$19=$B$169,+AVERAGE(M42,M54,M66,M78,M90,M102,M114,M126,M138,M150),+IF(M$19=$B$170,+(EXP((LN(+'4. Customer Growth'!$W$43)/12))*$M161),IF($M$19=$B$171,+$A162*$C$180+#REF!,0)))</f>
        <v>9.2799999999999994</v>
      </c>
      <c r="N162" s="616">
        <f>IF(N$19=$B$169,+AVERAGE(N42,N54,N66,N78,N90,N102,N114,N126,N138,N150),+IF(N$19=$B$170,+(EXP((LN(+'4. Customer Growth'!$W$43)/12))*$N161),IF($N$19=$B$171,+$A162*$C$181+#REF!,0)))</f>
        <v>0</v>
      </c>
      <c r="O162" s="928">
        <v>0</v>
      </c>
      <c r="Q162" s="469">
        <f t="shared" si="11"/>
        <v>7394488.4608382732</v>
      </c>
      <c r="R162" s="179"/>
      <c r="T162" s="200"/>
      <c r="U162" s="200"/>
      <c r="V162" s="200"/>
      <c r="W162" s="200"/>
      <c r="X162" s="200"/>
      <c r="Y162" s="200"/>
    </row>
    <row r="163" spans="1:38">
      <c r="A163" s="435">
        <f t="shared" si="12"/>
        <v>144</v>
      </c>
      <c r="B163" s="872" t="str">
        <f>CONCATENATE('3. Consumption by Rate Class'!B168,"-",'3. Consumption by Rate Class'!C168)</f>
        <v>2024-December</v>
      </c>
      <c r="C163" s="592"/>
      <c r="D163" s="654"/>
      <c r="E163" s="43"/>
      <c r="F163" s="43"/>
      <c r="G163" s="43"/>
      <c r="H163" s="43"/>
      <c r="J163" s="616">
        <f>IF(J$19=$B$169,+AVERAGE(J43,J55,J67,J79,J91,J103,J115,J127,J139,J151),+IF(J$19=$B$170,+(EXP((LN(+'4. Customer Growth'!$W$43)/12))*$J162),IF($J$19=$B$171,+$A163*$C$176+#REF!,0)))</f>
        <v>700.99900000000002</v>
      </c>
      <c r="K163" s="616">
        <f>IF(K$19=$B$169,+AVERAGE(K43,K55,K67,K79,K91,K103,K115,K127,K139,K151),+IF(K$19=$B$170,+(EXP((LN(+'4. Customer Growth'!$W$43)/12))*$J162),IF($K$19=$B$171,+$A163*$C$177+#REF!,0)))</f>
        <v>0</v>
      </c>
      <c r="L163" s="616">
        <f>IF(L$19=$B$169,+AVERAGE(L43,L55,L67,L79,L91,L103,L115,L127,L139,L151),+IF(L$19=$B$170,+(EXP((LN(+'4. Customer Growth'!$W$43)/12))*$J162),IF($L$19=$B$171,+$A163*$C$178+#REF!,0)))</f>
        <v>31</v>
      </c>
      <c r="M163" s="616">
        <f>IF(M$19=$B$169,+AVERAGE(M43,M55,M67,M79,M91,M103,M115,M127,M139,M151),+IF(M$19=$B$170,+(EXP((LN(+'4. Customer Growth'!$W$43)/12))*$M162),IF($M$19=$B$171,+$A163*$C$180+#REF!,0)))</f>
        <v>8.4700000000000006</v>
      </c>
      <c r="N163" s="616">
        <f>IF(N$19=$B$169,+AVERAGE(N43,N55,N67,N79,N91,N103,N115,N127,N139,N151),+IF(N$19=$B$170,+(EXP((LN(+'4. Customer Growth'!$W$43)/12))*$N162),IF($N$19=$B$171,+$A163*$C$181+#REF!,0)))</f>
        <v>0</v>
      </c>
      <c r="O163" s="928">
        <v>0</v>
      </c>
      <c r="Q163" s="469">
        <f t="shared" si="11"/>
        <v>8152340.5965199675</v>
      </c>
      <c r="R163" s="179">
        <f>SUM(Q152:Q163)</f>
        <v>89289817.921537519</v>
      </c>
    </row>
    <row r="164" spans="1:38">
      <c r="B164" s="142"/>
      <c r="C164" s="592"/>
      <c r="D164" s="654"/>
      <c r="E164" s="43"/>
      <c r="F164" s="43"/>
      <c r="G164" s="43"/>
      <c r="H164" s="43"/>
    </row>
    <row r="167" spans="1:38">
      <c r="B167" s="248"/>
      <c r="C167" s="593"/>
    </row>
    <row r="168" spans="1:38" hidden="1">
      <c r="A168" s="249"/>
      <c r="B168" s="250" t="s">
        <v>167</v>
      </c>
      <c r="C168" s="594"/>
      <c r="K168" s="600"/>
    </row>
    <row r="169" spans="1:38" hidden="1">
      <c r="A169" s="249"/>
      <c r="B169" s="251" t="s">
        <v>165</v>
      </c>
      <c r="C169" s="595"/>
    </row>
    <row r="170" spans="1:38" hidden="1">
      <c r="A170" s="249"/>
      <c r="B170" s="252" t="s">
        <v>166</v>
      </c>
      <c r="C170" s="596"/>
    </row>
    <row r="171" spans="1:38" hidden="1">
      <c r="B171" s="434" t="s">
        <v>231</v>
      </c>
      <c r="C171" s="595"/>
    </row>
    <row r="172" spans="1:38" hidden="1">
      <c r="B172" s="601"/>
      <c r="C172" s="602"/>
    </row>
    <row r="173" spans="1:38" hidden="1">
      <c r="B173" s="601"/>
      <c r="C173" s="602"/>
    </row>
    <row r="174" spans="1:38" hidden="1">
      <c r="B174" s="973" t="s">
        <v>232</v>
      </c>
      <c r="C174" s="973"/>
    </row>
    <row r="175" spans="1:38" hidden="1">
      <c r="B175" s="436" t="s">
        <v>145</v>
      </c>
      <c r="C175" s="597" t="s">
        <v>233</v>
      </c>
    </row>
    <row r="176" spans="1:38" ht="14.25" hidden="1">
      <c r="B176" s="436" t="s">
        <v>1</v>
      </c>
      <c r="C176" s="598">
        <f>INDEX(LINEST($J$20:$J139,$A$20:$A$139,TRUE,FALSE),1)</f>
        <v>-0.49281894576012275</v>
      </c>
    </row>
    <row r="177" spans="2:3" ht="14.25" hidden="1">
      <c r="B177" s="436" t="s">
        <v>2</v>
      </c>
      <c r="C177" s="598">
        <f>INDEX(LINEST($K$20:$K139,$A$20:$A$139,TRUE,FALSE),1)</f>
        <v>6.347558858254046E-2</v>
      </c>
    </row>
    <row r="178" spans="2:3" ht="14.25" hidden="1">
      <c r="B178" s="436" t="s">
        <v>131</v>
      </c>
      <c r="C178" s="598">
        <f>INDEX(LINEST($L$20:$L139,$A$20:$A$139,TRUE,FALSE),1)</f>
        <v>6.8060281964024845E-4</v>
      </c>
    </row>
    <row r="179" spans="2:3" ht="14.25" hidden="1">
      <c r="B179" s="436" t="s">
        <v>153</v>
      </c>
      <c r="C179" s="598" t="e">
        <f>INDEX(LINEST(#REF!,$A$20:$A$139,TRUE,FALSE),1)</f>
        <v>#REF!</v>
      </c>
    </row>
    <row r="180" spans="2:3" ht="14.25" hidden="1">
      <c r="B180" s="436" t="s">
        <v>130</v>
      </c>
      <c r="C180" s="598">
        <f>INDEX(LINEST($M$20:$M139,$A$20:$A$139,TRUE,FALSE),1)</f>
        <v>-9.9416626154593996E-4</v>
      </c>
    </row>
    <row r="181" spans="2:3" ht="14.25" hidden="1">
      <c r="B181" s="436" t="s">
        <v>161</v>
      </c>
      <c r="C181" s="598">
        <f>INDEX(LINEST($N$20:$N139,$A$20:$A$139,TRUE,FALSE),1)</f>
        <v>0</v>
      </c>
    </row>
    <row r="182" spans="2:3">
      <c r="B182" s="601"/>
      <c r="C182" s="602"/>
    </row>
  </sheetData>
  <mergeCells count="4">
    <mergeCell ref="D17:H17"/>
    <mergeCell ref="J17:O17"/>
    <mergeCell ref="P19:R19"/>
    <mergeCell ref="B174:C174"/>
  </mergeCells>
  <dataValidations count="2">
    <dataValidation type="list" allowBlank="1" showInputMessage="1" showErrorMessage="1" sqref="J19:O19" xr:uid="{7B92642C-A3EF-4585-8262-BCDEF7A18E0E}">
      <formula1>$B$169:$B$171</formula1>
    </dataValidation>
    <dataValidation type="list" allowBlank="1" showInputMessage="1" showErrorMessage="1" sqref="J18:N18" xr:uid="{E0DC0CFB-6B88-4CF0-A7F6-A24BEC5EC003}">
      <formula1>AllVariables</formula1>
    </dataValidation>
  </dataValidations>
  <pageMargins left="0.7" right="0.7" top="0.75" bottom="0.75" header="0.3" footer="0.3"/>
  <pageSetup orientation="portrait" horizontalDpi="4294967294" vertic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28"/>
  <sheetViews>
    <sheetView showGridLines="0" zoomScaleNormal="100" workbookViewId="0">
      <selection activeCell="B28" sqref="B28"/>
    </sheetView>
  </sheetViews>
  <sheetFormatPr defaultRowHeight="12.75"/>
  <cols>
    <col min="1" max="1" width="23.83203125" style="886" bestFit="1" customWidth="1"/>
    <col min="2" max="2" width="15.6640625" style="886" bestFit="1" customWidth="1"/>
    <col min="3" max="3" width="17" style="886" bestFit="1" customWidth="1"/>
    <col min="4" max="4" width="14" style="886" customWidth="1"/>
    <col min="5" max="5" width="13.1640625" style="886" bestFit="1" customWidth="1"/>
    <col min="6" max="6" width="16.6640625" style="886" bestFit="1" customWidth="1"/>
    <col min="7" max="7" width="15.6640625" style="886" bestFit="1" customWidth="1"/>
    <col min="8" max="8" width="15.1640625" style="886" bestFit="1" customWidth="1"/>
    <col min="9" max="9" width="15.6640625" style="886" bestFit="1" customWidth="1"/>
    <col min="10" max="16384" width="9.33203125" style="886"/>
  </cols>
  <sheetData>
    <row r="1" spans="1:35">
      <c r="A1" s="885"/>
    </row>
    <row r="7" spans="1:35">
      <c r="A7" s="976" t="s">
        <v>315</v>
      </c>
      <c r="B7" s="976"/>
      <c r="C7" s="912"/>
    </row>
    <row r="8" spans="1:35">
      <c r="A8" s="890" t="s">
        <v>8</v>
      </c>
      <c r="B8" s="916">
        <v>0.93363428743543775</v>
      </c>
      <c r="C8" s="912"/>
    </row>
    <row r="9" spans="1:35" ht="12.75" customHeight="1">
      <c r="A9" s="890" t="s">
        <v>9</v>
      </c>
      <c r="B9" s="916">
        <v>0.87167298267507753</v>
      </c>
      <c r="C9" s="912"/>
    </row>
    <row r="10" spans="1:35">
      <c r="A10" s="889" t="s">
        <v>10</v>
      </c>
      <c r="B10" s="916">
        <v>0.86485915874632058</v>
      </c>
      <c r="C10" s="912"/>
    </row>
    <row r="11" spans="1:35">
      <c r="A11" s="889" t="s">
        <v>11</v>
      </c>
      <c r="B11" s="917">
        <v>601555.16110396269</v>
      </c>
      <c r="C11" s="912"/>
    </row>
    <row r="12" spans="1:35">
      <c r="A12" s="891" t="s">
        <v>12</v>
      </c>
      <c r="B12" s="918">
        <v>120</v>
      </c>
      <c r="C12" s="912"/>
      <c r="D12" s="888"/>
      <c r="E12" s="888"/>
      <c r="F12" s="888"/>
      <c r="G12" s="888"/>
      <c r="H12" s="888"/>
      <c r="I12" s="888"/>
      <c r="J12" s="888"/>
      <c r="K12" s="888"/>
      <c r="L12" s="888"/>
      <c r="M12" s="887"/>
      <c r="N12" s="888"/>
      <c r="O12" s="887"/>
      <c r="P12" s="887"/>
      <c r="Q12" s="887"/>
      <c r="R12" s="887"/>
      <c r="S12" s="887"/>
      <c r="T12" s="887"/>
      <c r="U12" s="887"/>
      <c r="V12" s="887"/>
      <c r="W12" s="887"/>
      <c r="X12" s="887"/>
      <c r="Y12" s="887"/>
      <c r="Z12" s="887"/>
      <c r="AA12" s="887"/>
      <c r="AB12" s="887"/>
      <c r="AC12" s="887"/>
      <c r="AD12" s="887"/>
      <c r="AE12" s="887"/>
      <c r="AF12" s="887"/>
      <c r="AG12" s="887"/>
      <c r="AH12" s="887"/>
      <c r="AI12" s="887"/>
    </row>
    <row r="13" spans="1:35">
      <c r="A13" s="887"/>
      <c r="B13" s="888"/>
      <c r="C13" s="888"/>
      <c r="D13" s="888"/>
      <c r="E13" s="888"/>
      <c r="F13" s="888"/>
      <c r="G13" s="888"/>
      <c r="H13" s="888"/>
      <c r="I13" s="888"/>
      <c r="J13" s="888"/>
      <c r="K13" s="887"/>
      <c r="L13" s="888"/>
      <c r="M13" s="887"/>
      <c r="N13" s="887"/>
      <c r="O13" s="887"/>
      <c r="P13" s="887"/>
      <c r="Q13" s="887"/>
      <c r="R13" s="887"/>
      <c r="S13" s="887"/>
      <c r="T13" s="887"/>
      <c r="U13" s="887"/>
      <c r="V13" s="887"/>
      <c r="W13" s="887"/>
      <c r="X13" s="887"/>
      <c r="Y13" s="887"/>
      <c r="Z13" s="887"/>
      <c r="AA13" s="887"/>
      <c r="AB13" s="887"/>
      <c r="AC13" s="887"/>
      <c r="AD13" s="887"/>
      <c r="AE13" s="887"/>
      <c r="AF13" s="887"/>
      <c r="AG13" s="887"/>
    </row>
    <row r="14" spans="1:35">
      <c r="A14" s="977" t="s">
        <v>13</v>
      </c>
      <c r="B14" s="977"/>
      <c r="C14" s="977"/>
      <c r="D14" s="977"/>
      <c r="E14" s="977"/>
      <c r="F14" s="977"/>
      <c r="G14" s="888"/>
      <c r="H14" s="888"/>
      <c r="I14" s="888"/>
      <c r="J14" s="888"/>
      <c r="K14" s="887"/>
      <c r="L14" s="888"/>
      <c r="M14" s="887"/>
      <c r="N14" s="887"/>
      <c r="O14" s="887"/>
      <c r="P14" s="887"/>
      <c r="Q14" s="887"/>
      <c r="R14" s="887"/>
      <c r="S14" s="887"/>
      <c r="T14" s="887"/>
      <c r="U14" s="887"/>
      <c r="V14" s="887"/>
      <c r="W14" s="887"/>
      <c r="X14" s="887"/>
      <c r="Y14" s="887"/>
      <c r="Z14" s="887"/>
      <c r="AA14" s="887"/>
      <c r="AB14" s="887"/>
      <c r="AC14" s="887"/>
      <c r="AD14" s="887"/>
      <c r="AE14" s="887"/>
      <c r="AF14" s="887"/>
      <c r="AG14" s="887"/>
    </row>
    <row r="15" spans="1:35">
      <c r="A15" s="913"/>
      <c r="B15" s="913" t="s">
        <v>18</v>
      </c>
      <c r="C15" s="913" t="s">
        <v>19</v>
      </c>
      <c r="D15" s="913" t="s">
        <v>20</v>
      </c>
      <c r="E15" s="913" t="s">
        <v>21</v>
      </c>
      <c r="F15" s="913" t="s">
        <v>22</v>
      </c>
      <c r="G15" s="888"/>
      <c r="H15" s="888"/>
      <c r="I15" s="888"/>
      <c r="J15" s="888"/>
      <c r="K15" s="887"/>
      <c r="L15" s="888"/>
      <c r="M15" s="887"/>
      <c r="N15" s="887"/>
      <c r="O15" s="887"/>
      <c r="P15" s="887"/>
      <c r="Q15" s="887"/>
      <c r="R15" s="887"/>
      <c r="S15" s="887"/>
      <c r="T15" s="887"/>
      <c r="U15" s="887"/>
      <c r="V15" s="887"/>
      <c r="W15" s="887"/>
      <c r="X15" s="887"/>
      <c r="Y15" s="887"/>
      <c r="Z15" s="887"/>
      <c r="AA15" s="887"/>
      <c r="AB15" s="887"/>
      <c r="AC15" s="887"/>
      <c r="AD15" s="887"/>
      <c r="AE15" s="887"/>
      <c r="AF15" s="887"/>
      <c r="AG15" s="887"/>
    </row>
    <row r="16" spans="1:35">
      <c r="A16" s="891" t="s">
        <v>14</v>
      </c>
      <c r="B16" s="892">
        <v>6</v>
      </c>
      <c r="C16" s="892">
        <v>277756891454664.09</v>
      </c>
      <c r="D16" s="892">
        <v>46292815242444.016</v>
      </c>
      <c r="E16" s="892">
        <v>127.92713633181563</v>
      </c>
      <c r="F16" s="892">
        <v>5.3542336279507173E-48</v>
      </c>
      <c r="G16" s="888"/>
      <c r="H16" s="888"/>
      <c r="I16" s="888"/>
      <c r="J16" s="888"/>
      <c r="K16" s="887"/>
      <c r="L16" s="888"/>
      <c r="M16" s="887"/>
      <c r="N16" s="887"/>
      <c r="O16" s="887"/>
      <c r="P16" s="887"/>
      <c r="Q16" s="887"/>
      <c r="R16" s="887"/>
      <c r="S16" s="887"/>
      <c r="T16" s="887"/>
      <c r="U16" s="887"/>
      <c r="V16" s="887"/>
      <c r="W16" s="887"/>
      <c r="X16" s="887"/>
      <c r="Y16" s="887"/>
      <c r="Z16" s="887"/>
      <c r="AA16" s="887"/>
      <c r="AB16" s="887"/>
      <c r="AC16" s="887"/>
      <c r="AD16" s="887"/>
      <c r="AE16" s="887"/>
      <c r="AF16" s="887"/>
      <c r="AG16" s="887"/>
    </row>
    <row r="17" spans="1:35">
      <c r="A17" s="891" t="s">
        <v>15</v>
      </c>
      <c r="B17" s="892">
        <v>113</v>
      </c>
      <c r="C17" s="892">
        <v>40891153139142.031</v>
      </c>
      <c r="D17" s="892">
        <v>361868611850.81445</v>
      </c>
      <c r="E17" s="892"/>
      <c r="F17" s="892"/>
      <c r="G17" s="888"/>
      <c r="H17" s="888"/>
      <c r="I17" s="888"/>
      <c r="J17" s="888"/>
      <c r="K17" s="887"/>
      <c r="L17" s="888"/>
      <c r="M17" s="887"/>
      <c r="N17" s="887"/>
      <c r="O17" s="887"/>
      <c r="P17" s="887"/>
      <c r="Q17" s="887"/>
      <c r="R17" s="887"/>
      <c r="S17" s="887"/>
      <c r="T17" s="887"/>
      <c r="U17" s="887"/>
      <c r="V17" s="887"/>
      <c r="W17" s="887"/>
      <c r="X17" s="887"/>
      <c r="Y17" s="887"/>
      <c r="Z17" s="887"/>
      <c r="AA17" s="887"/>
      <c r="AB17" s="887"/>
      <c r="AC17" s="887"/>
      <c r="AD17" s="887"/>
      <c r="AE17" s="887"/>
      <c r="AF17" s="887"/>
      <c r="AG17" s="887"/>
    </row>
    <row r="18" spans="1:35">
      <c r="A18" s="891" t="s">
        <v>16</v>
      </c>
      <c r="B18" s="892">
        <v>119</v>
      </c>
      <c r="C18" s="892">
        <v>318648044593806.13</v>
      </c>
      <c r="D18" s="892"/>
      <c r="E18" s="892"/>
      <c r="F18" s="892"/>
      <c r="G18" s="888"/>
      <c r="H18" s="888"/>
      <c r="I18" s="888"/>
      <c r="J18" s="888"/>
      <c r="K18" s="887"/>
      <c r="L18" s="888"/>
      <c r="M18" s="887"/>
      <c r="N18" s="887"/>
      <c r="O18" s="887"/>
      <c r="P18" s="887"/>
      <c r="Q18" s="887"/>
      <c r="R18" s="887"/>
      <c r="S18" s="887"/>
      <c r="T18" s="887"/>
      <c r="U18" s="887"/>
      <c r="V18" s="887"/>
      <c r="W18" s="887"/>
      <c r="X18" s="887"/>
      <c r="Y18" s="887"/>
      <c r="Z18" s="887"/>
      <c r="AA18" s="887"/>
      <c r="AB18" s="887"/>
      <c r="AC18" s="887"/>
      <c r="AD18" s="887"/>
      <c r="AE18" s="887"/>
      <c r="AF18" s="887"/>
      <c r="AG18" s="887"/>
    </row>
    <row r="19" spans="1:35">
      <c r="A19" s="887"/>
      <c r="B19" s="888"/>
      <c r="C19" s="888"/>
      <c r="D19" s="888"/>
      <c r="E19" s="888"/>
      <c r="F19" s="888"/>
      <c r="G19" s="888"/>
      <c r="H19" s="888"/>
      <c r="I19" s="888"/>
      <c r="J19" s="888"/>
      <c r="K19" s="887"/>
      <c r="L19" s="888"/>
      <c r="M19" s="887"/>
      <c r="N19" s="887"/>
      <c r="O19" s="887"/>
      <c r="P19" s="887"/>
      <c r="Q19" s="887"/>
      <c r="R19" s="887"/>
      <c r="S19" s="887"/>
      <c r="T19" s="887"/>
      <c r="U19" s="887"/>
      <c r="V19" s="887"/>
      <c r="W19" s="887"/>
      <c r="X19" s="887"/>
      <c r="Y19" s="887"/>
      <c r="Z19" s="887"/>
      <c r="AA19" s="887"/>
      <c r="AB19" s="887"/>
      <c r="AC19" s="887"/>
      <c r="AD19" s="887"/>
      <c r="AE19" s="887"/>
      <c r="AF19" s="887"/>
      <c r="AG19" s="887"/>
    </row>
    <row r="20" spans="1:35">
      <c r="A20" s="978" t="s">
        <v>316</v>
      </c>
      <c r="B20" s="979"/>
      <c r="C20" s="979"/>
      <c r="D20" s="979"/>
      <c r="E20" s="979"/>
      <c r="F20" s="979"/>
      <c r="G20" s="979"/>
      <c r="H20" s="979"/>
      <c r="I20" s="980"/>
      <c r="J20" s="888"/>
      <c r="K20" s="888"/>
      <c r="L20" s="888"/>
      <c r="M20" s="887"/>
      <c r="N20" s="888"/>
      <c r="O20" s="887"/>
      <c r="P20" s="887"/>
      <c r="Q20" s="887"/>
      <c r="R20" s="887"/>
      <c r="S20" s="887"/>
      <c r="T20" s="887"/>
      <c r="U20" s="887"/>
      <c r="V20" s="887"/>
      <c r="W20" s="887"/>
      <c r="X20" s="887"/>
      <c r="Y20" s="887"/>
      <c r="Z20" s="887"/>
      <c r="AA20" s="887"/>
      <c r="AB20" s="887"/>
      <c r="AC20" s="887"/>
      <c r="AD20" s="887"/>
      <c r="AE20" s="887"/>
      <c r="AF20" s="887"/>
      <c r="AG20" s="887"/>
      <c r="AH20" s="887"/>
      <c r="AI20" s="887"/>
    </row>
    <row r="21" spans="1:35">
      <c r="A21" s="914"/>
      <c r="B21" s="913" t="s">
        <v>23</v>
      </c>
      <c r="C21" s="913" t="s">
        <v>11</v>
      </c>
      <c r="D21" s="913" t="s">
        <v>24</v>
      </c>
      <c r="E21" s="913" t="s">
        <v>25</v>
      </c>
      <c r="F21" s="913" t="s">
        <v>26</v>
      </c>
      <c r="G21" s="913" t="s">
        <v>27</v>
      </c>
      <c r="H21" s="913" t="s">
        <v>28</v>
      </c>
      <c r="I21" s="913" t="s">
        <v>29</v>
      </c>
      <c r="J21" s="888"/>
      <c r="K21" s="888"/>
      <c r="L21" s="888"/>
      <c r="M21" s="887"/>
      <c r="N21" s="888"/>
      <c r="O21" s="887"/>
      <c r="P21" s="887"/>
      <c r="Q21" s="887"/>
      <c r="R21" s="887"/>
      <c r="S21" s="887"/>
      <c r="T21" s="887"/>
      <c r="U21" s="887"/>
      <c r="V21" s="887"/>
      <c r="W21" s="887"/>
      <c r="X21" s="887"/>
      <c r="Y21" s="887"/>
      <c r="Z21" s="887"/>
      <c r="AA21" s="887"/>
      <c r="AB21" s="887"/>
      <c r="AC21" s="887"/>
      <c r="AD21" s="887"/>
      <c r="AE21" s="887"/>
      <c r="AF21" s="887"/>
      <c r="AG21" s="887"/>
      <c r="AH21" s="887"/>
      <c r="AI21" s="887"/>
    </row>
    <row r="22" spans="1:35">
      <c r="A22" s="914" t="s">
        <v>317</v>
      </c>
      <c r="B22" s="915">
        <v>14207723.158060294</v>
      </c>
      <c r="C22" s="915">
        <v>2740820.7703323159</v>
      </c>
      <c r="D22" s="915">
        <v>5.1837476247444121</v>
      </c>
      <c r="E22" s="915">
        <v>9.6222720648530741E-7</v>
      </c>
      <c r="F22" s="915">
        <v>8777662.8792021442</v>
      </c>
      <c r="G22" s="915">
        <v>19637783.436918445</v>
      </c>
      <c r="H22" s="915">
        <v>8777662.8792021442</v>
      </c>
      <c r="I22" s="915">
        <v>19637783.436918445</v>
      </c>
    </row>
    <row r="23" spans="1:35">
      <c r="A23" s="889" t="s">
        <v>1</v>
      </c>
      <c r="B23" s="915">
        <v>6863.3899754353624</v>
      </c>
      <c r="C23" s="915">
        <v>303.35603428834912</v>
      </c>
      <c r="D23" s="915">
        <v>22.624867151683233</v>
      </c>
      <c r="E23" s="915">
        <v>8.9777127787856148E-44</v>
      </c>
      <c r="F23" s="915">
        <v>6262.3869583933647</v>
      </c>
      <c r="G23" s="915">
        <v>7464.3929924773602</v>
      </c>
      <c r="H23" s="915">
        <v>6262.3869583933647</v>
      </c>
      <c r="I23" s="915">
        <v>7464.3929924773602</v>
      </c>
    </row>
    <row r="24" spans="1:35">
      <c r="A24" s="889" t="s">
        <v>2</v>
      </c>
      <c r="B24" s="915">
        <v>42147.841435579045</v>
      </c>
      <c r="C24" s="915">
        <v>2701.41424492955</v>
      </c>
      <c r="D24" s="915">
        <v>15.602139329312012</v>
      </c>
      <c r="E24" s="915">
        <v>5.8629405119761716E-30</v>
      </c>
      <c r="F24" s="915">
        <v>36795.85259088163</v>
      </c>
      <c r="G24" s="915">
        <v>47499.830280276459</v>
      </c>
      <c r="H24" s="915">
        <v>36795.85259088163</v>
      </c>
      <c r="I24" s="915">
        <v>47499.830280276459</v>
      </c>
    </row>
    <row r="25" spans="1:35">
      <c r="A25" s="889" t="s">
        <v>236</v>
      </c>
      <c r="B25" s="915">
        <v>383899.52682587353</v>
      </c>
      <c r="C25" s="915">
        <v>75030.134216369508</v>
      </c>
      <c r="D25" s="915">
        <v>5.1166045594267011</v>
      </c>
      <c r="E25" s="915">
        <v>1.2856791842750232E-6</v>
      </c>
      <c r="F25" s="915">
        <v>235251.29855215625</v>
      </c>
      <c r="G25" s="915">
        <v>532547.75509959087</v>
      </c>
      <c r="H25" s="915">
        <v>235251.29855215625</v>
      </c>
      <c r="I25" s="915">
        <v>532547.75509959087</v>
      </c>
    </row>
    <row r="26" spans="1:35">
      <c r="A26" s="889" t="s">
        <v>312</v>
      </c>
      <c r="B26" s="915">
        <v>8274.5999827706873</v>
      </c>
      <c r="C26" s="915">
        <v>3009.5688636439127</v>
      </c>
      <c r="D26" s="915">
        <v>2.7494303528751964</v>
      </c>
      <c r="E26" s="915">
        <v>6.9527836215157162E-3</v>
      </c>
      <c r="F26" s="915">
        <v>2312.1012598134639</v>
      </c>
      <c r="G26" s="915">
        <v>14237.098705727911</v>
      </c>
      <c r="H26" s="915">
        <v>2312.1012598134639</v>
      </c>
      <c r="I26" s="915">
        <v>14237.098705727911</v>
      </c>
    </row>
    <row r="27" spans="1:35">
      <c r="A27" s="889" t="s">
        <v>313</v>
      </c>
      <c r="B27" s="915">
        <v>-497618.68421281368</v>
      </c>
      <c r="C27" s="915">
        <v>129376.99593186003</v>
      </c>
      <c r="D27" s="915">
        <v>-3.8462686556340997</v>
      </c>
      <c r="E27" s="915">
        <v>1.9887846592086405E-4</v>
      </c>
      <c r="F27" s="915">
        <v>-753937.84751308546</v>
      </c>
      <c r="G27" s="915">
        <v>-241299.52091254192</v>
      </c>
      <c r="H27" s="915">
        <v>-753937.84751308546</v>
      </c>
      <c r="I27" s="915">
        <v>-241299.52091254192</v>
      </c>
    </row>
    <row r="28" spans="1:35">
      <c r="A28" s="889" t="s">
        <v>318</v>
      </c>
      <c r="B28" s="915">
        <v>-987.9592847660748</v>
      </c>
      <c r="C28" s="915">
        <v>169.46904073908527</v>
      </c>
      <c r="D28" s="915">
        <v>-5.829733150417356</v>
      </c>
      <c r="E28" s="915">
        <v>5.3522168008499375E-8</v>
      </c>
      <c r="F28" s="915">
        <v>-1323.7080198071938</v>
      </c>
      <c r="G28" s="915">
        <v>-652.21054972495585</v>
      </c>
      <c r="H28" s="915">
        <v>-1323.7080198071938</v>
      </c>
      <c r="I28" s="915">
        <v>-652.21054972495585</v>
      </c>
    </row>
  </sheetData>
  <mergeCells count="3">
    <mergeCell ref="A7:B7"/>
    <mergeCell ref="A14:F14"/>
    <mergeCell ref="A20:I20"/>
  </mergeCells>
  <phoneticPr fontId="0"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56"/>
  <sheetViews>
    <sheetView showGridLines="0" topLeftCell="A15" zoomScaleNormal="100" workbookViewId="0">
      <selection activeCell="E31" sqref="E31"/>
    </sheetView>
  </sheetViews>
  <sheetFormatPr defaultColWidth="11.1640625" defaultRowHeight="12.75"/>
  <cols>
    <col min="1" max="1" width="13.6640625" style="1" customWidth="1"/>
    <col min="2" max="2" width="15" style="23" customWidth="1"/>
    <col min="3" max="3" width="16" style="23" customWidth="1"/>
    <col min="4" max="7" width="15" style="23" customWidth="1"/>
    <col min="8" max="8" width="15" style="1" customWidth="1"/>
    <col min="9" max="9" width="3.33203125" style="1" customWidth="1"/>
    <col min="10" max="16" width="15" style="1" customWidth="1"/>
    <col min="17" max="17" width="3.1640625" style="1" customWidth="1"/>
    <col min="18" max="24" width="15" style="1" customWidth="1"/>
    <col min="25" max="25" width="3" style="1" customWidth="1"/>
    <col min="26" max="32" width="15" style="1" customWidth="1"/>
    <col min="33" max="33" width="2.83203125" style="1" customWidth="1"/>
    <col min="34" max="40" width="15" style="1" customWidth="1"/>
    <col min="41" max="41" width="3.83203125" style="1" customWidth="1"/>
    <col min="42" max="16384" width="11.1640625" style="1"/>
  </cols>
  <sheetData>
    <row r="1" spans="1:9">
      <c r="A1" s="626" t="s">
        <v>255</v>
      </c>
    </row>
    <row r="11" spans="1:9" ht="15.75" customHeight="1">
      <c r="B11" s="114" t="s">
        <v>44</v>
      </c>
      <c r="C11" s="1"/>
      <c r="D11" s="2"/>
      <c r="E11" s="2"/>
      <c r="F11" s="2"/>
      <c r="G11" s="2"/>
      <c r="H11" s="2"/>
      <c r="I11" s="2"/>
    </row>
    <row r="12" spans="1:9" ht="15.75" customHeight="1">
      <c r="B12" s="45" t="s">
        <v>63</v>
      </c>
      <c r="C12" s="1"/>
      <c r="D12" s="2"/>
      <c r="E12" s="2"/>
      <c r="F12" s="2"/>
      <c r="G12" s="2"/>
      <c r="H12" s="2"/>
      <c r="I12" s="2"/>
    </row>
    <row r="13" spans="1:9" ht="15.75" customHeight="1">
      <c r="B13" s="85" t="s">
        <v>245</v>
      </c>
      <c r="C13" s="1"/>
      <c r="D13" s="2"/>
      <c r="E13" s="2"/>
      <c r="F13" s="2"/>
      <c r="G13" s="2"/>
      <c r="H13" s="2"/>
      <c r="I13" s="2"/>
    </row>
    <row r="14" spans="1:9" ht="15.75" customHeight="1">
      <c r="B14" s="85" t="s">
        <v>246</v>
      </c>
      <c r="C14" s="1"/>
      <c r="D14" s="2"/>
      <c r="E14" s="2"/>
      <c r="F14" s="2"/>
      <c r="G14" s="2"/>
      <c r="H14" s="2"/>
      <c r="I14" s="2"/>
    </row>
    <row r="15" spans="1:9" ht="12.75" customHeight="1" thickBot="1"/>
    <row r="16" spans="1:9" ht="15.75" thickBot="1">
      <c r="B16" s="262" t="s">
        <v>176</v>
      </c>
      <c r="G16" s="475" t="s">
        <v>333</v>
      </c>
    </row>
    <row r="17" spans="2:40" ht="12.75" customHeight="1"/>
    <row r="18" spans="2:40" ht="12.75" customHeight="1" thickBot="1"/>
    <row r="19" spans="2:40" ht="14.25" customHeight="1" thickBot="1">
      <c r="B19" s="981" t="s">
        <v>6</v>
      </c>
      <c r="C19" s="982"/>
      <c r="D19" s="982"/>
      <c r="E19" s="982"/>
      <c r="F19" s="982"/>
      <c r="G19" s="982"/>
      <c r="H19" s="983"/>
      <c r="I19" s="23"/>
      <c r="J19" s="981" t="s">
        <v>95</v>
      </c>
      <c r="K19" s="982"/>
      <c r="L19" s="982"/>
      <c r="M19" s="982"/>
      <c r="N19" s="982"/>
      <c r="O19" s="982"/>
      <c r="P19" s="983"/>
      <c r="Q19" s="23"/>
      <c r="R19" s="981"/>
      <c r="S19" s="982"/>
      <c r="T19" s="982"/>
      <c r="U19" s="982"/>
      <c r="V19" s="982"/>
      <c r="W19" s="982"/>
      <c r="X19" s="983"/>
      <c r="Z19" s="981"/>
      <c r="AA19" s="982"/>
      <c r="AB19" s="982"/>
      <c r="AC19" s="982"/>
      <c r="AD19" s="982"/>
      <c r="AE19" s="982"/>
      <c r="AF19" s="983"/>
      <c r="AH19" s="981"/>
      <c r="AI19" s="982"/>
      <c r="AJ19" s="982"/>
      <c r="AK19" s="982"/>
      <c r="AL19" s="982"/>
      <c r="AM19" s="982"/>
      <c r="AN19" s="983"/>
    </row>
    <row r="20" spans="2:40" ht="59.25" customHeight="1" thickBot="1">
      <c r="B20" s="46" t="s">
        <v>33</v>
      </c>
      <c r="C20" s="177" t="s">
        <v>149</v>
      </c>
      <c r="D20" s="177" t="s">
        <v>147</v>
      </c>
      <c r="E20" s="177" t="s">
        <v>144</v>
      </c>
      <c r="F20" s="48" t="s">
        <v>148</v>
      </c>
      <c r="G20" s="47" t="s">
        <v>34</v>
      </c>
      <c r="H20" s="49" t="s">
        <v>38</v>
      </c>
      <c r="I20" s="121"/>
      <c r="J20" s="46" t="s">
        <v>33</v>
      </c>
      <c r="K20" s="177" t="s">
        <v>150</v>
      </c>
      <c r="L20" s="177" t="s">
        <v>147</v>
      </c>
      <c r="M20" s="177" t="s">
        <v>144</v>
      </c>
      <c r="N20" s="48" t="s">
        <v>148</v>
      </c>
      <c r="O20" s="47" t="s">
        <v>34</v>
      </c>
      <c r="P20" s="49" t="s">
        <v>38</v>
      </c>
      <c r="Q20" s="121"/>
      <c r="R20" s="46" t="s">
        <v>33</v>
      </c>
      <c r="S20" s="177" t="s">
        <v>151</v>
      </c>
      <c r="T20" s="177" t="s">
        <v>147</v>
      </c>
      <c r="U20" s="177" t="s">
        <v>144</v>
      </c>
      <c r="V20" s="48" t="s">
        <v>148</v>
      </c>
      <c r="W20" s="47" t="s">
        <v>34</v>
      </c>
      <c r="X20" s="49" t="s">
        <v>38</v>
      </c>
      <c r="Z20" s="46" t="s">
        <v>33</v>
      </c>
      <c r="AA20" s="177" t="s">
        <v>151</v>
      </c>
      <c r="AB20" s="177" t="s">
        <v>147</v>
      </c>
      <c r="AC20" s="177" t="s">
        <v>144</v>
      </c>
      <c r="AD20" s="48" t="s">
        <v>148</v>
      </c>
      <c r="AE20" s="47" t="s">
        <v>34</v>
      </c>
      <c r="AF20" s="49" t="s">
        <v>38</v>
      </c>
      <c r="AH20" s="46" t="s">
        <v>33</v>
      </c>
      <c r="AI20" s="177" t="s">
        <v>151</v>
      </c>
      <c r="AJ20" s="177" t="s">
        <v>147</v>
      </c>
      <c r="AK20" s="177" t="s">
        <v>144</v>
      </c>
      <c r="AL20" s="48" t="s">
        <v>148</v>
      </c>
      <c r="AM20" s="47" t="s">
        <v>34</v>
      </c>
      <c r="AN20" s="49" t="s">
        <v>38</v>
      </c>
    </row>
    <row r="21" spans="2:40">
      <c r="B21" s="144">
        <f>'4. Customer Growth'!B17</f>
        <v>2013</v>
      </c>
      <c r="C21" s="51">
        <f>IF($B$19='2. Customer Classes'!$B$14,+SUM('3. Consumption by Rate Class'!$D$25:$D$36),+IF($B$19='2. Customer Classes'!$B$15,+SUM('3. Consumption by Rate Class'!$F$25:$F$36),+IF($B$19='2. Customer Classes'!$B$16,+SUM('3. Consumption by Rate Class'!$H$25:$H$36),+IF($B$19='2. Customer Classes'!$B$17,+SUM('3. Consumption by Rate Class'!$J$25:$J$36),+IF($B$19='2. Customer Classes'!$B$18,+SUM('3. Consumption by Rate Class'!$L$25:$L$36),+IF($B$19='2. Customer Classes'!$B$19,+SUM('3. Consumption by Rate Class'!$O$25:$O$36),IF($B$19='2. Customer Classes'!$B$20,+SUM('3. Consumption by Rate Class'!$R$25:$R$36),0)))))))</f>
        <v>30486731</v>
      </c>
      <c r="D21" s="51">
        <f>SUM('6. WS Regression Analysis'!I20:I31)</f>
        <v>90874156.25999999</v>
      </c>
      <c r="E21" s="51">
        <f>SUM('6. WS Regression Analysis'!Q20:Q31)</f>
        <v>88366010.048238277</v>
      </c>
      <c r="F21" s="52">
        <f>C21/D21</f>
        <v>0.33548296077461709</v>
      </c>
      <c r="G21" s="51">
        <f>E21*F21</f>
        <v>29645290.68282254</v>
      </c>
      <c r="H21" s="51">
        <f>IF($B$19='2. Customer Classes'!$B$14,+G21/'4. Customer Growth'!$C17,+IF($B$19='2. Customer Classes'!$B$15,+G21/'4. Customer Growth'!$E17,+IF($B$19='2. Customer Classes'!$B$16,+G21/'4. Customer Growth'!$G17,+IF($B$19='2. Customer Classes'!$B$17,+G21/'4. Customer Growth'!$I17,+IF($B$19='2. Customer Classes'!$B$18,+G21/'4. Customer Growth'!$K17,+IF($B$19='2. Customer Classes'!$B$19,+G21/'4. Customer Growth'!$M17,IF($B$19='2. Customer Classes'!$B$20,+G21/'4. Customer Growth'!$O17)))))))</f>
        <v>7956.3313695175902</v>
      </c>
      <c r="I21" s="63"/>
      <c r="J21" s="144">
        <f>B21</f>
        <v>2013</v>
      </c>
      <c r="K21" s="51">
        <f>IF($J$19='2. Customer Classes'!$B$14,+SUM('3. Consumption by Rate Class'!$D$25:$D$36),+IF($J$19='2. Customer Classes'!$B$15,+SUM('3. Consumption by Rate Class'!$F$25:$F$36),+IF($J$19='2. Customer Classes'!$B$16,+SUM('3. Consumption by Rate Class'!$H$25:$H$36),+IF($J$19='2. Customer Classes'!$B$17,+SUM('3. Consumption by Rate Class'!$J$25:$J$36),+IF($J$19='2. Customer Classes'!$B$18,+SUM('3. Consumption by Rate Class'!$L$25:$L$36),+IF($J$19='2. Customer Classes'!$B$19,+SUM('3. Consumption by Rate Class'!$O$25:$O$36),IF($J$19='2. Customer Classes'!$B$20,+SUM('3. Consumption by Rate Class'!$R$25:$R$36),0)))))))</f>
        <v>11531242</v>
      </c>
      <c r="L21" s="51">
        <f>D21</f>
        <v>90874156.25999999</v>
      </c>
      <c r="M21" s="51">
        <f t="shared" ref="M21:M30" si="0">E21</f>
        <v>88366010.048238277</v>
      </c>
      <c r="N21" s="52">
        <f t="shared" ref="N21:N29" si="1">K21/L21</f>
        <v>0.12689242436549256</v>
      </c>
      <c r="O21" s="51">
        <f>M21*N21</f>
        <v>11212977.246526431</v>
      </c>
      <c r="P21" s="51">
        <f>IF($J$19='2. Customer Classes'!$B$14,+O21/'4. Customer Growth'!$C17,+IF($J$19='2. Customer Classes'!$B$15,+O21/'4. Customer Growth'!$E17,+IF($J$19='2. Customer Classes'!$B$16,+O21/'4. Customer Growth'!$G17,+IF($J$19='2. Customer Classes'!$B$17,+O21/'4. Customer Growth'!$I17,+IF($J$19='2. Customer Classes'!$B$18,+O21/'4. Customer Growth'!$K17,+IF($J$19='2. Customer Classes'!$B$19,+O21/'4. Customer Growth'!$M17,IF($J$19='2. Customer Classes'!$B$20,+O21/'4. Customer Growth'!$O17)))))))</f>
        <v>25747.364515560119</v>
      </c>
      <c r="Q21" s="63"/>
      <c r="R21" s="144">
        <f>B21</f>
        <v>2013</v>
      </c>
      <c r="S21" s="51">
        <f>IF($R$19='2. Customer Classes'!$B$14,+SUM('3. Consumption by Rate Class'!$D$25:$D$36),+IF($R$19='2. Customer Classes'!$B$15,+SUM('3. Consumption by Rate Class'!$F$25:$F$36),+IF($R$19='2. Customer Classes'!$B$16,+SUM('3. Consumption by Rate Class'!$H$25:$H$36),+IF($R$19='2. Customer Classes'!$B$17,+SUM('3. Consumption by Rate Class'!$J$25:$J$36),+IF($R$19='2. Customer Classes'!$B$18,+SUM('3. Consumption by Rate Class'!$L$25:$L$36),+IF($R$19='2. Customer Classes'!$B$19,+SUM('3. Consumption by Rate Class'!$O$25:$O$36),IF($R$19='2. Customer Classes'!$B$20,+SUM('3. Consumption by Rate Class'!$R$25:$R$36),0)))))))</f>
        <v>0</v>
      </c>
      <c r="T21" s="51">
        <f t="shared" ref="T21:T30" si="2">L21</f>
        <v>90874156.25999999</v>
      </c>
      <c r="U21" s="51">
        <f t="shared" ref="U21:U30" si="3">M21</f>
        <v>88366010.048238277</v>
      </c>
      <c r="V21" s="52">
        <f>S21/T21</f>
        <v>0</v>
      </c>
      <c r="W21" s="51">
        <f>U21*V21</f>
        <v>0</v>
      </c>
      <c r="X21" s="51" t="e">
        <f>IF($R$19='2. Customer Classes'!$B$14,+W21/'4. Customer Growth'!$C17,+IF($R$19='2. Customer Classes'!$B$15,+W21/'4. Customer Growth'!$E17,+IF($R$19='2. Customer Classes'!$B$16,+W21/'4. Customer Growth'!$G17,+IF($R$19='2. Customer Classes'!$B$17,+W21/'4. Customer Growth'!$I17,+IF($R$19='2. Customer Classes'!$B$18,+W21/'4. Customer Growth'!$K17,+IF($R$19='2. Customer Classes'!$B$19,+W21/'4. Customer Growth'!$M17,IF($R$19='2. Customer Classes'!$B$20,+W21/'4. Customer Growth'!$O17)))))))</f>
        <v>#DIV/0!</v>
      </c>
      <c r="Z21" s="144">
        <f>J21</f>
        <v>2013</v>
      </c>
      <c r="AA21" s="51">
        <f>IF($Z$19='2. Customer Classes'!$B$14,+SUM('3. Consumption by Rate Class'!$D$25:$D$36),+IF($Z$19='2. Customer Classes'!$B$15,+SUM('3. Consumption by Rate Class'!$F$25:$F$36),+IF($Z$19='2. Customer Classes'!$B$16,+SUM('3. Consumption by Rate Class'!$H$25:$H$36),+IF($Z$19='2. Customer Classes'!$B$17,+SUM('3. Consumption by Rate Class'!$J$25:$J$36),+IF($Z$19='2. Customer Classes'!$B$18,+SUM('3. Consumption by Rate Class'!$L$25:$L$36),+IF($Z$19='2. Customer Classes'!$B$19,+SUM('3. Consumption by Rate Class'!$O$25:$O$36),IF($Z$19='2. Customer Classes'!$B$20,+SUM('3. Consumption by Rate Class'!$R$25:$R$36),0)))))))</f>
        <v>0</v>
      </c>
      <c r="AB21" s="51">
        <f t="shared" ref="AB21:AB30" si="4">T21</f>
        <v>90874156.25999999</v>
      </c>
      <c r="AC21" s="51">
        <f t="shared" ref="AC21:AC30" si="5">U21</f>
        <v>88366010.048238277</v>
      </c>
      <c r="AD21" s="52">
        <f t="shared" ref="AD21:AD30" si="6">AA21/AB21</f>
        <v>0</v>
      </c>
      <c r="AE21" s="51">
        <f>AC21*AD21</f>
        <v>0</v>
      </c>
      <c r="AF21" s="51" t="e">
        <f>IF($Z$19='2. Customer Classes'!$B$14,+AE21/'4. Customer Growth'!$C17,+IF($Z$19='2. Customer Classes'!$B$15,+AE21/'4. Customer Growth'!$E17,+IF($Z$19='2. Customer Classes'!$B$16,+AE21/'4. Customer Growth'!$G17,+IF($Z$19='2. Customer Classes'!$B$17,+AE21/'4. Customer Growth'!$I17,+IF($Z$19='2. Customer Classes'!$B$18,+AE21/'4. Customer Growth'!$K17,+IF($Z$19='2. Customer Classes'!$B$19,+AE21/'4. Customer Growth'!$M17,IF($Z$19='2. Customer Classes'!$B$20,+AE21/'4. Customer Growth'!$O17)))))))</f>
        <v>#DIV/0!</v>
      </c>
      <c r="AH21" s="144">
        <f>R21</f>
        <v>2013</v>
      </c>
      <c r="AI21" s="51">
        <f>IF($AH$19='2. Customer Classes'!$B$14,+SUM('3. Consumption by Rate Class'!$D$25:$D$36),+IF($AH$19='2. Customer Classes'!$B$15,+SUM('3. Consumption by Rate Class'!$F$25:$F$36),+IF($AH$19='2. Customer Classes'!$B$16,+SUM('3. Consumption by Rate Class'!$H$25:$H$36),+IF($AH$19='2. Customer Classes'!$B$17,+SUM('3. Consumption by Rate Class'!$J$25:$J$36),+IF($AH$19='2. Customer Classes'!$B$18,+SUM('3. Consumption by Rate Class'!$L$25:$L$36),+IF($AH$19='2. Customer Classes'!$B$19,+SUM('3. Consumption by Rate Class'!$O$25:$O$36),IF($AH$19='2. Customer Classes'!$B$20,+SUM('3. Consumption by Rate Class'!$R$25:$R$36),0)))))))</f>
        <v>0</v>
      </c>
      <c r="AJ21" s="51">
        <f t="shared" ref="AJ21:AJ30" si="7">AB21</f>
        <v>90874156.25999999</v>
      </c>
      <c r="AK21" s="51">
        <f t="shared" ref="AK21:AK30" si="8">AC21</f>
        <v>88366010.048238277</v>
      </c>
      <c r="AL21" s="52">
        <f t="shared" ref="AL21:AL30" si="9">AI21/AJ21</f>
        <v>0</v>
      </c>
      <c r="AM21" s="51">
        <f>AK21*AL21</f>
        <v>0</v>
      </c>
      <c r="AN21" s="51" t="e">
        <f>IF($AH$19='2. Customer Classes'!$B$14,+AM21/'4. Customer Growth'!$C17,+IF($AH$19='2. Customer Classes'!$B$15,+AM21/'4. Customer Growth'!$E17,+IF($AH$19='2. Customer Classes'!$B$16,+AM21/'4. Customer Growth'!$G17,+IF($AH$19='2. Customer Classes'!$B$17,+AM21/'4. Customer Growth'!$I17,+IF($AH$19='2. Customer Classes'!$B$18,+AM21/'4. Customer Growth'!$K17,+IF($AH$19='2. Customer Classes'!$B$19,+AM21/'4. Customer Growth'!$M17,IF($AH$19='2. Customer Classes'!$B$20,+AM21/'4. Customer Growth'!$O17)))))))</f>
        <v>#DIV/0!</v>
      </c>
    </row>
    <row r="22" spans="2:40">
      <c r="B22" s="144">
        <f>'4. Customer Growth'!B18</f>
        <v>2014</v>
      </c>
      <c r="C22" s="51">
        <f>IF($B$19='2. Customer Classes'!$B$14,+SUM('3. Consumption by Rate Class'!$D$37:$D$48),+IF($B$19='2. Customer Classes'!$B$15,+SUM('3. Consumption by Rate Class'!$F$37:$F$48),+IF($B$19='2. Customer Classes'!$B$16,+SUM('3. Consumption by Rate Class'!$H$37:$H$48),+IF($B$19='2. Customer Classes'!$B$17,+SUM('3. Consumption by Rate Class'!$J$37:$J$48),+IF($B$19='2. Customer Classes'!$B$18,+SUM('3. Consumption by Rate Class'!$L$37:$L$48),+IF($B$19='2. Customer Classes'!$B$19,+SUM('3. Consumption by Rate Class'!$O$37:$O$48),IF($B$19='2. Customer Classes'!$B$20,+SUM('3. Consumption by Rate Class'!$R$37:$R$48),0)))))))</f>
        <v>30037011</v>
      </c>
      <c r="D22" s="53">
        <f>SUM('6. WS Regression Analysis'!I32:I43)</f>
        <v>89376615.260000005</v>
      </c>
      <c r="E22" s="53">
        <f>SUM('6. WS Regression Analysis'!Q32:Q43)</f>
        <v>88661685.778080925</v>
      </c>
      <c r="F22" s="54">
        <f t="shared" ref="F22:F29" si="10">C22/D22</f>
        <v>0.33607237097333775</v>
      </c>
      <c r="G22" s="53">
        <f t="shared" ref="G22:G32" si="11">E22*F22</f>
        <v>29796742.953932717</v>
      </c>
      <c r="H22" s="51">
        <f>IF($B$19='2. Customer Classes'!$B$14,+G22/'4. Customer Growth'!$C18,+IF($B$19='2. Customer Classes'!$B$15,+G22/'4. Customer Growth'!$E18,+IF($B$19='2. Customer Classes'!$B$16,+G22/'4. Customer Growth'!$G18,+IF($B$19='2. Customer Classes'!$B$17,+G22/'4. Customer Growth'!$I18,+IF($B$19='2. Customer Classes'!$B$18,+G22/'4. Customer Growth'!$K18,+IF($B$19='2. Customer Classes'!$B$19,+G22/'4. Customer Growth'!$M18,IF($B$19='2. Customer Classes'!$B$20,+G22/'4. Customer Growth'!$O18)))))))</f>
        <v>7958.5317718837387</v>
      </c>
      <c r="I22" s="63"/>
      <c r="J22" s="144">
        <f t="shared" ref="J22:J32" si="12">B22</f>
        <v>2014</v>
      </c>
      <c r="K22" s="51">
        <f>IF($J$19='2. Customer Classes'!$B$14,+SUM('3. Consumption by Rate Class'!$D$37:$D$48),+IF($J$19='2. Customer Classes'!$B$15,+SUM('3. Consumption by Rate Class'!$F$37:$F$48),+IF($J$19='2. Customer Classes'!$B$16,+SUM('3. Consumption by Rate Class'!$H$37:$H$48),+IF($J$19='2. Customer Classes'!$B$17,+SUM('3. Consumption by Rate Class'!$J$37:$J$48),+IF($J$19='2. Customer Classes'!$B$18,+SUM('3. Consumption by Rate Class'!$L$37:$L$48),+IF($J$19='2. Customer Classes'!$B$19,+SUM('3. Consumption by Rate Class'!$O$37:$O$48),IF($J$19='2. Customer Classes'!$B$20,+SUM('3. Consumption by Rate Class'!$R$37:$R$48),0)))))))</f>
        <v>11294125</v>
      </c>
      <c r="L22" s="53">
        <f t="shared" ref="L22:L30" si="13">D22</f>
        <v>89376615.260000005</v>
      </c>
      <c r="M22" s="53">
        <f t="shared" si="0"/>
        <v>88661685.778080925</v>
      </c>
      <c r="N22" s="54">
        <f t="shared" si="1"/>
        <v>0.12636554838360076</v>
      </c>
      <c r="O22" s="53">
        <f t="shared" ref="O22:O30" si="14">M22*N22</f>
        <v>11203782.543961693</v>
      </c>
      <c r="P22" s="51">
        <f>IF($J$19='2. Customer Classes'!$B$14,+O22/'4. Customer Growth'!$C18,+IF($J$19='2. Customer Classes'!$B$15,+O22/'4. Customer Growth'!$E18,+IF($J$19='2. Customer Classes'!$B$16,+O22/'4. Customer Growth'!$G18,+IF($J$19='2. Customer Classes'!$B$17,+O22/'4. Customer Growth'!$I18,+IF($J$19='2. Customer Classes'!$B$18,+O22/'4. Customer Growth'!$K18,+IF($J$19='2. Customer Classes'!$B$19,+O22/'4. Customer Growth'!$M18,IF($J$19='2. Customer Classes'!$B$20,+O22/'4. Customer Growth'!$O18)))))))</f>
        <v>25904.699523610849</v>
      </c>
      <c r="Q22" s="63"/>
      <c r="R22" s="144">
        <f t="shared" ref="R22:R32" si="15">B22</f>
        <v>2014</v>
      </c>
      <c r="S22" s="51">
        <f>IF($R$19='2. Customer Classes'!$B$14,+SUM('3. Consumption by Rate Class'!$D$37:$D$48),+IF($R$19='2. Customer Classes'!$B$15,+SUM('3. Consumption by Rate Class'!$F$37:$F$48),+IF($R$19='2. Customer Classes'!$B$16,+SUM('3. Consumption by Rate Class'!$H$37:$H$48),+IF($R$19='2. Customer Classes'!$B$17,+SUM('3. Consumption by Rate Class'!$J$37:$J$48),+IF($R$19='2. Customer Classes'!$B$18,+SUM('3. Consumption by Rate Class'!$L$37:$L$48),+IF($R$19='2. Customer Classes'!$B$19,+SUM('3. Consumption by Rate Class'!$O$37:$O$48),IF($R$19='2. Customer Classes'!$B$20,+SUM('3. Consumption by Rate Class'!$R$37:$R$48),0)))))))</f>
        <v>0</v>
      </c>
      <c r="T22" s="53">
        <f t="shared" si="2"/>
        <v>89376615.260000005</v>
      </c>
      <c r="U22" s="53">
        <f t="shared" si="3"/>
        <v>88661685.778080925</v>
      </c>
      <c r="V22" s="54">
        <f t="shared" ref="V22:V29" si="16">S22/T22</f>
        <v>0</v>
      </c>
      <c r="W22" s="53">
        <f t="shared" ref="W22:W30" si="17">U22*V22</f>
        <v>0</v>
      </c>
      <c r="X22" s="51" t="e">
        <f>IF($R$19='2. Customer Classes'!$B$14,+W22/'4. Customer Growth'!$C18,+IF($R$19='2. Customer Classes'!$B$15,+W22/'4. Customer Growth'!$E18,+IF($R$19='2. Customer Classes'!$B$16,+W22/'4. Customer Growth'!$G18,+IF($R$19='2. Customer Classes'!$B$17,+W22/'4. Customer Growth'!$I18,+IF($R$19='2. Customer Classes'!$B$18,+W22/'4. Customer Growth'!$K18,+IF($R$19='2. Customer Classes'!$B$19,+W22/'4. Customer Growth'!$M18,IF($R$19='2. Customer Classes'!$B$20,+W22/'4. Customer Growth'!$O18)))))))</f>
        <v>#DIV/0!</v>
      </c>
      <c r="Z22" s="144">
        <f t="shared" ref="Z22:Z32" si="18">J22</f>
        <v>2014</v>
      </c>
      <c r="AA22" s="51">
        <f>IF($Z$19='2. Customer Classes'!$B$14,+SUM('3. Consumption by Rate Class'!$D$37:$D$48),+IF($Z$19='2. Customer Classes'!$B$15,+SUM('3. Consumption by Rate Class'!$F$37:$F$48),+IF($Z$19='2. Customer Classes'!$B$16,+SUM('3. Consumption by Rate Class'!$H$37:$H$48),+IF($Z$19='2. Customer Classes'!$B$17,+SUM('3. Consumption by Rate Class'!$J$37:$J$48),+IF($Z$19='2. Customer Classes'!$B$18,+SUM('3. Consumption by Rate Class'!$L$37:$L$48),+IF($Z$19='2. Customer Classes'!$B$19,+SUM('3. Consumption by Rate Class'!$O$37:$O$48),IF($Z$19='2. Customer Classes'!$B$20,+SUM('3. Consumption by Rate Class'!$R$37:$R$48),0)))))))</f>
        <v>0</v>
      </c>
      <c r="AB22" s="53">
        <f t="shared" si="4"/>
        <v>89376615.260000005</v>
      </c>
      <c r="AC22" s="53">
        <f t="shared" si="5"/>
        <v>88661685.778080925</v>
      </c>
      <c r="AD22" s="54">
        <f t="shared" si="6"/>
        <v>0</v>
      </c>
      <c r="AE22" s="53">
        <f t="shared" ref="AE22:AE30" si="19">AC22*AD22</f>
        <v>0</v>
      </c>
      <c r="AF22" s="51" t="e">
        <f>IF($Z$19='2. Customer Classes'!$B$14,+AE22/'4. Customer Growth'!$C18,+IF($Z$19='2. Customer Classes'!$B$15,+AE22/'4. Customer Growth'!$E18,+IF($Z$19='2. Customer Classes'!$B$16,+AE22/'4. Customer Growth'!$G18,+IF($Z$19='2. Customer Classes'!$B$17,+AE22/'4. Customer Growth'!$I18,+IF($Z$19='2. Customer Classes'!$B$18,+AE22/'4. Customer Growth'!$K18,+IF($Z$19='2. Customer Classes'!$B$19,+AE22/'4. Customer Growth'!$M18,IF($Z$19='2. Customer Classes'!$B$20,+AE22/'4. Customer Growth'!$O18)))))))</f>
        <v>#DIV/0!</v>
      </c>
      <c r="AH22" s="144">
        <f t="shared" ref="AH22:AH32" si="20">R22</f>
        <v>2014</v>
      </c>
      <c r="AI22" s="51">
        <f>IF($AH$19='2. Customer Classes'!$B$14,+SUM('3. Consumption by Rate Class'!$D$37:$D$48),+IF($AH$19='2. Customer Classes'!$B$15,+SUM('3. Consumption by Rate Class'!$F$37:$F$48),+IF($AH$19='2. Customer Classes'!$B$16,+SUM('3. Consumption by Rate Class'!$H$37:$H$48),+IF($AH$19='2. Customer Classes'!$B$17,+SUM('3. Consumption by Rate Class'!$J$37:$J$48),+IF($AH$19='2. Customer Classes'!$B$18,+SUM('3. Consumption by Rate Class'!$L$37:$L$48),+IF($AH$19='2. Customer Classes'!$B$19,+SUM('3. Consumption by Rate Class'!$O$37:$O$48),IF($AH$19='2. Customer Classes'!$B$20,+SUM('3. Consumption by Rate Class'!$R$37:$R$48),0)))))))</f>
        <v>0</v>
      </c>
      <c r="AJ22" s="53">
        <f t="shared" si="7"/>
        <v>89376615.260000005</v>
      </c>
      <c r="AK22" s="53">
        <f t="shared" si="8"/>
        <v>88661685.778080925</v>
      </c>
      <c r="AL22" s="54">
        <f t="shared" si="9"/>
        <v>0</v>
      </c>
      <c r="AM22" s="53">
        <f t="shared" ref="AM22:AM30" si="21">AK22*AL22</f>
        <v>0</v>
      </c>
      <c r="AN22" s="51" t="e">
        <f>IF($AH$19='2. Customer Classes'!$B$14,+AM22/'4. Customer Growth'!$C18,+IF($AH$19='2. Customer Classes'!$B$15,+AM22/'4. Customer Growth'!$E18,+IF($AH$19='2. Customer Classes'!$B$16,+AM22/'4. Customer Growth'!$G18,+IF($AH$19='2. Customer Classes'!$B$17,+AM22/'4. Customer Growth'!$I18,+IF($AH$19='2. Customer Classes'!$B$18,+AM22/'4. Customer Growth'!$K18,+IF($AH$19='2. Customer Classes'!$B$19,+AM22/'4. Customer Growth'!$M18,IF($AH$19='2. Customer Classes'!$B$20,+AM22/'4. Customer Growth'!$O18)))))))</f>
        <v>#DIV/0!</v>
      </c>
    </row>
    <row r="23" spans="2:40">
      <c r="B23" s="144">
        <f>'4. Customer Growth'!B19</f>
        <v>2015</v>
      </c>
      <c r="C23" s="51">
        <f>IF($B$19='2. Customer Classes'!$B$14,+SUM('3. Consumption by Rate Class'!$D$49:$D$60),+IF($B$19='2. Customer Classes'!$B$15,+SUM('3. Consumption by Rate Class'!$F$49:$F$60),+IF($B$19='2. Customer Classes'!$B$16,+SUM('3. Consumption by Rate Class'!$H$49:$H$60),+IF($B$19='2. Customer Classes'!$B$17,+SUM('3. Consumption by Rate Class'!$J$49:$J$60),+IF($B$19='2. Customer Classes'!$B$18,+SUM('3. Consumption by Rate Class'!$L$49:$L$60),+IF($B$19='2. Customer Classes'!$B$19,+SUM('3. Consumption by Rate Class'!$O$49:$O$60),IF($B$19='2. Customer Classes'!$B$20,+SUM('3. Consumption by Rate Class'!$R$49:$R$60),0)))))))</f>
        <v>29589162</v>
      </c>
      <c r="D23" s="53">
        <f>SUM('6. WS Regression Analysis'!I44:I55)</f>
        <v>89768282.25999999</v>
      </c>
      <c r="E23" s="53">
        <f>SUM('6. WS Regression Analysis'!Q44:Q55)</f>
        <v>89010777.471517652</v>
      </c>
      <c r="F23" s="54">
        <f t="shared" si="10"/>
        <v>0.32961711258214293</v>
      </c>
      <c r="G23" s="53">
        <f t="shared" si="11"/>
        <v>29339475.458853304</v>
      </c>
      <c r="H23" s="51">
        <f>IF($B$19='2. Customer Classes'!$B$14,+G23/'4. Customer Growth'!$C19,+IF($B$19='2. Customer Classes'!$B$15,+G23/'4. Customer Growth'!$E19,+IF($B$19='2. Customer Classes'!$B$16,+G23/'4. Customer Growth'!$G19,+IF($B$19='2. Customer Classes'!$B$17,+G23/'4. Customer Growth'!$I19,+IF($B$19='2. Customer Classes'!$B$18,+G23/'4. Customer Growth'!$K19,+IF($B$19='2. Customer Classes'!$B$19,+G23/'4. Customer Growth'!$M19,IF($B$19='2. Customer Classes'!$B$20,+G23/'4. Customer Growth'!$O19)))))))</f>
        <v>7787.5183699676982</v>
      </c>
      <c r="I23" s="63"/>
      <c r="J23" s="144">
        <f t="shared" si="12"/>
        <v>2015</v>
      </c>
      <c r="K23" s="51">
        <f>IF($J$19='2. Customer Classes'!$B$14,+SUM('3. Consumption by Rate Class'!$D$49:$D$60),+IF($J$19='2. Customer Classes'!$B$15,+SUM('3. Consumption by Rate Class'!$F$49:$F$60),+IF($J$19='2. Customer Classes'!$B$16,+SUM('3. Consumption by Rate Class'!$H$49:$H$60),+IF($J$19='2. Customer Classes'!$B$17,+SUM('3. Consumption by Rate Class'!$J$49:$J$60),+IF($J$19='2. Customer Classes'!$B$18,+SUM('3. Consumption by Rate Class'!$L$49:$L$60),+IF($J$19='2. Customer Classes'!$B$19,+SUM('3. Consumption by Rate Class'!$O$49:$O$60),IF($J$19='2. Customer Classes'!$B$20,+SUM('3. Consumption by Rate Class'!$R$49:$R$60),0)))))))</f>
        <v>10843312</v>
      </c>
      <c r="L23" s="53">
        <f t="shared" si="13"/>
        <v>89768282.25999999</v>
      </c>
      <c r="M23" s="53">
        <f t="shared" si="0"/>
        <v>89010777.471517652</v>
      </c>
      <c r="N23" s="54">
        <f t="shared" si="1"/>
        <v>0.12079224116814465</v>
      </c>
      <c r="O23" s="53">
        <f t="shared" si="14"/>
        <v>10751811.298903616</v>
      </c>
      <c r="P23" s="51">
        <f>IF($J$19='2. Customer Classes'!$B$14,+O23/'4. Customer Growth'!$C19,+IF($J$19='2. Customer Classes'!$B$15,+O23/'4. Customer Growth'!$E19,+IF($J$19='2. Customer Classes'!$B$16,+O23/'4. Customer Growth'!$G19,+IF($J$19='2. Customer Classes'!$B$17,+O23/'4. Customer Growth'!$I19,+IF($J$19='2. Customer Classes'!$B$18,+O23/'4. Customer Growth'!$K19,+IF($J$19='2. Customer Classes'!$B$19,+O23/'4. Customer Growth'!$M19,IF($J$19='2. Customer Classes'!$B$20,+O23/'4. Customer Growth'!$O19)))))))</f>
        <v>25033.320835631235</v>
      </c>
      <c r="Q23" s="63"/>
      <c r="R23" s="144">
        <f t="shared" si="15"/>
        <v>2015</v>
      </c>
      <c r="S23" s="51">
        <f>IF($R$19='2. Customer Classes'!$B$14,+SUM('3. Consumption by Rate Class'!$D$49:$D$60),+IF($R$19='2. Customer Classes'!$B$15,+SUM('3. Consumption by Rate Class'!$F$49:$F$60),+IF($R$19='2. Customer Classes'!$B$16,+SUM('3. Consumption by Rate Class'!$H$49:$H$60),+IF($R$19='2. Customer Classes'!$B$17,+SUM('3. Consumption by Rate Class'!$J$49:$J$60),+IF($R$19='2. Customer Classes'!$B$18,+SUM('3. Consumption by Rate Class'!$L$49:$L$60),+IF($R$19='2. Customer Classes'!$B$19,+SUM('3. Consumption by Rate Class'!$O$49:$O$60),IF($R$19='2. Customer Classes'!$B$20,+SUM('3. Consumption by Rate Class'!$R$49:$R$60),0)))))))</f>
        <v>0</v>
      </c>
      <c r="T23" s="53">
        <f t="shared" si="2"/>
        <v>89768282.25999999</v>
      </c>
      <c r="U23" s="53">
        <f t="shared" si="3"/>
        <v>89010777.471517652</v>
      </c>
      <c r="V23" s="54">
        <f t="shared" si="16"/>
        <v>0</v>
      </c>
      <c r="W23" s="53">
        <f t="shared" si="17"/>
        <v>0</v>
      </c>
      <c r="X23" s="51" t="e">
        <f>IF($R$19='2. Customer Classes'!$B$14,+W23/'4. Customer Growth'!$C19,+IF($R$19='2. Customer Classes'!$B$15,+W23/'4. Customer Growth'!$E19,+IF($R$19='2. Customer Classes'!$B$16,+W23/'4. Customer Growth'!$G19,+IF($R$19='2. Customer Classes'!$B$17,+W23/'4. Customer Growth'!$I19,+IF($R$19='2. Customer Classes'!$B$18,+W23/'4. Customer Growth'!$K19,+IF($R$19='2. Customer Classes'!$B$19,+W23/'4. Customer Growth'!$M19,IF($R$19='2. Customer Classes'!$B$20,+W23/'4. Customer Growth'!$O19)))))))</f>
        <v>#DIV/0!</v>
      </c>
      <c r="Z23" s="144">
        <f t="shared" si="18"/>
        <v>2015</v>
      </c>
      <c r="AA23" s="51">
        <f>IF($Z$19='2. Customer Classes'!$B$14,+SUM('3. Consumption by Rate Class'!$D$49:$D$60),+IF($Z$19='2. Customer Classes'!$B$15,+SUM('3. Consumption by Rate Class'!$F$49:$F$60),+IF($Z$19='2. Customer Classes'!$B$16,+SUM('3. Consumption by Rate Class'!$H$49:$H$60),+IF($Z$19='2. Customer Classes'!$B$17,+SUM('3. Consumption by Rate Class'!$J$49:$J$60),+IF($Z$19='2. Customer Classes'!$B$18,+SUM('3. Consumption by Rate Class'!$L$49:$L$60),+IF($Z$19='2. Customer Classes'!$B$19,+SUM('3. Consumption by Rate Class'!$O$49:$O$60),IF($Z$19='2. Customer Classes'!$B$20,+SUM('3. Consumption by Rate Class'!$R$49:$R$60),0)))))))</f>
        <v>0</v>
      </c>
      <c r="AB23" s="53">
        <f t="shared" si="4"/>
        <v>89768282.25999999</v>
      </c>
      <c r="AC23" s="53">
        <f t="shared" si="5"/>
        <v>89010777.471517652</v>
      </c>
      <c r="AD23" s="54">
        <f t="shared" si="6"/>
        <v>0</v>
      </c>
      <c r="AE23" s="53">
        <f t="shared" si="19"/>
        <v>0</v>
      </c>
      <c r="AF23" s="51" t="e">
        <f>IF($Z$19='2. Customer Classes'!$B$14,+AE23/'4. Customer Growth'!$C19,+IF($Z$19='2. Customer Classes'!$B$15,+AE23/'4. Customer Growth'!$E19,+IF($Z$19='2. Customer Classes'!$B$16,+AE23/'4. Customer Growth'!$G19,+IF($Z$19='2. Customer Classes'!$B$17,+AE23/'4. Customer Growth'!$I19,+IF($Z$19='2. Customer Classes'!$B$18,+AE23/'4. Customer Growth'!$K19,+IF($Z$19='2. Customer Classes'!$B$19,+AE23/'4. Customer Growth'!$M19,IF($Z$19='2. Customer Classes'!$B$20,+AE23/'4. Customer Growth'!$O19)))))))</f>
        <v>#DIV/0!</v>
      </c>
      <c r="AH23" s="144">
        <f t="shared" si="20"/>
        <v>2015</v>
      </c>
      <c r="AI23" s="51">
        <f>IF($AH$19='2. Customer Classes'!$B$14,+SUM('3. Consumption by Rate Class'!$D$49:$D$60),+IF($AH$19='2. Customer Classes'!$B$15,+SUM('3. Consumption by Rate Class'!$F$49:$F$60),+IF($AH$19='2. Customer Classes'!$B$16,+SUM('3. Consumption by Rate Class'!$H$49:$H$60),+IF($AH$19='2. Customer Classes'!$B$17,+SUM('3. Consumption by Rate Class'!$J$49:$J$60),+IF($AH$19='2. Customer Classes'!$B$18,+SUM('3. Consumption by Rate Class'!$L$49:$L$60),+IF($AH$19='2. Customer Classes'!$B$19,+SUM('3. Consumption by Rate Class'!$O$49:$O$60),IF($AH$19='2. Customer Classes'!$B$20,+SUM('3. Consumption by Rate Class'!$R$49:$R$60),0)))))))</f>
        <v>0</v>
      </c>
      <c r="AJ23" s="53">
        <f t="shared" si="7"/>
        <v>89768282.25999999</v>
      </c>
      <c r="AK23" s="53">
        <f t="shared" si="8"/>
        <v>89010777.471517652</v>
      </c>
      <c r="AL23" s="54">
        <f t="shared" si="9"/>
        <v>0</v>
      </c>
      <c r="AM23" s="53">
        <f t="shared" si="21"/>
        <v>0</v>
      </c>
      <c r="AN23" s="51" t="e">
        <f>IF($AH$19='2. Customer Classes'!$B$14,+AM23/'4. Customer Growth'!$C19,+IF($AH$19='2. Customer Classes'!$B$15,+AM23/'4. Customer Growth'!$E19,+IF($AH$19='2. Customer Classes'!$B$16,+AM23/'4. Customer Growth'!$G19,+IF($AH$19='2. Customer Classes'!$B$17,+AM23/'4. Customer Growth'!$I19,+IF($AH$19='2. Customer Classes'!$B$18,+AM23/'4. Customer Growth'!$K19,+IF($AH$19='2. Customer Classes'!$B$19,+AM23/'4. Customer Growth'!$M19,IF($AH$19='2. Customer Classes'!$B$20,+AM23/'4. Customer Growth'!$O19)))))))</f>
        <v>#DIV/0!</v>
      </c>
    </row>
    <row r="24" spans="2:40">
      <c r="B24" s="144">
        <f>'4. Customer Growth'!B20</f>
        <v>2016</v>
      </c>
      <c r="C24" s="51">
        <f>IF($B$19='2. Customer Classes'!$B$14,+SUM('3. Consumption by Rate Class'!$D$61:$D$72),+IF($B$19='2. Customer Classes'!$B$15,+SUM('3. Consumption by Rate Class'!$F$61:$F$72),+IF($B$19='2. Customer Classes'!$B$16,+SUM('3. Consumption by Rate Class'!$H$61:$H$72),+IF($B$19='2. Customer Classes'!$B$17,+SUM('3. Consumption by Rate Class'!$J$61:$J$72),+IF($B$19='2. Customer Classes'!$B$18,+SUM('3. Consumption by Rate Class'!$L$61:$L$72),+IF($B$19='2. Customer Classes'!$B$19,+SUM('3. Consumption by Rate Class'!$O$61:$O$72),IF($B$19='2. Customer Classes'!$B$20,+SUM('3. Consumption by Rate Class'!$R$61:$R$72),0)))))))</f>
        <v>28890618</v>
      </c>
      <c r="D24" s="53">
        <f>SUM('6. WS Regression Analysis'!I56:I67)</f>
        <v>89085775.25999999</v>
      </c>
      <c r="E24" s="53">
        <f>SUM('6. WS Regression Analysis'!Q56:Q67)</f>
        <v>89934682.74622038</v>
      </c>
      <c r="F24" s="54">
        <f t="shared" si="10"/>
        <v>0.32430113467253002</v>
      </c>
      <c r="G24" s="53">
        <f t="shared" si="11"/>
        <v>29165919.661013279</v>
      </c>
      <c r="H24" s="51">
        <f>IF($B$19='2. Customer Classes'!$B$14,+G24/'4. Customer Growth'!$C20,+IF($B$19='2. Customer Classes'!$B$15,+G24/'4. Customer Growth'!$E20,+IF($B$19='2. Customer Classes'!$B$16,+G24/'4. Customer Growth'!$G20,+IF($B$19='2. Customer Classes'!$B$17,+G24/'4. Customer Growth'!$I20,+IF($B$19='2. Customer Classes'!$B$18,+G24/'4. Customer Growth'!$K20,+IF($B$19='2. Customer Classes'!$B$19,+G24/'4. Customer Growth'!$M20,IF($B$19='2. Customer Classes'!$B$20,+G24/'4. Customer Growth'!$O20)))))))</f>
        <v>7716.8725125051669</v>
      </c>
      <c r="I24" s="63"/>
      <c r="J24" s="144">
        <f t="shared" si="12"/>
        <v>2016</v>
      </c>
      <c r="K24" s="51">
        <f>IF($J$19='2. Customer Classes'!$B$14,+SUM('3. Consumption by Rate Class'!$D$61:$D$72),+IF($J$19='2. Customer Classes'!$B$15,+SUM('3. Consumption by Rate Class'!$F$61:$F$72),+IF($J$19='2. Customer Classes'!$B$16,+SUM('3. Consumption by Rate Class'!$H$61:$H$72),+IF($J$19='2. Customer Classes'!$B$17,+SUM('3. Consumption by Rate Class'!$J$61:$J$72),+IF($J$19='2. Customer Classes'!$B$18,+SUM('3. Consumption by Rate Class'!$L$61:$L$72),+IF($J$19='2. Customer Classes'!$B$19,+SUM('3. Consumption by Rate Class'!$O$61:$O$72),IF($J$19='2. Customer Classes'!$B$20,+SUM('3. Consumption by Rate Class'!$R$61:$R$72),0)))))))</f>
        <v>10820876</v>
      </c>
      <c r="L24" s="53">
        <f t="shared" si="13"/>
        <v>89085775.25999999</v>
      </c>
      <c r="M24" s="53">
        <f t="shared" si="0"/>
        <v>89934682.74622038</v>
      </c>
      <c r="N24" s="54">
        <f t="shared" si="1"/>
        <v>0.12146581166767523</v>
      </c>
      <c r="O24" s="53">
        <f t="shared" si="14"/>
        <v>10923989.236844525</v>
      </c>
      <c r="P24" s="51">
        <f>IF($J$19='2. Customer Classes'!$B$14,+O24/'4. Customer Growth'!$C20,+IF($J$19='2. Customer Classes'!$B$15,+O24/'4. Customer Growth'!$E20,+IF($J$19='2. Customer Classes'!$B$16,+O24/'4. Customer Growth'!$G20,+IF($J$19='2. Customer Classes'!$B$17,+O24/'4. Customer Growth'!$I20,+IF($J$19='2. Customer Classes'!$B$18,+O24/'4. Customer Growth'!$K20,+IF($J$19='2. Customer Classes'!$B$19,+O24/'4. Customer Growth'!$M20,IF($J$19='2. Customer Classes'!$B$20,+O24/'4. Customer Growth'!$O20)))))))</f>
        <v>25257.778582299477</v>
      </c>
      <c r="Q24" s="63"/>
      <c r="R24" s="144">
        <f t="shared" si="15"/>
        <v>2016</v>
      </c>
      <c r="S24" s="51">
        <f>IF($R$19='2. Customer Classes'!$B$14,+SUM('3. Consumption by Rate Class'!$D$61:$D$72),+IF($R$19='2. Customer Classes'!$B$15,+SUM('3. Consumption by Rate Class'!$F$61:$F$72),+IF($R$19='2. Customer Classes'!$B$16,+SUM('3. Consumption by Rate Class'!$H$61:$H$72),+IF($R$19='2. Customer Classes'!$B$17,+SUM('3. Consumption by Rate Class'!$J$61:$J$72),+IF($R$19='2. Customer Classes'!$B$18,+SUM('3. Consumption by Rate Class'!$L$61:$L$72),+IF($R$19='2. Customer Classes'!$B$19,+SUM('3. Consumption by Rate Class'!$O$61:$O$72),IF($R$19='2. Customer Classes'!$B$20,+SUM('3. Consumption by Rate Class'!$R$61:$R$72),0)))))))</f>
        <v>0</v>
      </c>
      <c r="T24" s="53">
        <f t="shared" si="2"/>
        <v>89085775.25999999</v>
      </c>
      <c r="U24" s="53">
        <f t="shared" si="3"/>
        <v>89934682.74622038</v>
      </c>
      <c r="V24" s="54">
        <f t="shared" si="16"/>
        <v>0</v>
      </c>
      <c r="W24" s="53">
        <f t="shared" si="17"/>
        <v>0</v>
      </c>
      <c r="X24" s="51" t="e">
        <f>IF($R$19='2. Customer Classes'!$B$14,+W24/'4. Customer Growth'!$C20,+IF($R$19='2. Customer Classes'!$B$15,+W24/'4. Customer Growth'!$E20,+IF($R$19='2. Customer Classes'!$B$16,+W24/'4. Customer Growth'!$G20,+IF($R$19='2. Customer Classes'!$B$17,+W24/'4. Customer Growth'!$I20,+IF($R$19='2. Customer Classes'!$B$18,+W24/'4. Customer Growth'!$K20,+IF($R$19='2. Customer Classes'!$B$19,+W24/'4. Customer Growth'!$M20,IF($R$19='2. Customer Classes'!$B$20,+W24/'4. Customer Growth'!$O20)))))))</f>
        <v>#DIV/0!</v>
      </c>
      <c r="Z24" s="144">
        <f t="shared" si="18"/>
        <v>2016</v>
      </c>
      <c r="AA24" s="51">
        <f>IF($Z$19='2. Customer Classes'!$B$14,+SUM('3. Consumption by Rate Class'!$D$61:$D$72),+IF($Z$19='2. Customer Classes'!$B$15,+SUM('3. Consumption by Rate Class'!$F$61:$F$72),+IF($Z$19='2. Customer Classes'!$B$16,+SUM('3. Consumption by Rate Class'!$H$61:$H$72),+IF($Z$19='2. Customer Classes'!$B$17,+SUM('3. Consumption by Rate Class'!$J$61:$J$72),+IF($Z$19='2. Customer Classes'!$B$18,+SUM('3. Consumption by Rate Class'!$L$61:$L$72),+IF($Z$19='2. Customer Classes'!$B$19,+SUM('3. Consumption by Rate Class'!$O$61:$O$72),IF($Z$19='2. Customer Classes'!$B$20,+SUM('3. Consumption by Rate Class'!$R$61:$R$72),0)))))))</f>
        <v>0</v>
      </c>
      <c r="AB24" s="53">
        <f t="shared" si="4"/>
        <v>89085775.25999999</v>
      </c>
      <c r="AC24" s="53">
        <f t="shared" si="5"/>
        <v>89934682.74622038</v>
      </c>
      <c r="AD24" s="54">
        <f t="shared" si="6"/>
        <v>0</v>
      </c>
      <c r="AE24" s="53">
        <f t="shared" si="19"/>
        <v>0</v>
      </c>
      <c r="AF24" s="51" t="e">
        <f>IF($Z$19='2. Customer Classes'!$B$14,+AE24/'4. Customer Growth'!$C20,+IF($Z$19='2. Customer Classes'!$B$15,+AE24/'4. Customer Growth'!$E20,+IF($Z$19='2. Customer Classes'!$B$16,+AE24/'4. Customer Growth'!$G20,+IF($Z$19='2. Customer Classes'!$B$17,+AE24/'4. Customer Growth'!$I20,+IF($Z$19='2. Customer Classes'!$B$18,+AE24/'4. Customer Growth'!$K20,+IF($Z$19='2. Customer Classes'!$B$19,+AE24/'4. Customer Growth'!$M20,IF($Z$19='2. Customer Classes'!$B$20,+AE24/'4. Customer Growth'!$O20)))))))</f>
        <v>#DIV/0!</v>
      </c>
      <c r="AH24" s="144">
        <f t="shared" si="20"/>
        <v>2016</v>
      </c>
      <c r="AI24" s="51">
        <f>IF($AH$19='2. Customer Classes'!$B$14,+SUM('3. Consumption by Rate Class'!$D$61:$D$72),+IF($AH$19='2. Customer Classes'!$B$15,+SUM('3. Consumption by Rate Class'!$F$61:$F$72),+IF($AH$19='2. Customer Classes'!$B$16,+SUM('3. Consumption by Rate Class'!$H$61:$H$72),+IF($AH$19='2. Customer Classes'!$B$17,+SUM('3. Consumption by Rate Class'!$J$61:$J$72),+IF($AH$19='2. Customer Classes'!$B$18,+SUM('3. Consumption by Rate Class'!$L$61:$L$72),+IF($AH$19='2. Customer Classes'!$B$19,+SUM('3. Consumption by Rate Class'!$O$61:$O$72),IF($AH$19='2. Customer Classes'!$B$20,+SUM('3. Consumption by Rate Class'!$R$61:$R$72),0)))))))</f>
        <v>0</v>
      </c>
      <c r="AJ24" s="53">
        <f t="shared" si="7"/>
        <v>89085775.25999999</v>
      </c>
      <c r="AK24" s="53">
        <f t="shared" si="8"/>
        <v>89934682.74622038</v>
      </c>
      <c r="AL24" s="54">
        <f t="shared" si="9"/>
        <v>0</v>
      </c>
      <c r="AM24" s="53">
        <f t="shared" si="21"/>
        <v>0</v>
      </c>
      <c r="AN24" s="51" t="e">
        <f>IF($AH$19='2. Customer Classes'!$B$14,+AM24/'4. Customer Growth'!$C20,+IF($AH$19='2. Customer Classes'!$B$15,+AM24/'4. Customer Growth'!$E20,+IF($AH$19='2. Customer Classes'!$B$16,+AM24/'4. Customer Growth'!$G20,+IF($AH$19='2. Customer Classes'!$B$17,+AM24/'4. Customer Growth'!$I20,+IF($AH$19='2. Customer Classes'!$B$18,+AM24/'4. Customer Growth'!$K20,+IF($AH$19='2. Customer Classes'!$B$19,+AM24/'4. Customer Growth'!$M20,IF($AH$19='2. Customer Classes'!$B$20,+AM24/'4. Customer Growth'!$O20)))))))</f>
        <v>#DIV/0!</v>
      </c>
    </row>
    <row r="25" spans="2:40">
      <c r="B25" s="144">
        <f>'4. Customer Growth'!B21</f>
        <v>2017</v>
      </c>
      <c r="C25" s="51">
        <f>IF($B$19='2. Customer Classes'!$B$14,+SUM('3. Consumption by Rate Class'!$D$73:$D$84),+IF($B$19='2. Customer Classes'!$B$15,+SUM('3. Consumption by Rate Class'!$F$73:$F$84),+IF($B$19='2. Customer Classes'!$B$16,+SUM('3. Consumption by Rate Class'!$H$73:$H$84),+IF($B$19='2. Customer Classes'!$B$17,+SUM('3. Consumption by Rate Class'!$J$73:$J$84),+IF($B$19='2. Customer Classes'!$B$18,+SUM('3. Consumption by Rate Class'!$L$73:$L$84),+IF($B$19='2. Customer Classes'!$B$19,+SUM('3. Consumption by Rate Class'!$O$73:$O$84),IF($B$19='2. Customer Classes'!$B$20,+SUM('3. Consumption by Rate Class'!$R$73:$R$84),0)))))))</f>
        <v>28151208</v>
      </c>
      <c r="D25" s="53">
        <f>SUM('6. WS Regression Analysis'!I68:I79)</f>
        <v>88171491.929999992</v>
      </c>
      <c r="E25" s="53">
        <f>SUM('6. WS Regression Analysis'!Q68:Q79)</f>
        <v>88121279.395198524</v>
      </c>
      <c r="F25" s="54">
        <f>C25/D25</f>
        <v>0.31927789111643312</v>
      </c>
      <c r="G25" s="53">
        <f t="shared" si="11"/>
        <v>28135176.247780975</v>
      </c>
      <c r="H25" s="51">
        <f>IF($B$19='2. Customer Classes'!$B$14,+G25/'4. Customer Growth'!$C21,+IF($B$19='2. Customer Classes'!$B$15,+G25/'4. Customer Growth'!$E21,+IF($B$19='2. Customer Classes'!$B$16,+G25/'4. Customer Growth'!$G21,+IF($B$19='2. Customer Classes'!$B$17,+G25/'4. Customer Growth'!$I21,+IF($B$19='2. Customer Classes'!$B$18,+G25/'4. Customer Growth'!$K21,+IF($B$19='2. Customer Classes'!$B$19,+G25/'4. Customer Growth'!$M21,IF($B$19='2. Customer Classes'!$B$20,+G25/'4. Customer Growth'!$O21)))))))</f>
        <v>7409.8436259628588</v>
      </c>
      <c r="I25" s="63"/>
      <c r="J25" s="144">
        <f t="shared" si="12"/>
        <v>2017</v>
      </c>
      <c r="K25" s="51">
        <f>IF($J$19='2. Customer Classes'!$B$14,+SUM('3. Consumption by Rate Class'!$D$73:$D$84),+IF($J$19='2. Customer Classes'!$B$15,+SUM('3. Consumption by Rate Class'!$F$73:$F$84),+IF($J$19='2. Customer Classes'!$B$16,+SUM('3. Consumption by Rate Class'!$H$73:$H$84),+IF($J$19='2. Customer Classes'!$B$17,+SUM('3. Consumption by Rate Class'!$J$73:$J$84),+IF($J$19='2. Customer Classes'!$B$18,+SUM('3. Consumption by Rate Class'!$L$73:$L$84),+IF($J$19='2. Customer Classes'!$B$19,+SUM('3. Consumption by Rate Class'!$O$73:$O$84),IF($J$19='2. Customer Classes'!$B$20,+SUM('3. Consumption by Rate Class'!$R$73:$R$84),0)))))))</f>
        <v>10907791</v>
      </c>
      <c r="L25" s="53">
        <f t="shared" si="13"/>
        <v>88171491.929999992</v>
      </c>
      <c r="M25" s="53">
        <f t="shared" si="0"/>
        <v>88121279.395198524</v>
      </c>
      <c r="N25" s="54">
        <f t="shared" si="1"/>
        <v>0.12371108576295586</v>
      </c>
      <c r="O25" s="53">
        <f t="shared" si="14"/>
        <v>10901579.1528008</v>
      </c>
      <c r="P25" s="51">
        <f>IF($J$19='2. Customer Classes'!$B$14,+O25/'4. Customer Growth'!$C21,+IF($J$19='2. Customer Classes'!$B$15,+O25/'4. Customer Growth'!$E21,+IF($J$19='2. Customer Classes'!$B$16,+O25/'4. Customer Growth'!$G21,+IF($J$19='2. Customer Classes'!$B$17,+O25/'4. Customer Growth'!$I21,+IF($J$19='2. Customer Classes'!$B$18,+O25/'4. Customer Growth'!$K21,+IF($J$19='2. Customer Classes'!$B$19,+O25/'4. Customer Growth'!$M21,IF($J$19='2. Customer Classes'!$B$20,+O25/'4. Customer Growth'!$O21)))))))</f>
        <v>25003.621910093578</v>
      </c>
      <c r="Q25" s="63"/>
      <c r="R25" s="144">
        <f t="shared" si="15"/>
        <v>2017</v>
      </c>
      <c r="S25" s="51">
        <f>IF($R$19='2. Customer Classes'!$B$14,+SUM('3. Consumption by Rate Class'!$D$73:$D$84),+IF($R$19='2. Customer Classes'!$B$15,+SUM('3. Consumption by Rate Class'!$F$73:$F$84),+IF($R$19='2. Customer Classes'!$B$16,+SUM('3. Consumption by Rate Class'!$H$73:$H$84),+IF($R$19='2. Customer Classes'!$B$17,+SUM('3. Consumption by Rate Class'!$J$73:$J$84),+IF($R$19='2. Customer Classes'!$B$18,+SUM('3. Consumption by Rate Class'!$L$73:$L$84),+IF($R$19='2. Customer Classes'!$B$19,+SUM('3. Consumption by Rate Class'!$O$73:$O$84),IF($R$19='2. Customer Classes'!$B$20,+SUM('3. Consumption by Rate Class'!$R$73:$R$84),0)))))))</f>
        <v>0</v>
      </c>
      <c r="T25" s="53">
        <f t="shared" si="2"/>
        <v>88171491.929999992</v>
      </c>
      <c r="U25" s="53">
        <f t="shared" si="3"/>
        <v>88121279.395198524</v>
      </c>
      <c r="V25" s="54">
        <f t="shared" si="16"/>
        <v>0</v>
      </c>
      <c r="W25" s="53">
        <f t="shared" si="17"/>
        <v>0</v>
      </c>
      <c r="X25" s="51" t="e">
        <f>IF($R$19='2. Customer Classes'!$B$14,+W25/'4. Customer Growth'!$C21,+IF($R$19='2. Customer Classes'!$B$15,+W25/'4. Customer Growth'!$E21,+IF($R$19='2. Customer Classes'!$B$16,+W25/'4. Customer Growth'!$G21,+IF($R$19='2. Customer Classes'!$B$17,+W25/'4. Customer Growth'!$I21,+IF($R$19='2. Customer Classes'!$B$18,+W25/'4. Customer Growth'!$K21,+IF($R$19='2. Customer Classes'!$B$19,+W25/'4. Customer Growth'!$M21,IF($R$19='2. Customer Classes'!$B$20,+W25/'4. Customer Growth'!$O21)))))))</f>
        <v>#DIV/0!</v>
      </c>
      <c r="Z25" s="144">
        <f t="shared" si="18"/>
        <v>2017</v>
      </c>
      <c r="AA25" s="51">
        <f>IF($Z$19='2. Customer Classes'!$B$14,+SUM('3. Consumption by Rate Class'!$D$73:$D$84),+IF($Z$19='2. Customer Classes'!$B$15,+SUM('3. Consumption by Rate Class'!$F$73:$F$84),+IF($Z$19='2. Customer Classes'!$B$16,+SUM('3. Consumption by Rate Class'!$H$73:$H$84),+IF($Z$19='2. Customer Classes'!$B$17,+SUM('3. Consumption by Rate Class'!$J$73:$J$84),+IF($Z$19='2. Customer Classes'!$B$18,+SUM('3. Consumption by Rate Class'!$L$73:$L$84),+IF($Z$19='2. Customer Classes'!$B$19,+SUM('3. Consumption by Rate Class'!$O$73:$O$84),IF($Z$19='2. Customer Classes'!$B$20,+SUM('3. Consumption by Rate Class'!$R$73:$R$84),0)))))))</f>
        <v>0</v>
      </c>
      <c r="AB25" s="53">
        <f t="shared" si="4"/>
        <v>88171491.929999992</v>
      </c>
      <c r="AC25" s="53">
        <f t="shared" si="5"/>
        <v>88121279.395198524</v>
      </c>
      <c r="AD25" s="54">
        <f t="shared" si="6"/>
        <v>0</v>
      </c>
      <c r="AE25" s="53">
        <f t="shared" si="19"/>
        <v>0</v>
      </c>
      <c r="AF25" s="51" t="e">
        <f>IF($Z$19='2. Customer Classes'!$B$14,+AE25/'4. Customer Growth'!$C21,+IF($Z$19='2. Customer Classes'!$B$15,+AE25/'4. Customer Growth'!$E21,+IF($Z$19='2. Customer Classes'!$B$16,+AE25/'4. Customer Growth'!$G21,+IF($Z$19='2. Customer Classes'!$B$17,+AE25/'4. Customer Growth'!$I21,+IF($Z$19='2. Customer Classes'!$B$18,+AE25/'4. Customer Growth'!$K21,+IF($Z$19='2. Customer Classes'!$B$19,+AE25/'4. Customer Growth'!$M21,IF($Z$19='2. Customer Classes'!$B$20,+AE25/'4. Customer Growth'!$O21)))))))</f>
        <v>#DIV/0!</v>
      </c>
      <c r="AH25" s="144">
        <f t="shared" si="20"/>
        <v>2017</v>
      </c>
      <c r="AI25" s="51">
        <f>IF($AH$19='2. Customer Classes'!$B$14,+SUM('3. Consumption by Rate Class'!$D$73:$D$84),+IF($AH$19='2. Customer Classes'!$B$15,+SUM('3. Consumption by Rate Class'!$F$73:$F$84),+IF($AH$19='2. Customer Classes'!$B$16,+SUM('3. Consumption by Rate Class'!$H$73:$H$84),+IF($AH$19='2. Customer Classes'!$B$17,+SUM('3. Consumption by Rate Class'!$J$73:$J$84),+IF($AH$19='2. Customer Classes'!$B$18,+SUM('3. Consumption by Rate Class'!$L$73:$L$84),+IF($AH$19='2. Customer Classes'!$B$19,+SUM('3. Consumption by Rate Class'!$O$73:$O$84),IF($AH$19='2. Customer Classes'!$B$20,+SUM('3. Consumption by Rate Class'!$R$73:$R$84),0)))))))</f>
        <v>0</v>
      </c>
      <c r="AJ25" s="53">
        <f t="shared" si="7"/>
        <v>88171491.929999992</v>
      </c>
      <c r="AK25" s="53">
        <f t="shared" si="8"/>
        <v>88121279.395198524</v>
      </c>
      <c r="AL25" s="54">
        <f t="shared" si="9"/>
        <v>0</v>
      </c>
      <c r="AM25" s="53">
        <f t="shared" si="21"/>
        <v>0</v>
      </c>
      <c r="AN25" s="51" t="e">
        <f>IF($AH$19='2. Customer Classes'!$B$14,+AM25/'4. Customer Growth'!$C21,+IF($AH$19='2. Customer Classes'!$B$15,+AM25/'4. Customer Growth'!$E21,+IF($AH$19='2. Customer Classes'!$B$16,+AM25/'4. Customer Growth'!$G21,+IF($AH$19='2. Customer Classes'!$B$17,+AM25/'4. Customer Growth'!$I21,+IF($AH$19='2. Customer Classes'!$B$18,+AM25/'4. Customer Growth'!$K21,+IF($AH$19='2. Customer Classes'!$B$19,+AM25/'4. Customer Growth'!$M21,IF($AH$19='2. Customer Classes'!$B$20,+AM25/'4. Customer Growth'!$O21)))))))</f>
        <v>#DIV/0!</v>
      </c>
    </row>
    <row r="26" spans="2:40">
      <c r="B26" s="144">
        <f>'4. Customer Growth'!B22</f>
        <v>2018</v>
      </c>
      <c r="C26" s="51">
        <f>IF($B$19='2. Customer Classes'!$B$14,+SUM('3. Consumption by Rate Class'!$D$85:$D$96),+IF($B$19='2. Customer Classes'!$B$15,+SUM('3. Consumption by Rate Class'!$F$85:$F$96),+IF($B$19='2. Customer Classes'!$B$16,+SUM('3. Consumption by Rate Class'!$H$85:$H$96),+IF($B$19='2. Customer Classes'!$B$17,+SUM('3. Consumption by Rate Class'!$J$85:$J$96),+IF($B$19='2. Customer Classes'!$B$18,+SUM('3. Consumption by Rate Class'!$L$85:$L$96),+IF($B$19='2. Customer Classes'!$B$19,+SUM('3. Consumption by Rate Class'!$O$85:$O$96),IF($B$19='2. Customer Classes'!$B$20,+SUM('3. Consumption by Rate Class'!$R$85:$R$96),0)))))))</f>
        <v>29861489</v>
      </c>
      <c r="D26" s="53">
        <f>SUM('6. WS Regression Analysis'!I80:I91)</f>
        <v>89884663.680000007</v>
      </c>
      <c r="E26" s="53">
        <f>SUM('6. WS Regression Analysis'!Q80:Q91)</f>
        <v>90935675.292789266</v>
      </c>
      <c r="F26" s="54">
        <f t="shared" si="10"/>
        <v>0.33222006711078567</v>
      </c>
      <c r="G26" s="53">
        <f t="shared" si="11"/>
        <v>30210656.148535065</v>
      </c>
      <c r="H26" s="51">
        <f>IF($B$19='2. Customer Classes'!$B$14,+G26/'4. Customer Growth'!$C22,+IF($B$19='2. Customer Classes'!$B$15,+G26/'4. Customer Growth'!$E22,+IF($B$19='2. Customer Classes'!$B$16,+G26/'4. Customer Growth'!$G22,+IF($B$19='2. Customer Classes'!$B$17,+G26/'4. Customer Growth'!$I22,+IF($B$19='2. Customer Classes'!$B$18,+G26/'4. Customer Growth'!$K22,+IF($B$19='2. Customer Classes'!$B$19,+G26/'4. Customer Growth'!$M22,IF($B$19='2. Customer Classes'!$B$20,+G26/'4. Customer Growth'!$O22)))))))</f>
        <v>7922.0286216166423</v>
      </c>
      <c r="I26" s="63"/>
      <c r="J26" s="144">
        <f t="shared" si="12"/>
        <v>2018</v>
      </c>
      <c r="K26" s="51">
        <f>IF($J$19='2. Customer Classes'!$B$14,+SUM('3. Consumption by Rate Class'!$D$85:$D$96),+IF($J$19='2. Customer Classes'!$B$15,+SUM('3. Consumption by Rate Class'!$F$85:$F$96),+IF($J$19='2. Customer Classes'!$B$16,+SUM('3. Consumption by Rate Class'!$H$85:$H$96),+IF($J$19='2. Customer Classes'!$B$17,+SUM('3. Consumption by Rate Class'!$J$85:$J$96),+IF($J$19='2. Customer Classes'!$B$18,+SUM('3. Consumption by Rate Class'!$L$85:$L$96),+IF($J$19='2. Customer Classes'!$B$19,+SUM('3. Consumption by Rate Class'!$O$85:$O$96),IF($J$19='2. Customer Classes'!$B$20,+SUM('3. Consumption by Rate Class'!$R$85:$R$96),0)))))))</f>
        <v>11124464</v>
      </c>
      <c r="L26" s="53">
        <f t="shared" si="13"/>
        <v>89884663.680000007</v>
      </c>
      <c r="M26" s="53">
        <f t="shared" si="0"/>
        <v>90935675.292789266</v>
      </c>
      <c r="N26" s="54">
        <f t="shared" si="1"/>
        <v>0.12376376063000472</v>
      </c>
      <c r="O26" s="53">
        <f t="shared" si="14"/>
        <v>11254541.149664605</v>
      </c>
      <c r="P26" s="51">
        <f>IF($J$19='2. Customer Classes'!$B$14,+O26/'4. Customer Growth'!$C22,+IF($J$19='2. Customer Classes'!$B$15,+O26/'4. Customer Growth'!$E22,+IF($J$19='2. Customer Classes'!$B$16,+O26/'4. Customer Growth'!$G22,+IF($J$19='2. Customer Classes'!$B$17,+O26/'4. Customer Growth'!$I22,+IF($J$19='2. Customer Classes'!$B$18,+O26/'4. Customer Growth'!$K22,+IF($J$19='2. Customer Classes'!$B$19,+O26/'4. Customer Growth'!$M22,IF($J$19='2. Customer Classes'!$B$20,+O26/'4. Customer Growth'!$O22)))))))</f>
        <v>25607.602160784085</v>
      </c>
      <c r="Q26" s="63"/>
      <c r="R26" s="144">
        <f t="shared" si="15"/>
        <v>2018</v>
      </c>
      <c r="S26" s="51">
        <f>IF($R$19='2. Customer Classes'!$B$14,+SUM('3. Consumption by Rate Class'!$D$85:$D$96),+IF($R$19='2. Customer Classes'!$B$15,+SUM('3. Consumption by Rate Class'!$F$85:$F$96),+IF($R$19='2. Customer Classes'!$B$16,+SUM('3. Consumption by Rate Class'!$H$85:$H$96),+IF($R$19='2. Customer Classes'!$B$17,+SUM('3. Consumption by Rate Class'!$J$85:$J$96),+IF($R$19='2. Customer Classes'!$B$18,+SUM('3. Consumption by Rate Class'!$L$85:$L$96),+IF($R$19='2. Customer Classes'!$B$19,+SUM('3. Consumption by Rate Class'!$O$85:$O$96),IF($R$19='2. Customer Classes'!$B$20,+SUM('3. Consumption by Rate Class'!$R$85:$R$96),0)))))))</f>
        <v>0</v>
      </c>
      <c r="T26" s="53">
        <f t="shared" si="2"/>
        <v>89884663.680000007</v>
      </c>
      <c r="U26" s="53">
        <f t="shared" si="3"/>
        <v>90935675.292789266</v>
      </c>
      <c r="V26" s="54">
        <f t="shared" si="16"/>
        <v>0</v>
      </c>
      <c r="W26" s="53">
        <f t="shared" si="17"/>
        <v>0</v>
      </c>
      <c r="X26" s="51" t="e">
        <f>IF($R$19='2. Customer Classes'!$B$14,+W26/'4. Customer Growth'!$C22,+IF($R$19='2. Customer Classes'!$B$15,+W26/'4. Customer Growth'!$E22,+IF($R$19='2. Customer Classes'!$B$16,+W26/'4. Customer Growth'!$G22,+IF($R$19='2. Customer Classes'!$B$17,+W26/'4. Customer Growth'!$I22,+IF($R$19='2. Customer Classes'!$B$18,+W26/'4. Customer Growth'!$K22,+IF($R$19='2. Customer Classes'!$B$19,+W26/'4. Customer Growth'!$M22,IF($R$19='2. Customer Classes'!$B$20,+W26/'4. Customer Growth'!$O22)))))))</f>
        <v>#DIV/0!</v>
      </c>
      <c r="Z26" s="144">
        <f t="shared" si="18"/>
        <v>2018</v>
      </c>
      <c r="AA26" s="51">
        <f>IF($Z$19='2. Customer Classes'!$B$14,+SUM('3. Consumption by Rate Class'!$D$85:$D$96),+IF($Z$19='2. Customer Classes'!$B$15,+SUM('3. Consumption by Rate Class'!$F$85:$F$96),+IF($Z$19='2. Customer Classes'!$B$16,+SUM('3. Consumption by Rate Class'!$H$85:$H$96),+IF($Z$19='2. Customer Classes'!$B$17,+SUM('3. Consumption by Rate Class'!$J$85:$J$96),+IF($Z$19='2. Customer Classes'!$B$18,+SUM('3. Consumption by Rate Class'!$L$85:$L$96),+IF($Z$19='2. Customer Classes'!$B$19,+SUM('3. Consumption by Rate Class'!$O$85:$O$96),IF($Z$19='2. Customer Classes'!$B$20,+SUM('3. Consumption by Rate Class'!$R$85:$R$96),0)))))))</f>
        <v>0</v>
      </c>
      <c r="AB26" s="53">
        <f t="shared" si="4"/>
        <v>89884663.680000007</v>
      </c>
      <c r="AC26" s="53">
        <f t="shared" si="5"/>
        <v>90935675.292789266</v>
      </c>
      <c r="AD26" s="54">
        <f t="shared" si="6"/>
        <v>0</v>
      </c>
      <c r="AE26" s="53">
        <f t="shared" si="19"/>
        <v>0</v>
      </c>
      <c r="AF26" s="51" t="e">
        <f>IF($Z$19='2. Customer Classes'!$B$14,+AE26/'4. Customer Growth'!$C22,+IF($Z$19='2. Customer Classes'!$B$15,+AE26/'4. Customer Growth'!$E22,+IF($Z$19='2. Customer Classes'!$B$16,+AE26/'4. Customer Growth'!$G22,+IF($Z$19='2. Customer Classes'!$B$17,+AE26/'4. Customer Growth'!$I22,+IF($Z$19='2. Customer Classes'!$B$18,+AE26/'4. Customer Growth'!$K22,+IF($Z$19='2. Customer Classes'!$B$19,+AE26/'4. Customer Growth'!$M22,IF($Z$19='2. Customer Classes'!$B$20,+AE26/'4. Customer Growth'!$O22)))))))</f>
        <v>#DIV/0!</v>
      </c>
      <c r="AH26" s="144">
        <f t="shared" si="20"/>
        <v>2018</v>
      </c>
      <c r="AI26" s="51">
        <f>IF($AH$19='2. Customer Classes'!$B$14,+SUM('3. Consumption by Rate Class'!$D$85:$D$96),+IF($AH$19='2. Customer Classes'!$B$15,+SUM('3. Consumption by Rate Class'!$F$85:$F$96),+IF($AH$19='2. Customer Classes'!$B$16,+SUM('3. Consumption by Rate Class'!$H$85:$H$96),+IF($AH$19='2. Customer Classes'!$B$17,+SUM('3. Consumption by Rate Class'!$J$85:$J$96),+IF($AH$19='2. Customer Classes'!$B$18,+SUM('3. Consumption by Rate Class'!$L$85:$L$96),+IF($AH$19='2. Customer Classes'!$B$19,+SUM('3. Consumption by Rate Class'!$O$85:$O$96),IF($AH$19='2. Customer Classes'!$B$20,+SUM('3. Consumption by Rate Class'!$R$85:$R$96),0)))))))</f>
        <v>0</v>
      </c>
      <c r="AJ26" s="53">
        <f t="shared" si="7"/>
        <v>89884663.680000007</v>
      </c>
      <c r="AK26" s="53">
        <f t="shared" si="8"/>
        <v>90935675.292789266</v>
      </c>
      <c r="AL26" s="54">
        <f t="shared" si="9"/>
        <v>0</v>
      </c>
      <c r="AM26" s="53">
        <f t="shared" si="21"/>
        <v>0</v>
      </c>
      <c r="AN26" s="51" t="e">
        <f>IF($AH$19='2. Customer Classes'!$B$14,+AM26/'4. Customer Growth'!$C22,+IF($AH$19='2. Customer Classes'!$B$15,+AM26/'4. Customer Growth'!$E22,+IF($AH$19='2. Customer Classes'!$B$16,+AM26/'4. Customer Growth'!$G22,+IF($AH$19='2. Customer Classes'!$B$17,+AM26/'4. Customer Growth'!$I22,+IF($AH$19='2. Customer Classes'!$B$18,+AM26/'4. Customer Growth'!$K22,+IF($AH$19='2. Customer Classes'!$B$19,+AM26/'4. Customer Growth'!$M22,IF($AH$19='2. Customer Classes'!$B$20,+AM26/'4. Customer Growth'!$O22)))))))</f>
        <v>#DIV/0!</v>
      </c>
    </row>
    <row r="27" spans="2:40">
      <c r="B27" s="144">
        <f>'4. Customer Growth'!B23</f>
        <v>2019</v>
      </c>
      <c r="C27" s="51">
        <f>IF($B$19='2. Customer Classes'!$B$14,+SUM('3. Consumption by Rate Class'!$D$97:$D$108),+IF($B$19='2. Customer Classes'!$B$15,+SUM('3. Consumption by Rate Class'!$F$97:$F$108),+IF($B$19='2. Customer Classes'!$B$16,+SUM('3. Consumption by Rate Class'!$H$97:$H$108),+IF($B$19='2. Customer Classes'!$B$17,+SUM('3. Consumption by Rate Class'!$J$97:$J$108),+IF($B$19='2. Customer Classes'!$B$18,+SUM('3. Consumption by Rate Class'!$L$97:$L$108),+IF($B$19='2. Customer Classes'!$B$19,+SUM('3. Consumption by Rate Class'!$O$97:$O$108),IF($B$19='2. Customer Classes'!$B$20,+SUM('3. Consumption by Rate Class'!$R$97:$R$108),0)))))))</f>
        <v>29818828</v>
      </c>
      <c r="D27" s="53">
        <f>SUM('6. WS Regression Analysis'!I92:I103)</f>
        <v>89565183.469999999</v>
      </c>
      <c r="E27" s="53">
        <f>SUM('6. WS Regression Analysis'!Q92:Q103)</f>
        <v>89315411.477069527</v>
      </c>
      <c r="F27" s="54">
        <f t="shared" si="10"/>
        <v>0.3329287882270443</v>
      </c>
      <c r="G27" s="53">
        <f t="shared" si="11"/>
        <v>29735671.713060603</v>
      </c>
      <c r="H27" s="51">
        <f>IF($B$19='2. Customer Classes'!$B$14,+G27/'4. Customer Growth'!$C23,+IF($B$19='2. Customer Classes'!$B$15,+G27/'4. Customer Growth'!$E23,+IF($B$19='2. Customer Classes'!$B$16,+G27/'4. Customer Growth'!$G23,+IF($B$19='2. Customer Classes'!$B$17,+G27/'4. Customer Growth'!$I23,+IF($B$19='2. Customer Classes'!$B$18,+G27/'4. Customer Growth'!$K23,+IF($B$19='2. Customer Classes'!$B$19,+G27/'4. Customer Growth'!$M23,IF($B$19='2. Customer Classes'!$B$20,+G27/'4. Customer Growth'!$O23)))))))</f>
        <v>7776.0647785200317</v>
      </c>
      <c r="I27" s="63"/>
      <c r="J27" s="144">
        <f t="shared" si="12"/>
        <v>2019</v>
      </c>
      <c r="K27" s="51">
        <f>IF($J$19='2. Customer Classes'!$B$14,+SUM('3. Consumption by Rate Class'!$D$97:$D$108),+IF($J$19='2. Customer Classes'!$B$15,+SUM('3. Consumption by Rate Class'!$F$97:$F$108),+IF($J$19='2. Customer Classes'!$B$16,+SUM('3. Consumption by Rate Class'!$H$97:$H$108),+IF($J$19='2. Customer Classes'!$B$17,+SUM('3. Consumption by Rate Class'!$J$97:$J$108),+IF($J$19='2. Customer Classes'!$B$18,+SUM('3. Consumption by Rate Class'!$L$97:$L$108),+IF($J$19='2. Customer Classes'!$B$19,+SUM('3. Consumption by Rate Class'!$O$97:$O$108),IF($J$19='2. Customer Classes'!$B$20,+SUM('3. Consumption by Rate Class'!$R$97:$R$108),0)))))))</f>
        <v>11527811</v>
      </c>
      <c r="L27" s="53">
        <f t="shared" si="13"/>
        <v>89565183.469999999</v>
      </c>
      <c r="M27" s="53">
        <f t="shared" si="0"/>
        <v>89315411.477069527</v>
      </c>
      <c r="N27" s="54">
        <f t="shared" si="1"/>
        <v>0.12870861816367807</v>
      </c>
      <c r="O27" s="53">
        <f t="shared" si="14"/>
        <v>11495663.191933932</v>
      </c>
      <c r="P27" s="51">
        <f>IF($J$19='2. Customer Classes'!$B$14,+O27/'4. Customer Growth'!$C23,+IF($J$19='2. Customer Classes'!$B$15,+O27/'4. Customer Growth'!$E23,+IF($J$19='2. Customer Classes'!$B$16,+O27/'4. Customer Growth'!$G23,+IF($J$19='2. Customer Classes'!$B$17,+O27/'4. Customer Growth'!$I23,+IF($J$19='2. Customer Classes'!$B$18,+O27/'4. Customer Growth'!$K23,+IF($J$19='2. Customer Classes'!$B$19,+O27/'4. Customer Growth'!$M23,IF($J$19='2. Customer Classes'!$B$20,+O27/'4. Customer Growth'!$O23)))))))</f>
        <v>25489.275370141757</v>
      </c>
      <c r="Q27" s="63"/>
      <c r="R27" s="144">
        <f t="shared" si="15"/>
        <v>2019</v>
      </c>
      <c r="S27" s="51">
        <f>IF($R$19='2. Customer Classes'!$B$14,+SUM('3. Consumption by Rate Class'!$D$97:$D$108),+IF($R$19='2. Customer Classes'!$B$15,+SUM('3. Consumption by Rate Class'!$F$97:$F$108),+IF($R$19='2. Customer Classes'!$B$16,+SUM('3. Consumption by Rate Class'!$H$97:$H$108),+IF($R$19='2. Customer Classes'!$B$17,+SUM('3. Consumption by Rate Class'!$J$97:$J$108),+IF($R$19='2. Customer Classes'!$B$18,+SUM('3. Consumption by Rate Class'!$L$97:$L$108),+IF($R$19='2. Customer Classes'!$B$19,+SUM('3. Consumption by Rate Class'!$O$97:$O$108),IF($R$19='2. Customer Classes'!$B$20,+SUM('3. Consumption by Rate Class'!$R$97:$R$108),0)))))))</f>
        <v>0</v>
      </c>
      <c r="T27" s="53">
        <f t="shared" si="2"/>
        <v>89565183.469999999</v>
      </c>
      <c r="U27" s="53">
        <f t="shared" si="3"/>
        <v>89315411.477069527</v>
      </c>
      <c r="V27" s="54">
        <f t="shared" si="16"/>
        <v>0</v>
      </c>
      <c r="W27" s="53">
        <f t="shared" si="17"/>
        <v>0</v>
      </c>
      <c r="X27" s="51" t="e">
        <f>IF($R$19='2. Customer Classes'!$B$14,+W27/'4. Customer Growth'!$C23,+IF($R$19='2. Customer Classes'!$B$15,+W27/'4. Customer Growth'!$E23,+IF($R$19='2. Customer Classes'!$B$16,+W27/'4. Customer Growth'!$G23,+IF($R$19='2. Customer Classes'!$B$17,+W27/'4. Customer Growth'!$I23,+IF($R$19='2. Customer Classes'!$B$18,+W27/'4. Customer Growth'!$K23,+IF($R$19='2. Customer Classes'!$B$19,+W27/'4. Customer Growth'!$M23,IF($R$19='2. Customer Classes'!$B$20,+W27/'4. Customer Growth'!$O23)))))))</f>
        <v>#DIV/0!</v>
      </c>
      <c r="Z27" s="144">
        <f t="shared" si="18"/>
        <v>2019</v>
      </c>
      <c r="AA27" s="51">
        <f>IF($Z$19='2. Customer Classes'!$B$14,+SUM('3. Consumption by Rate Class'!$D$97:$D$108),+IF($Z$19='2. Customer Classes'!$B$15,+SUM('3. Consumption by Rate Class'!$F$97:$F$108),+IF($Z$19='2. Customer Classes'!$B$16,+SUM('3. Consumption by Rate Class'!$H$97:$H$108),+IF($Z$19='2. Customer Classes'!$B$17,+SUM('3. Consumption by Rate Class'!$J$97:$J$108),+IF($Z$19='2. Customer Classes'!$B$18,+SUM('3. Consumption by Rate Class'!$L$97:$L$108),+IF($Z$19='2. Customer Classes'!$B$19,+SUM('3. Consumption by Rate Class'!$O$97:$O$108),IF($Z$19='2. Customer Classes'!$B$20,+SUM('3. Consumption by Rate Class'!$R$97:$R$108),0)))))))</f>
        <v>0</v>
      </c>
      <c r="AB27" s="53">
        <f t="shared" si="4"/>
        <v>89565183.469999999</v>
      </c>
      <c r="AC27" s="53">
        <f t="shared" si="5"/>
        <v>89315411.477069527</v>
      </c>
      <c r="AD27" s="54">
        <f t="shared" si="6"/>
        <v>0</v>
      </c>
      <c r="AE27" s="53">
        <f t="shared" si="19"/>
        <v>0</v>
      </c>
      <c r="AF27" s="51" t="e">
        <f>IF($Z$19='2. Customer Classes'!$B$14,+AE27/'4. Customer Growth'!$C23,+IF($Z$19='2. Customer Classes'!$B$15,+AE27/'4. Customer Growth'!$E23,+IF($Z$19='2. Customer Classes'!$B$16,+AE27/'4. Customer Growth'!$G23,+IF($Z$19='2. Customer Classes'!$B$17,+AE27/'4. Customer Growth'!$I23,+IF($Z$19='2. Customer Classes'!$B$18,+AE27/'4. Customer Growth'!$K23,+IF($Z$19='2. Customer Classes'!$B$19,+AE27/'4. Customer Growth'!$M23,IF($Z$19='2. Customer Classes'!$B$20,+AE27/'4. Customer Growth'!$O23)))))))</f>
        <v>#DIV/0!</v>
      </c>
      <c r="AH27" s="144">
        <f t="shared" si="20"/>
        <v>2019</v>
      </c>
      <c r="AI27" s="51">
        <f>IF($AH$19='2. Customer Classes'!$B$14,+SUM('3. Consumption by Rate Class'!$D$97:$D$108),+IF($AH$19='2. Customer Classes'!$B$15,+SUM('3. Consumption by Rate Class'!$F$97:$F$108),+IF($AH$19='2. Customer Classes'!$B$16,+SUM('3. Consumption by Rate Class'!$H$97:$H$108),+IF($AH$19='2. Customer Classes'!$B$17,+SUM('3. Consumption by Rate Class'!$J$97:$J$108),+IF($AH$19='2. Customer Classes'!$B$18,+SUM('3. Consumption by Rate Class'!$L$97:$L$108),+IF($AH$19='2. Customer Classes'!$B$19,+SUM('3. Consumption by Rate Class'!$O$97:$O$108),IF($AH$19='2. Customer Classes'!$B$20,+SUM('3. Consumption by Rate Class'!$R$97:$R$108),0)))))))</f>
        <v>0</v>
      </c>
      <c r="AJ27" s="53">
        <f t="shared" si="7"/>
        <v>89565183.469999999</v>
      </c>
      <c r="AK27" s="53">
        <f t="shared" si="8"/>
        <v>89315411.477069527</v>
      </c>
      <c r="AL27" s="54">
        <f t="shared" si="9"/>
        <v>0</v>
      </c>
      <c r="AM27" s="53">
        <f t="shared" si="21"/>
        <v>0</v>
      </c>
      <c r="AN27" s="51" t="e">
        <f>IF($AH$19='2. Customer Classes'!$B$14,+AM27/'4. Customer Growth'!$C23,+IF($AH$19='2. Customer Classes'!$B$15,+AM27/'4. Customer Growth'!$E23,+IF($AH$19='2. Customer Classes'!$B$16,+AM27/'4. Customer Growth'!$G23,+IF($AH$19='2. Customer Classes'!$B$17,+AM27/'4. Customer Growth'!$I23,+IF($AH$19='2. Customer Classes'!$B$18,+AM27/'4. Customer Growth'!$K23,+IF($AH$19='2. Customer Classes'!$B$19,+AM27/'4. Customer Growth'!$M23,IF($AH$19='2. Customer Classes'!$B$20,+AM27/'4. Customer Growth'!$O23)))))))</f>
        <v>#DIV/0!</v>
      </c>
    </row>
    <row r="28" spans="2:40">
      <c r="B28" s="144">
        <f>'4. Customer Growth'!B24</f>
        <v>2020</v>
      </c>
      <c r="C28" s="51">
        <f>IF($B$19='2. Customer Classes'!$B$14,+SUM('3. Consumption by Rate Class'!$D$109:$D$120),+IF($B$19='2. Customer Classes'!$B$15,+SUM('3. Consumption by Rate Class'!$F$109:$F$120),+IF($B$19='2. Customer Classes'!$B$16,+SUM('3. Consumption by Rate Class'!$H$109:$H$120),+IF($B$19='2. Customer Classes'!$B$17,+SUM('3. Consumption by Rate Class'!$J$109:$J$120),+IF($B$19='2. Customer Classes'!$B$18,+SUM('3. Consumption by Rate Class'!$L$109:$L$120),+IF($B$19='2. Customer Classes'!$B$19,+SUM('3. Consumption by Rate Class'!$O$109:$O$120),IF($B$19='2. Customer Classes'!$B$20,+SUM('3. Consumption by Rate Class'!$R$109:$R$120),0)))))))</f>
        <v>30977677</v>
      </c>
      <c r="D28" s="53">
        <f>SUM('6. WS Regression Analysis'!I104:I115)</f>
        <v>87584142.184</v>
      </c>
      <c r="E28" s="53">
        <f>SUM('6. WS Regression Analysis'!Q104:Q115)</f>
        <v>89937807.730157182</v>
      </c>
      <c r="F28" s="54">
        <f t="shared" si="10"/>
        <v>0.35369047669520987</v>
      </c>
      <c r="G28" s="53">
        <f t="shared" si="11"/>
        <v>31810146.089001425</v>
      </c>
      <c r="H28" s="51">
        <f>IF($B$19='2. Customer Classes'!$B$14,+G28/'4. Customer Growth'!$C24,+IF($B$19='2. Customer Classes'!$B$15,+G28/'4. Customer Growth'!$E24,+IF($B$19='2. Customer Classes'!$B$16,+G28/'4. Customer Growth'!$G24,+IF($B$19='2. Customer Classes'!$B$17,+G28/'4. Customer Growth'!$I24,+IF($B$19='2. Customer Classes'!$B$18,+G28/'4. Customer Growth'!$K24,+IF($B$19='2. Customer Classes'!$B$19,+G28/'4. Customer Growth'!$M24,IF($B$19='2. Customer Classes'!$B$20,+G28/'4. Customer Growth'!$O24)))))))</f>
        <v>8276.348663718336</v>
      </c>
      <c r="I28" s="63"/>
      <c r="J28" s="144">
        <f t="shared" si="12"/>
        <v>2020</v>
      </c>
      <c r="K28" s="51">
        <f>IF($J$19='2. Customer Classes'!$B$14,+SUM('3. Consumption by Rate Class'!$D$109:$D$120),+IF($J$19='2. Customer Classes'!$B$15,+SUM('3. Consumption by Rate Class'!$F$109:$F$120),+IF($J$19='2. Customer Classes'!$B$16,+SUM('3. Consumption by Rate Class'!$H$109:$H$120),+IF($J$19='2. Customer Classes'!$B$17,+SUM('3. Consumption by Rate Class'!$J$109:$J$120),+IF($J$19='2. Customer Classes'!$B$18,+SUM('3. Consumption by Rate Class'!$L$109:$L$120),+IF($J$19='2. Customer Classes'!$B$19,+SUM('3. Consumption by Rate Class'!$O$109:$O$120),IF($J$19='2. Customer Classes'!$B$20,+SUM('3. Consumption by Rate Class'!$R$109:$R$120),0)))))))</f>
        <v>12195584</v>
      </c>
      <c r="L28" s="53">
        <f t="shared" si="13"/>
        <v>87584142.184</v>
      </c>
      <c r="M28" s="53">
        <f t="shared" si="0"/>
        <v>89937807.730157182</v>
      </c>
      <c r="N28" s="54">
        <f t="shared" si="1"/>
        <v>0.13924420215681357</v>
      </c>
      <c r="O28" s="53">
        <f t="shared" si="14"/>
        <v>12523318.281118637</v>
      </c>
      <c r="P28" s="51">
        <f>IF($J$19='2. Customer Classes'!$B$14,+O28/'4. Customer Growth'!$C24,+IF($J$19='2. Customer Classes'!$B$15,+O28/'4. Customer Growth'!$E24,+IF($J$19='2. Customer Classes'!$B$16,+O28/'4. Customer Growth'!$G24,+IF($J$19='2. Customer Classes'!$B$17,+O28/'4. Customer Growth'!$I24,+IF($J$19='2. Customer Classes'!$B$18,+O28/'4. Customer Growth'!$K24,+IF($J$19='2. Customer Classes'!$B$19,+O28/'4. Customer Growth'!$M24,IF($J$19='2. Customer Classes'!$B$20,+O28/'4. Customer Growth'!$O24)))))))</f>
        <v>27493.563734618303</v>
      </c>
      <c r="Q28" s="63"/>
      <c r="R28" s="144">
        <f t="shared" si="15"/>
        <v>2020</v>
      </c>
      <c r="S28" s="51">
        <f>IF($R$19='2. Customer Classes'!$B$14,+SUM('3. Consumption by Rate Class'!$D$109:$D$120),+IF($R$19='2. Customer Classes'!$B$15,+SUM('3. Consumption by Rate Class'!$F$109:$F$120),+IF($R$19='2. Customer Classes'!$B$16,+SUM('3. Consumption by Rate Class'!$H$109:$H$120),+IF($R$19='2. Customer Classes'!$B$17,+SUM('3. Consumption by Rate Class'!$J$109:$J$120),+IF($R$19='2. Customer Classes'!$B$18,+SUM('3. Consumption by Rate Class'!$L$109:$L$120),+IF($R$19='2. Customer Classes'!$B$19,+SUM('3. Consumption by Rate Class'!$O$109:$O$120),IF($R$19='2. Customer Classes'!$B$20,+SUM('3. Consumption by Rate Class'!$R$109:$R$120),0)))))))</f>
        <v>0</v>
      </c>
      <c r="T28" s="53">
        <f t="shared" si="2"/>
        <v>87584142.184</v>
      </c>
      <c r="U28" s="53">
        <f t="shared" si="3"/>
        <v>89937807.730157182</v>
      </c>
      <c r="V28" s="54">
        <f t="shared" si="16"/>
        <v>0</v>
      </c>
      <c r="W28" s="53">
        <f t="shared" si="17"/>
        <v>0</v>
      </c>
      <c r="X28" s="51" t="e">
        <f>IF($R$19='2. Customer Classes'!$B$14,+W28/'4. Customer Growth'!$C24,+IF($R$19='2. Customer Classes'!$B$15,+W28/'4. Customer Growth'!$E24,+IF($R$19='2. Customer Classes'!$B$16,+W28/'4. Customer Growth'!$G24,+IF($R$19='2. Customer Classes'!$B$17,+W28/'4. Customer Growth'!$I24,+IF($R$19='2. Customer Classes'!$B$18,+W28/'4. Customer Growth'!$K24,+IF($R$19='2. Customer Classes'!$B$19,+W28/'4. Customer Growth'!$M24,IF($R$19='2. Customer Classes'!$B$20,+W28/'4. Customer Growth'!$O24)))))))</f>
        <v>#DIV/0!</v>
      </c>
      <c r="Z28" s="144">
        <f t="shared" si="18"/>
        <v>2020</v>
      </c>
      <c r="AA28" s="51">
        <f>IF($Z$19='2. Customer Classes'!$B$14,+SUM('3. Consumption by Rate Class'!$D$109:$D$120),+IF($Z$19='2. Customer Classes'!$B$15,+SUM('3. Consumption by Rate Class'!$F$109:$F$120),+IF($Z$19='2. Customer Classes'!$B$16,+SUM('3. Consumption by Rate Class'!$H$109:$H$120),+IF($Z$19='2. Customer Classes'!$B$17,+SUM('3. Consumption by Rate Class'!$J$109:$J$120),+IF($Z$19='2. Customer Classes'!$B$18,+SUM('3. Consumption by Rate Class'!$L$109:$L$120),+IF($Z$19='2. Customer Classes'!$B$19,+SUM('3. Consumption by Rate Class'!$O$109:$O$120),IF($Z$19='2. Customer Classes'!$B$20,+SUM('3. Consumption by Rate Class'!$R$109:$R$120),0)))))))</f>
        <v>0</v>
      </c>
      <c r="AB28" s="53">
        <f t="shared" si="4"/>
        <v>87584142.184</v>
      </c>
      <c r="AC28" s="53">
        <f t="shared" si="5"/>
        <v>89937807.730157182</v>
      </c>
      <c r="AD28" s="54">
        <f t="shared" si="6"/>
        <v>0</v>
      </c>
      <c r="AE28" s="53">
        <f t="shared" si="19"/>
        <v>0</v>
      </c>
      <c r="AF28" s="51" t="e">
        <f>IF($Z$19='2. Customer Classes'!$B$14,+AE28/'4. Customer Growth'!$C24,+IF($Z$19='2. Customer Classes'!$B$15,+AE28/'4. Customer Growth'!$E24,+IF($Z$19='2. Customer Classes'!$B$16,+AE28/'4. Customer Growth'!$G24,+IF($Z$19='2. Customer Classes'!$B$17,+AE28/'4. Customer Growth'!$I24,+IF($Z$19='2. Customer Classes'!$B$18,+AE28/'4. Customer Growth'!$K24,+IF($Z$19='2. Customer Classes'!$B$19,+AE28/'4. Customer Growth'!$M24,IF($Z$19='2. Customer Classes'!$B$20,+AE28/'4. Customer Growth'!$O24)))))))</f>
        <v>#DIV/0!</v>
      </c>
      <c r="AH28" s="144">
        <f t="shared" si="20"/>
        <v>2020</v>
      </c>
      <c r="AI28" s="51">
        <f>IF($AH$19='2. Customer Classes'!$B$14,+SUM('3. Consumption by Rate Class'!$D$109:$D$120),+IF($AH$19='2. Customer Classes'!$B$15,+SUM('3. Consumption by Rate Class'!$F$109:$F$120),+IF($AH$19='2. Customer Classes'!$B$16,+SUM('3. Consumption by Rate Class'!$H$109:$H$120),+IF($AH$19='2. Customer Classes'!$B$17,+SUM('3. Consumption by Rate Class'!$J$109:$J$120),+IF($AH$19='2. Customer Classes'!$B$18,+SUM('3. Consumption by Rate Class'!$L$109:$L$120),+IF($AH$19='2. Customer Classes'!$B$19,+SUM('3. Consumption by Rate Class'!$O$109:$O$120),IF($AH$19='2. Customer Classes'!$B$20,+SUM('3. Consumption by Rate Class'!$R$109:$R$120),0)))))))</f>
        <v>0</v>
      </c>
      <c r="AJ28" s="53">
        <f t="shared" si="7"/>
        <v>87584142.184</v>
      </c>
      <c r="AK28" s="53">
        <f t="shared" si="8"/>
        <v>89937807.730157182</v>
      </c>
      <c r="AL28" s="54">
        <f t="shared" si="9"/>
        <v>0</v>
      </c>
      <c r="AM28" s="53">
        <f t="shared" si="21"/>
        <v>0</v>
      </c>
      <c r="AN28" s="51" t="e">
        <f>IF($AH$19='2. Customer Classes'!$B$14,+AM28/'4. Customer Growth'!$C24,+IF($AH$19='2. Customer Classes'!$B$15,+AM28/'4. Customer Growth'!$E24,+IF($AH$19='2. Customer Classes'!$B$16,+AM28/'4. Customer Growth'!$G24,+IF($AH$19='2. Customer Classes'!$B$17,+AM28/'4. Customer Growth'!$I24,+IF($AH$19='2. Customer Classes'!$B$18,+AM28/'4. Customer Growth'!$K24,+IF($AH$19='2. Customer Classes'!$B$19,+AM28/'4. Customer Growth'!$M24,IF($AH$19='2. Customer Classes'!$B$20,+AM28/'4. Customer Growth'!$O24)))))))</f>
        <v>#DIV/0!</v>
      </c>
    </row>
    <row r="29" spans="2:40">
      <c r="B29" s="144">
        <f>'4. Customer Growth'!B25</f>
        <v>2021</v>
      </c>
      <c r="C29" s="51">
        <f>IF($B$19='2. Customer Classes'!$B$14,+SUM('3. Consumption by Rate Class'!$D$121:$D$132),+IF($B$19='2. Customer Classes'!$B$15,+SUM('3. Consumption by Rate Class'!$F$121:$F$132),+IF($B$19='2. Customer Classes'!$B$16,+SUM('3. Consumption by Rate Class'!$H$121:$H$132),+IF($B$19='2. Customer Classes'!$B$17,+SUM('3. Consumption by Rate Class'!$J$121:$J$132),+IF($B$19='2. Customer Classes'!$B$18,+SUM('3. Consumption by Rate Class'!$L$121:$L$132),+IF($B$19='2. Customer Classes'!$B$19,+SUM('3. Consumption by Rate Class'!$O$121:$O$132),IF($B$19='2. Customer Classes'!$B$20,+SUM('3. Consumption by Rate Class'!$R$121:$R$132),0)))))))</f>
        <v>30880816</v>
      </c>
      <c r="D29" s="53">
        <f>SUM('6. WS Regression Analysis'!I116:I127)</f>
        <v>87828569.654158607</v>
      </c>
      <c r="E29" s="53">
        <f>SUM('6. WS Regression Analysis'!Q116:Q127)</f>
        <v>88405826.871381938</v>
      </c>
      <c r="F29" s="54">
        <f t="shared" si="10"/>
        <v>0.35160331224337343</v>
      </c>
      <c r="G29" s="53">
        <f t="shared" si="11"/>
        <v>31083781.549592119</v>
      </c>
      <c r="H29" s="51">
        <f>IF($B$19='2. Customer Classes'!$B$14,+G29/'4. Customer Growth'!$C25,+IF($B$19='2. Customer Classes'!$B$15,+G29/'4. Customer Growth'!$E25,+IF($B$19='2. Customer Classes'!$B$16,+G29/'4. Customer Growth'!$G25,+IF($B$19='2. Customer Classes'!$B$17,+G29/'4. Customer Growth'!$I25,+IF($B$19='2. Customer Classes'!$B$18,+G29/'4. Customer Growth'!$K25,+IF($B$19='2. Customer Classes'!$B$19,+G29/'4. Customer Growth'!$M25,IF($B$19='2. Customer Classes'!$B$20,+G29/'4. Customer Growth'!$O25)))))))</f>
        <v>8052.7931475627247</v>
      </c>
      <c r="I29" s="63"/>
      <c r="J29" s="144">
        <f t="shared" si="12"/>
        <v>2021</v>
      </c>
      <c r="K29" s="51">
        <f>IF($J$19='2. Customer Classes'!$B$14,+SUM('3. Consumption by Rate Class'!$D$121:$D$132),+IF($J$19='2. Customer Classes'!$B$15,+SUM('3. Consumption by Rate Class'!$F$121:$F$132),+IF($J$19='2. Customer Classes'!$B$16,+SUM('3. Consumption by Rate Class'!$H$121:$H$132),+IF($J$19='2. Customer Classes'!$B$17,+SUM('3. Consumption by Rate Class'!$J$121:$J$132),+IF($J$19='2. Customer Classes'!$B$18,+SUM('3. Consumption by Rate Class'!$L$121:$L$132),+IF($J$19='2. Customer Classes'!$B$19,+SUM('3. Consumption by Rate Class'!$O$121:$O$132),IF($J$19='2. Customer Classes'!$B$20,+SUM('3. Consumption by Rate Class'!$R$121:$R$132),0)))))))</f>
        <v>11040454</v>
      </c>
      <c r="L29" s="53">
        <f t="shared" si="13"/>
        <v>87828569.654158607</v>
      </c>
      <c r="M29" s="53">
        <f t="shared" si="0"/>
        <v>88405826.871381938</v>
      </c>
      <c r="N29" s="54">
        <f t="shared" si="1"/>
        <v>0.12570458614405142</v>
      </c>
      <c r="O29" s="53">
        <f t="shared" si="14"/>
        <v>11113017.879589727</v>
      </c>
      <c r="P29" s="51">
        <f>IF($J$19='2. Customer Classes'!$B$14,+O29/'4. Customer Growth'!$C25,+IF($J$19='2. Customer Classes'!$B$15,+O29/'4. Customer Growth'!$E25,+IF($J$19='2. Customer Classes'!$B$16,+O29/'4. Customer Growth'!$G25,+IF($J$19='2. Customer Classes'!$B$17,+O29/'4. Customer Growth'!$I25,+IF($J$19='2. Customer Classes'!$B$18,+O29/'4. Customer Growth'!$K25,+IF($J$19='2. Customer Classes'!$B$19,+O29/'4. Customer Growth'!$M25,IF($J$19='2. Customer Classes'!$B$20,+O29/'4. Customer Growth'!$O25)))))))</f>
        <v>24532.048299315073</v>
      </c>
      <c r="Q29" s="63"/>
      <c r="R29" s="144">
        <f t="shared" si="15"/>
        <v>2021</v>
      </c>
      <c r="S29" s="51">
        <f>IF($R$19='2. Customer Classes'!$B$14,+SUM('3. Consumption by Rate Class'!$D$121:$D$132),+IF($R$19='2. Customer Classes'!$B$15,+SUM('3. Consumption by Rate Class'!$F$121:$F$132),+IF($R$19='2. Customer Classes'!$B$16,+SUM('3. Consumption by Rate Class'!$H$121:$H$132),+IF($R$19='2. Customer Classes'!$B$17,+SUM('3. Consumption by Rate Class'!$J$121:$J$132),+IF($R$19='2. Customer Classes'!$B$18,+SUM('3. Consumption by Rate Class'!$L$121:$L$132),+IF($R$19='2. Customer Classes'!$B$19,+SUM('3. Consumption by Rate Class'!$O$121:$O$132),IF($R$19='2. Customer Classes'!$B$20,+SUM('3. Consumption by Rate Class'!$R$121:$R$132),0)))))))</f>
        <v>0</v>
      </c>
      <c r="T29" s="53">
        <f t="shared" si="2"/>
        <v>87828569.654158607</v>
      </c>
      <c r="U29" s="53">
        <f t="shared" si="3"/>
        <v>88405826.871381938</v>
      </c>
      <c r="V29" s="54">
        <f t="shared" si="16"/>
        <v>0</v>
      </c>
      <c r="W29" s="53">
        <f t="shared" si="17"/>
        <v>0</v>
      </c>
      <c r="X29" s="51" t="e">
        <f>IF($R$19='2. Customer Classes'!$B$14,+W29/'4. Customer Growth'!$C25,+IF($R$19='2. Customer Classes'!$B$15,+W29/'4. Customer Growth'!$E25,+IF($R$19='2. Customer Classes'!$B$16,+W29/'4. Customer Growth'!$G25,+IF($R$19='2. Customer Classes'!$B$17,+W29/'4. Customer Growth'!$I25,+IF($R$19='2. Customer Classes'!$B$18,+W29/'4. Customer Growth'!$K25,+IF($R$19='2. Customer Classes'!$B$19,+W29/'4. Customer Growth'!$M25,IF($R$19='2. Customer Classes'!$B$20,+W29/'4. Customer Growth'!$O25)))))))</f>
        <v>#DIV/0!</v>
      </c>
      <c r="Z29" s="144">
        <f t="shared" si="18"/>
        <v>2021</v>
      </c>
      <c r="AA29" s="51">
        <f>IF($Z$19='2. Customer Classes'!$B$14,+SUM('3. Consumption by Rate Class'!$D$121:$D$132),+IF($Z$19='2. Customer Classes'!$B$15,+SUM('3. Consumption by Rate Class'!$F$121:$F$132),+IF($Z$19='2. Customer Classes'!$B$16,+SUM('3. Consumption by Rate Class'!$H$121:$H$132),+IF($Z$19='2. Customer Classes'!$B$17,+SUM('3. Consumption by Rate Class'!$J$121:$J$132),+IF($Z$19='2. Customer Classes'!$B$18,+SUM('3. Consumption by Rate Class'!$L$121:$L$132),+IF($Z$19='2. Customer Classes'!$B$19,+SUM('3. Consumption by Rate Class'!$O$121:$O$132),IF($Z$19='2. Customer Classes'!$B$20,+SUM('3. Consumption by Rate Class'!$R$121:$R$132),0)))))))</f>
        <v>0</v>
      </c>
      <c r="AB29" s="53">
        <f t="shared" si="4"/>
        <v>87828569.654158607</v>
      </c>
      <c r="AC29" s="53">
        <f t="shared" si="5"/>
        <v>88405826.871381938</v>
      </c>
      <c r="AD29" s="54">
        <f t="shared" si="6"/>
        <v>0</v>
      </c>
      <c r="AE29" s="53">
        <f t="shared" si="19"/>
        <v>0</v>
      </c>
      <c r="AF29" s="51" t="e">
        <f>IF($Z$19='2. Customer Classes'!$B$14,+AE29/'4. Customer Growth'!$C25,+IF($Z$19='2. Customer Classes'!$B$15,+AE29/'4. Customer Growth'!$E25,+IF($Z$19='2. Customer Classes'!$B$16,+AE29/'4. Customer Growth'!$G25,+IF($Z$19='2. Customer Classes'!$B$17,+AE29/'4. Customer Growth'!$I25,+IF($Z$19='2. Customer Classes'!$B$18,+AE29/'4. Customer Growth'!$K25,+IF($Z$19='2. Customer Classes'!$B$19,+AE29/'4. Customer Growth'!$M25,IF($Z$19='2. Customer Classes'!$B$20,+AE29/'4. Customer Growth'!$O25)))))))</f>
        <v>#DIV/0!</v>
      </c>
      <c r="AH29" s="144">
        <f t="shared" si="20"/>
        <v>2021</v>
      </c>
      <c r="AI29" s="51">
        <f>IF($AH$19='2. Customer Classes'!$B$14,+SUM('3. Consumption by Rate Class'!$D$121:$D$132),+IF($AH$19='2. Customer Classes'!$B$15,+SUM('3. Consumption by Rate Class'!$F$121:$F$132),+IF($AH$19='2. Customer Classes'!$B$16,+SUM('3. Consumption by Rate Class'!$H$121:$H$132),+IF($AH$19='2. Customer Classes'!$B$17,+SUM('3. Consumption by Rate Class'!$J$121:$J$132),+IF($AH$19='2. Customer Classes'!$B$18,+SUM('3. Consumption by Rate Class'!$L$121:$L$132),+IF($AH$19='2. Customer Classes'!$B$19,+SUM('3. Consumption by Rate Class'!$O$121:$O$132),IF($AH$19='2. Customer Classes'!$B$20,+SUM('3. Consumption by Rate Class'!$R$121:$R$132),0)))))))</f>
        <v>0</v>
      </c>
      <c r="AJ29" s="53">
        <f t="shared" si="7"/>
        <v>87828569.654158607</v>
      </c>
      <c r="AK29" s="53">
        <f t="shared" si="8"/>
        <v>88405826.871381938</v>
      </c>
      <c r="AL29" s="54">
        <f t="shared" si="9"/>
        <v>0</v>
      </c>
      <c r="AM29" s="53">
        <f t="shared" si="21"/>
        <v>0</v>
      </c>
      <c r="AN29" s="51" t="e">
        <f>IF($AH$19='2. Customer Classes'!$B$14,+AM29/'4. Customer Growth'!$C25,+IF($AH$19='2. Customer Classes'!$B$15,+AM29/'4. Customer Growth'!$E25,+IF($AH$19='2. Customer Classes'!$B$16,+AM29/'4. Customer Growth'!$G25,+IF($AH$19='2. Customer Classes'!$B$17,+AM29/'4. Customer Growth'!$I25,+IF($AH$19='2. Customer Classes'!$B$18,+AM29/'4. Customer Growth'!$K25,+IF($AH$19='2. Customer Classes'!$B$19,+AM29/'4. Customer Growth'!$M25,IF($AH$19='2. Customer Classes'!$B$20,+AM29/'4. Customer Growth'!$O25)))))))</f>
        <v>#DIV/0!</v>
      </c>
    </row>
    <row r="30" spans="2:40">
      <c r="B30" s="144">
        <f>'4. Customer Growth'!B26</f>
        <v>2022</v>
      </c>
      <c r="C30" s="51">
        <f>IF($B$19='2. Customer Classes'!$B$14,+SUM('3. Consumption by Rate Class'!$D$133:$D$144),+IF($B$19='2. Customer Classes'!$B$15,+SUM('3. Consumption by Rate Class'!$F$133:$F$144),+IF($B$19='2. Customer Classes'!$B$16,+SUM('3. Consumption by Rate Class'!$H$133:$H$144),+IF($B$19='2. Customer Classes'!$B$17,+SUM('3. Consumption by Rate Class'!$J$133:$J$144),+IF($B$19='2. Customer Classes'!$B$18,+SUM('3. Consumption by Rate Class'!$L$133:$L$144),+IF($B$19='2. Customer Classes'!$B$19,+SUM('3. Consumption by Rate Class'!$O$133:$O$144),IF($B$19='2. Customer Classes'!$B$20,+SUM('3. Consumption by Rate Class'!$R$133:$R$144),0)))))))</f>
        <v>30997474</v>
      </c>
      <c r="D30" s="53">
        <f>SUM('6. WS Regression Analysis'!I128:I139)</f>
        <v>90017844.810154736</v>
      </c>
      <c r="E30" s="53">
        <f>SUM('6. WS Regression Analysis'!Q128:Q139)</f>
        <v>88301617.957659543</v>
      </c>
      <c r="F30" s="54">
        <f>C30/D30</f>
        <v>0.34434810192771065</v>
      </c>
      <c r="G30" s="53">
        <f>E30*F30</f>
        <v>30406494.540865913</v>
      </c>
      <c r="H30" s="51">
        <f>IF($B$19='2. Customer Classes'!$B$14,+G30/'4. Customer Growth'!$C26,+IF($B$19='2. Customer Classes'!$B$15,+G30/'4. Customer Growth'!$E26,+IF($B$19='2. Customer Classes'!$B$16,+G30/'4. Customer Growth'!$G26,+IF($B$19='2. Customer Classes'!$B$17,+G30/'4. Customer Growth'!$I26,+IF($B$19='2. Customer Classes'!$B$18,+G30/'4. Customer Growth'!$K26,+IF($B$19='2. Customer Classes'!$B$19,+G30/'4. Customer Growth'!$M26,IF($B$19='2. Customer Classes'!$B$20,+G30/'4. Customer Growth'!$O26)))))))</f>
        <v>7839.7562307247426</v>
      </c>
      <c r="I30" s="63"/>
      <c r="J30" s="144">
        <f t="shared" si="12"/>
        <v>2022</v>
      </c>
      <c r="K30" s="51">
        <f>IF($J$19='2. Customer Classes'!$B$14,+SUM('3. Consumption by Rate Class'!$D$133:$D$144),+IF($J$19='2. Customer Classes'!$B$15,+SUM('3. Consumption by Rate Class'!$F$133:$F$144),+IF($J$19='2. Customer Classes'!$B$16,+SUM('3. Consumption by Rate Class'!$H$133:$H$144),+IF($J$19='2. Customer Classes'!$B$17,+SUM('3. Consumption by Rate Class'!$J$133:$J$144),+IF($J$19='2. Customer Classes'!$B$18,+SUM('3. Consumption by Rate Class'!$L$133:$L$144),+IF($J$19='2. Customer Classes'!$B$19,+SUM('3. Consumption by Rate Class'!$O$133:$O$144),IF($J$19='2. Customer Classes'!$B$20,+SUM('3. Consumption by Rate Class'!$R$133:$R$144),0)))))))</f>
        <v>11513618</v>
      </c>
      <c r="L30" s="53">
        <f t="shared" si="13"/>
        <v>90017844.810154736</v>
      </c>
      <c r="M30" s="53">
        <f t="shared" si="0"/>
        <v>88301617.957659543</v>
      </c>
      <c r="N30" s="54">
        <f>K30/L30</f>
        <v>0.1279037286915935</v>
      </c>
      <c r="O30" s="53">
        <f t="shared" si="14"/>
        <v>11294106.186285226</v>
      </c>
      <c r="P30" s="51">
        <f>IF($J$19='2. Customer Classes'!$B$14,+O30/'4. Customer Growth'!$C26,+IF($J$19='2. Customer Classes'!$B$15,+O30/'4. Customer Growth'!$E26,+IF($J$19='2. Customer Classes'!$B$16,+O30/'4. Customer Growth'!$G26,+IF($J$19='2. Customer Classes'!$B$17,+O30/'4. Customer Growth'!$I26,+IF($J$19='2. Customer Classes'!$B$18,+O30/'4. Customer Growth'!$K26,+IF($J$19='2. Customer Classes'!$B$19,+O30/'4. Customer Growth'!$M26,IF($J$19='2. Customer Classes'!$B$20,+O30/'4. Customer Growth'!$O26)))))))</f>
        <v>24822.211398429066</v>
      </c>
      <c r="Q30" s="63"/>
      <c r="R30" s="144">
        <f t="shared" si="15"/>
        <v>2022</v>
      </c>
      <c r="S30" s="51">
        <f>IF($R$19='2. Customer Classes'!$B$14,+SUM('3. Consumption by Rate Class'!$D$133:$D$144),+IF($R$19='2. Customer Classes'!$B$15,+SUM('3. Consumption by Rate Class'!$F$133:$F$144),+IF($R$19='2. Customer Classes'!$B$16,+SUM('3. Consumption by Rate Class'!$H$133:$H$144),+IF($R$19='2. Customer Classes'!$B$17,+SUM('3. Consumption by Rate Class'!$J$133:$J$144),+IF($R$19='2. Customer Classes'!$B$18,+SUM('3. Consumption by Rate Class'!$L$133:$L$144),+IF($R$19='2. Customer Classes'!$B$19,+SUM('3. Consumption by Rate Class'!$O$133:$O$144),IF($R$19='2. Customer Classes'!$B$20,+SUM('3. Consumption by Rate Class'!$R$133:$R$144),0)))))))</f>
        <v>0</v>
      </c>
      <c r="T30" s="53">
        <f t="shared" si="2"/>
        <v>90017844.810154736</v>
      </c>
      <c r="U30" s="53">
        <f t="shared" si="3"/>
        <v>88301617.957659543</v>
      </c>
      <c r="V30" s="54">
        <f>S30/T30</f>
        <v>0</v>
      </c>
      <c r="W30" s="53">
        <f t="shared" si="17"/>
        <v>0</v>
      </c>
      <c r="X30" s="51" t="e">
        <f>IF($R$19='2. Customer Classes'!$B$14,+W30/'4. Customer Growth'!$C26,+IF($R$19='2. Customer Classes'!$B$15,+W30/'4. Customer Growth'!$E26,+IF($R$19='2. Customer Classes'!$B$16,+W30/'4. Customer Growth'!$G26,+IF($R$19='2. Customer Classes'!$B$17,+W30/'4. Customer Growth'!$I26,+IF($R$19='2. Customer Classes'!$B$18,+W30/'4. Customer Growth'!$K26,+IF($R$19='2. Customer Classes'!$B$19,+W30/'4. Customer Growth'!$M26,IF($R$19='2. Customer Classes'!$B$20,+W30/'4. Customer Growth'!$O26)))))))</f>
        <v>#DIV/0!</v>
      </c>
      <c r="Z30" s="144">
        <f t="shared" si="18"/>
        <v>2022</v>
      </c>
      <c r="AA30" s="51">
        <f>IF($Z$19='2. Customer Classes'!$B$14,+SUM('3. Consumption by Rate Class'!$D$133:$D$144),+IF($Z$19='2. Customer Classes'!$B$15,+SUM('3. Consumption by Rate Class'!$F$133:$F$144),+IF($Z$19='2. Customer Classes'!$B$16,+SUM('3. Consumption by Rate Class'!$H$133:$H$144),+IF($Z$19='2. Customer Classes'!$B$17,+SUM('3. Consumption by Rate Class'!$J$133:$J$144),+IF($Z$19='2. Customer Classes'!$B$18,+SUM('3. Consumption by Rate Class'!$L$133:$L$144),+IF($Z$19='2. Customer Classes'!$B$19,+SUM('3. Consumption by Rate Class'!$O$133:$O$144),IF($Z$19='2. Customer Classes'!$B$20,+SUM('3. Consumption by Rate Class'!$R$133:$R$144),0)))))))</f>
        <v>0</v>
      </c>
      <c r="AB30" s="53">
        <f t="shared" si="4"/>
        <v>90017844.810154736</v>
      </c>
      <c r="AC30" s="53">
        <f t="shared" si="5"/>
        <v>88301617.957659543</v>
      </c>
      <c r="AD30" s="54">
        <f t="shared" si="6"/>
        <v>0</v>
      </c>
      <c r="AE30" s="53">
        <f t="shared" si="19"/>
        <v>0</v>
      </c>
      <c r="AF30" s="51" t="e">
        <f>IF($Z$19='2. Customer Classes'!$B$14,+AE30/'4. Customer Growth'!$C26,+IF($Z$19='2. Customer Classes'!$B$15,+AE30/'4. Customer Growth'!$E26,+IF($Z$19='2. Customer Classes'!$B$16,+AE30/'4. Customer Growth'!$G26,+IF($Z$19='2. Customer Classes'!$B$17,+AE30/'4. Customer Growth'!$I26,+IF($Z$19='2. Customer Classes'!$B$18,+AE30/'4. Customer Growth'!$K26,+IF($Z$19='2. Customer Classes'!$B$19,+AE30/'4. Customer Growth'!$M26,IF($Z$19='2. Customer Classes'!$B$20,+AE30/'4. Customer Growth'!$O26)))))))</f>
        <v>#DIV/0!</v>
      </c>
      <c r="AH30" s="144">
        <f t="shared" si="20"/>
        <v>2022</v>
      </c>
      <c r="AI30" s="51">
        <f>IF($AH$19='2. Customer Classes'!$B$14,+SUM('3. Consumption by Rate Class'!$D$133:$D$144),+IF($AH$19='2. Customer Classes'!$B$15,+SUM('3. Consumption by Rate Class'!$F$133:$F$144),+IF($AH$19='2. Customer Classes'!$B$16,+SUM('3. Consumption by Rate Class'!$H$133:$H$144),+IF($AH$19='2. Customer Classes'!$B$17,+SUM('3. Consumption by Rate Class'!$J$133:$J$144),+IF($AH$19='2. Customer Classes'!$B$18,+SUM('3. Consumption by Rate Class'!$L$133:$L$144),+IF($AH$19='2. Customer Classes'!$B$19,+SUM('3. Consumption by Rate Class'!$O$133:$O$144),IF($AH$19='2. Customer Classes'!$B$20,+SUM('3. Consumption by Rate Class'!$R$133:$R$144),0)))))))</f>
        <v>0</v>
      </c>
      <c r="AJ30" s="53">
        <f t="shared" si="7"/>
        <v>90017844.810154736</v>
      </c>
      <c r="AK30" s="53">
        <f t="shared" si="8"/>
        <v>88301617.957659543</v>
      </c>
      <c r="AL30" s="54">
        <f t="shared" si="9"/>
        <v>0</v>
      </c>
      <c r="AM30" s="53">
        <f t="shared" si="21"/>
        <v>0</v>
      </c>
      <c r="AN30" s="51" t="e">
        <f>IF($AH$19='2. Customer Classes'!$B$14,+AM30/'4. Customer Growth'!$C26,+IF($AH$19='2. Customer Classes'!$B$15,+AM30/'4. Customer Growth'!$E26,+IF($AH$19='2. Customer Classes'!$B$16,+AM30/'4. Customer Growth'!$G26,+IF($AH$19='2. Customer Classes'!$B$17,+AM30/'4. Customer Growth'!$I26,+IF($AH$19='2. Customer Classes'!$B$18,+AM30/'4. Customer Growth'!$K26,+IF($AH$19='2. Customer Classes'!$B$19,+AM30/'4. Customer Growth'!$M26,IF($AH$19='2. Customer Classes'!$B$20,+AM30/'4. Customer Growth'!$O26)))))))</f>
        <v>#DIV/0!</v>
      </c>
    </row>
    <row r="31" spans="2:40" ht="14.25" customHeight="1">
      <c r="B31" s="145" t="str">
        <f>'4. Customer Growth'!B30</f>
        <v>2023</v>
      </c>
      <c r="C31" s="56"/>
      <c r="D31" s="56"/>
      <c r="E31" s="112">
        <f>SUM('6. WS Regression Analysis'!Q140:Q151)</f>
        <v>89099077.476831332</v>
      </c>
      <c r="F31" s="57">
        <f>F30</f>
        <v>0.34434810192771065</v>
      </c>
      <c r="G31" s="112">
        <f>E31*F31</f>
        <v>30681098.212656904</v>
      </c>
      <c r="H31" s="51">
        <f>IF($B$19='2. Customer Classes'!$B$14,+G31/'4. Customer Growth'!$C26,+IF($B$19='2. Customer Classes'!$B$15,+G31/'4. Customer Growth'!$E26,+IF($B$19='2. Customer Classes'!$B$16,+G31/'4. Customer Growth'!$G26,+IF($B$19='2. Customer Classes'!$B$17,+G31/'4. Customer Growth'!$I26,+IF($B$19='2. Customer Classes'!$B$18,+G31/'4. Customer Growth'!$K26,+IF($B$19='2. Customer Classes'!$B$19,+G31/'4. Customer Growth'!$M26,IF($B$19='2. Customer Classes'!$B$20,+G31/'4. Customer Growth'!$O26)))))))</f>
        <v>7910.5577446582192</v>
      </c>
      <c r="I31" s="63"/>
      <c r="J31" s="145" t="str">
        <f t="shared" si="12"/>
        <v>2023</v>
      </c>
      <c r="K31" s="56"/>
      <c r="L31" s="56"/>
      <c r="M31" s="112">
        <f>E31</f>
        <v>89099077.476831332</v>
      </c>
      <c r="N31" s="57">
        <f>N30</f>
        <v>0.1279037286915935</v>
      </c>
      <c r="O31" s="112">
        <f>M31*N31</f>
        <v>11396104.232267903</v>
      </c>
      <c r="P31" s="51">
        <f>IF($J$19='2. Customer Classes'!$B$14,+O31/'4. Customer Growth'!$C26,+IF($J$19='2. Customer Classes'!$B$15,+O31/'4. Customer Growth'!$E26,+IF($J$19='2. Customer Classes'!$B$16,+O31/'4. Customer Growth'!$G26,+IF($J$19='2. Customer Classes'!$B$17,+O31/'4. Customer Growth'!$I26,+IF($J$19='2. Customer Classes'!$B$18,+O31/'4. Customer Growth'!$K26,+IF($J$19='2. Customer Classes'!$B$19,+O31/'4. Customer Growth'!$M26,IF($J$19='2. Customer Classes'!$B$20,+O31/'4. Customer Growth'!$O26)))))))</f>
        <v>25046.382928061324</v>
      </c>
      <c r="Q31" s="63"/>
      <c r="R31" s="145" t="str">
        <f t="shared" si="15"/>
        <v>2023</v>
      </c>
      <c r="S31" s="56"/>
      <c r="T31" s="56"/>
      <c r="U31" s="112">
        <f>M31</f>
        <v>89099077.476831332</v>
      </c>
      <c r="V31" s="57">
        <f>V30</f>
        <v>0</v>
      </c>
      <c r="W31" s="112">
        <f>U31*V31</f>
        <v>0</v>
      </c>
      <c r="X31" s="51" t="e">
        <f>IF($R$19='2. Customer Classes'!$B$14,+W31/'4. Customer Growth'!$C26,+IF($R$19='2. Customer Classes'!$B$15,+W31/'4. Customer Growth'!$E26,+IF($R$19='2. Customer Classes'!$B$16,+W31/'4. Customer Growth'!$G26,+IF($R$19='2. Customer Classes'!$B$17,+W31/'4. Customer Growth'!$I26,+IF($R$19='2. Customer Classes'!$B$18,+W31/'4. Customer Growth'!$K26,+IF($R$19='2. Customer Classes'!$B$19,+W31/'4. Customer Growth'!$M26,IF($R$19='2. Customer Classes'!$B$20,+W31/'4. Customer Growth'!$O26)))))))</f>
        <v>#DIV/0!</v>
      </c>
      <c r="Z31" s="145" t="str">
        <f t="shared" si="18"/>
        <v>2023</v>
      </c>
      <c r="AA31" s="56"/>
      <c r="AB31" s="56"/>
      <c r="AC31" s="112">
        <f>U31</f>
        <v>89099077.476831332</v>
      </c>
      <c r="AD31" s="57">
        <f>AD30</f>
        <v>0</v>
      </c>
      <c r="AE31" s="112">
        <f>AC31*AD31</f>
        <v>0</v>
      </c>
      <c r="AF31" s="51" t="e">
        <f>IF($Z$19='2. Customer Classes'!$B$14,+AE31/'4. Customer Growth'!$C26,+IF($Z$19='2. Customer Classes'!$B$15,+AE31/'4. Customer Growth'!$E26,+IF($Z$19='2. Customer Classes'!$B$16,+AE31/'4. Customer Growth'!$G26,+IF($Z$19='2. Customer Classes'!$B$17,+AE31/'4. Customer Growth'!$I26,+IF($Z$19='2. Customer Classes'!$B$18,+AE31/'4. Customer Growth'!$K26,+IF($Z$19='2. Customer Classes'!$B$19,+AE31/'4. Customer Growth'!$M26,IF($Z$19='2. Customer Classes'!$B$20,+AE31/'4. Customer Growth'!$O26)))))))</f>
        <v>#DIV/0!</v>
      </c>
      <c r="AH31" s="145" t="str">
        <f t="shared" si="20"/>
        <v>2023</v>
      </c>
      <c r="AI31" s="56"/>
      <c r="AJ31" s="56"/>
      <c r="AK31" s="112">
        <f>AC31</f>
        <v>89099077.476831332</v>
      </c>
      <c r="AL31" s="57">
        <f>AL30</f>
        <v>0</v>
      </c>
      <c r="AM31" s="112">
        <f>AK31*AL31</f>
        <v>0</v>
      </c>
      <c r="AN31" s="51" t="e">
        <f>IF($AH$19='2. Customer Classes'!$B$14,+AM31/'4. Customer Growth'!$C26,+IF($AH$19='2. Customer Classes'!$B$15,+AM31/'4. Customer Growth'!$E26,+IF($AH$19='2. Customer Classes'!$B$16,+AM31/'4. Customer Growth'!$G26,+IF($AH$19='2. Customer Classes'!$B$17,+AM31/'4. Customer Growth'!$I26,+IF($AH$19='2. Customer Classes'!$B$18,+AM31/'4. Customer Growth'!$K26,+IF($AH$19='2. Customer Classes'!$B$19,+AM31/'4. Customer Growth'!$M26,IF($AH$19='2. Customer Classes'!$B$20,+AM31/'4. Customer Growth'!$O26)))))))</f>
        <v>#DIV/0!</v>
      </c>
    </row>
    <row r="32" spans="2:40" ht="14.25" customHeight="1" thickBot="1">
      <c r="B32" s="146" t="str">
        <f>'4. Customer Growth'!B31</f>
        <v>2024</v>
      </c>
      <c r="C32" s="58"/>
      <c r="D32" s="58"/>
      <c r="E32" s="113">
        <f>SUM('6. WS Regression Analysis'!Q152:Q163)</f>
        <v>89172384.219690636</v>
      </c>
      <c r="F32" s="59">
        <f>F31</f>
        <v>0.34434810192771065</v>
      </c>
      <c r="G32" s="113">
        <f t="shared" si="11"/>
        <v>30706341.250419006</v>
      </c>
      <c r="H32" s="51">
        <f>IF($B$19='2. Customer Classes'!$B$14,+G32/'4. Customer Growth'!$C26,+IF($B$19='2. Customer Classes'!$B$15,+G32/'4. Customer Growth'!$E26,+IF($B$19='2. Customer Classes'!$B$16,+G32/'4. Customer Growth'!$G26,+IF($B$19='2. Customer Classes'!$B$17,+G32/'4. Customer Growth'!$I26,+IF($B$19='2. Customer Classes'!$B$18,+G32/'4. Customer Growth'!$K26,+IF($B$19='2. Customer Classes'!$B$19,+G32/'4. Customer Growth'!$M26,IF($B$19='2. Customer Classes'!$B$20,+G32/'4. Customer Growth'!$O26)))))))</f>
        <v>7917.0661983805612</v>
      </c>
      <c r="I32" s="63"/>
      <c r="J32" s="146" t="str">
        <f t="shared" si="12"/>
        <v>2024</v>
      </c>
      <c r="K32" s="58"/>
      <c r="L32" s="58"/>
      <c r="M32" s="113">
        <f>E32</f>
        <v>89172384.219690636</v>
      </c>
      <c r="N32" s="59">
        <f>N31</f>
        <v>0.1279037286915935</v>
      </c>
      <c r="O32" s="113">
        <f>M32*N32</f>
        <v>11405480.438017845</v>
      </c>
      <c r="P32" s="51">
        <f>IF($J$19='2. Customer Classes'!$B$14,+O32/'4. Customer Growth'!$C26,+IF($J$19='2. Customer Classes'!$B$15,+O32/'4. Customer Growth'!$E26,+IF($J$19='2. Customer Classes'!$B$16,+O32/'4. Customer Growth'!$G26,+IF($J$19='2. Customer Classes'!$B$17,+O32/'4. Customer Growth'!$I26,+IF($J$19='2. Customer Classes'!$B$18,+O32/'4. Customer Growth'!$K26,+IF($J$19='2. Customer Classes'!$B$19,+O32/'4. Customer Growth'!$M26,IF($J$19='2. Customer Classes'!$B$20,+O32/'4. Customer Growth'!$O26)))))))</f>
        <v>25066.989973665593</v>
      </c>
      <c r="Q32" s="63"/>
      <c r="R32" s="145" t="str">
        <f t="shared" si="15"/>
        <v>2024</v>
      </c>
      <c r="S32" s="58"/>
      <c r="T32" s="58"/>
      <c r="U32" s="113">
        <f>M32</f>
        <v>89172384.219690636</v>
      </c>
      <c r="V32" s="59">
        <f>V31</f>
        <v>0</v>
      </c>
      <c r="W32" s="113">
        <f>U32*V32</f>
        <v>0</v>
      </c>
      <c r="X32" s="51" t="e">
        <f>IF($R$19='2. Customer Classes'!$B$14,+W32/'4. Customer Growth'!$C26,+IF($R$19='2. Customer Classes'!$B$15,+W32/'4. Customer Growth'!$E26,+IF($R$19='2. Customer Classes'!$B$16,+W32/'4. Customer Growth'!$G26,+IF($R$19='2. Customer Classes'!$B$17,+W32/'4. Customer Growth'!$I26,+IF($R$19='2. Customer Classes'!$B$18,+W32/'4. Customer Growth'!$K26,+IF($R$19='2. Customer Classes'!$B$19,+W32/'4. Customer Growth'!$M26,IF($R$19='2. Customer Classes'!$B$20,+W32/'4. Customer Growth'!$O26)))))))</f>
        <v>#DIV/0!</v>
      </c>
      <c r="Z32" s="145" t="str">
        <f t="shared" si="18"/>
        <v>2024</v>
      </c>
      <c r="AA32" s="58"/>
      <c r="AB32" s="58"/>
      <c r="AC32" s="113">
        <f>U32</f>
        <v>89172384.219690636</v>
      </c>
      <c r="AD32" s="59">
        <f>AD31</f>
        <v>0</v>
      </c>
      <c r="AE32" s="113">
        <f>AC32*AD32</f>
        <v>0</v>
      </c>
      <c r="AF32" s="51" t="e">
        <f>IF($Z$19='2. Customer Classes'!$B$14,+AE32/'4. Customer Growth'!$C26,+IF($Z$19='2. Customer Classes'!$B$15,+AE32/'4. Customer Growth'!$E26,+IF($Z$19='2. Customer Classes'!$B$16,+AE32/'4. Customer Growth'!$G26,+IF($Z$19='2. Customer Classes'!$B$17,+AE32/'4. Customer Growth'!$I26,+IF($Z$19='2. Customer Classes'!$B$18,+AE32/'4. Customer Growth'!$K26,+IF($Z$19='2. Customer Classes'!$B$19,+AE32/'4. Customer Growth'!$M26,IF($Z$19='2. Customer Classes'!$B$20,+AE32/'4. Customer Growth'!$O26)))))))</f>
        <v>#DIV/0!</v>
      </c>
      <c r="AH32" s="145" t="str">
        <f t="shared" si="20"/>
        <v>2024</v>
      </c>
      <c r="AI32" s="58"/>
      <c r="AJ32" s="58"/>
      <c r="AK32" s="113">
        <f>AC32</f>
        <v>89172384.219690636</v>
      </c>
      <c r="AL32" s="59">
        <f>AL31</f>
        <v>0</v>
      </c>
      <c r="AM32" s="113">
        <f>AK32*AL32</f>
        <v>0</v>
      </c>
      <c r="AN32" s="51" t="e">
        <f>IF($AH$19='2. Customer Classes'!$B$14,+AM32/'4. Customer Growth'!$C26,+IF($AH$19='2. Customer Classes'!$B$15,+AM32/'4. Customer Growth'!$E26,+IF($AH$19='2. Customer Classes'!$B$16,+AM32/'4. Customer Growth'!$G26,+IF($AH$19='2. Customer Classes'!$B$17,+AM32/'4. Customer Growth'!$I26,+IF($AH$19='2. Customer Classes'!$B$18,+AM32/'4. Customer Growth'!$K26,+IF($AH$19='2. Customer Classes'!$B$19,+AM32/'4. Customer Growth'!$M26,IF($AH$19='2. Customer Classes'!$B$20,+AM32/'4. Customer Growth'!$O26)))))))</f>
        <v>#DIV/0!</v>
      </c>
    </row>
    <row r="33" spans="2:40" ht="13.5" customHeight="1">
      <c r="B33" s="984" t="s">
        <v>152</v>
      </c>
      <c r="C33" s="984"/>
      <c r="D33" s="984"/>
      <c r="E33" s="984"/>
      <c r="F33" s="984"/>
      <c r="G33" s="984"/>
      <c r="H33" s="984"/>
      <c r="J33" s="984" t="s">
        <v>152</v>
      </c>
      <c r="K33" s="984"/>
      <c r="L33" s="984"/>
      <c r="M33" s="984"/>
      <c r="N33" s="984"/>
      <c r="O33" s="984"/>
      <c r="P33" s="984"/>
      <c r="R33" s="984" t="s">
        <v>152</v>
      </c>
      <c r="S33" s="984"/>
      <c r="T33" s="984"/>
      <c r="U33" s="984"/>
      <c r="V33" s="984"/>
      <c r="W33" s="984"/>
      <c r="X33" s="984"/>
      <c r="Z33" s="984" t="s">
        <v>152</v>
      </c>
      <c r="AA33" s="984"/>
      <c r="AB33" s="984"/>
      <c r="AC33" s="984"/>
      <c r="AD33" s="984"/>
      <c r="AE33" s="984"/>
      <c r="AF33" s="984"/>
      <c r="AH33" s="984" t="s">
        <v>152</v>
      </c>
      <c r="AI33" s="984"/>
      <c r="AJ33" s="984"/>
      <c r="AK33" s="984"/>
      <c r="AL33" s="984"/>
      <c r="AM33" s="984"/>
      <c r="AN33" s="984"/>
    </row>
    <row r="34" spans="2:40">
      <c r="B34" s="123"/>
      <c r="C34" s="123"/>
      <c r="D34" s="123"/>
      <c r="E34" s="124"/>
      <c r="F34" s="125"/>
      <c r="G34" s="126"/>
      <c r="H34" s="127"/>
      <c r="J34" s="127"/>
      <c r="K34" s="127"/>
      <c r="L34" s="127"/>
      <c r="M34" s="127"/>
      <c r="N34" s="127"/>
      <c r="O34" s="126"/>
      <c r="P34" s="127"/>
      <c r="R34" s="127"/>
      <c r="S34" s="127"/>
      <c r="T34" s="127"/>
      <c r="U34" s="127"/>
      <c r="V34" s="127"/>
      <c r="W34" s="126"/>
      <c r="X34" s="127"/>
      <c r="Z34" s="127"/>
      <c r="AA34" s="127"/>
      <c r="AB34" s="127"/>
      <c r="AC34" s="127"/>
      <c r="AD34" s="127"/>
      <c r="AE34" s="126"/>
      <c r="AF34" s="127"/>
      <c r="AH34" s="127"/>
      <c r="AI34" s="127"/>
      <c r="AJ34" s="127"/>
      <c r="AK34" s="127"/>
      <c r="AL34" s="127"/>
      <c r="AM34" s="126"/>
      <c r="AN34" s="127"/>
    </row>
    <row r="35" spans="2:40">
      <c r="B35" s="123"/>
      <c r="C35" s="123"/>
      <c r="D35" s="123"/>
      <c r="E35" s="124"/>
      <c r="F35" s="125"/>
      <c r="G35" s="126"/>
      <c r="H35" s="127"/>
      <c r="J35" s="127"/>
      <c r="K35" s="127"/>
      <c r="L35" s="127"/>
      <c r="M35" s="127"/>
      <c r="N35" s="127"/>
      <c r="O35" s="126"/>
      <c r="P35" s="127"/>
      <c r="R35" s="127"/>
      <c r="S35" s="127"/>
      <c r="T35" s="127"/>
      <c r="U35" s="127"/>
      <c r="V35" s="127"/>
      <c r="W35" s="126"/>
      <c r="X35" s="127"/>
      <c r="Z35" s="127"/>
      <c r="AA35" s="127"/>
      <c r="AB35" s="127"/>
      <c r="AC35" s="127"/>
      <c r="AD35" s="127"/>
      <c r="AE35" s="126"/>
      <c r="AF35" s="127"/>
      <c r="AH35" s="127"/>
      <c r="AI35" s="127"/>
      <c r="AJ35" s="127"/>
      <c r="AK35" s="127"/>
      <c r="AL35" s="127"/>
      <c r="AM35" s="126"/>
      <c r="AN35" s="127"/>
    </row>
    <row r="36" spans="2:40">
      <c r="B36" s="123"/>
      <c r="C36" s="123"/>
      <c r="D36" s="123"/>
      <c r="E36" s="124"/>
      <c r="F36" s="125"/>
      <c r="G36" s="126"/>
      <c r="H36" s="127"/>
      <c r="J36" s="127"/>
      <c r="K36" s="127"/>
      <c r="L36" s="127"/>
      <c r="M36" s="127"/>
      <c r="N36" s="127"/>
      <c r="O36" s="126"/>
      <c r="P36" s="127"/>
      <c r="R36" s="127"/>
      <c r="S36" s="127"/>
      <c r="T36" s="127"/>
      <c r="U36" s="127"/>
      <c r="V36" s="127"/>
      <c r="W36" s="126"/>
      <c r="X36" s="127"/>
      <c r="Z36" s="127"/>
      <c r="AA36" s="127"/>
      <c r="AB36" s="127"/>
      <c r="AC36" s="127"/>
      <c r="AD36" s="127"/>
      <c r="AE36" s="126"/>
      <c r="AF36" s="127"/>
      <c r="AH36" s="127"/>
      <c r="AI36" s="127"/>
      <c r="AJ36" s="127"/>
      <c r="AK36" s="127"/>
      <c r="AL36" s="127"/>
      <c r="AM36" s="126"/>
      <c r="AN36" s="127"/>
    </row>
    <row r="37" spans="2:40">
      <c r="B37" s="123"/>
      <c r="C37" s="123"/>
      <c r="D37" s="123"/>
      <c r="E37" s="124"/>
      <c r="F37" s="125"/>
      <c r="G37" s="126"/>
      <c r="H37" s="127"/>
      <c r="J37" s="127"/>
      <c r="K37" s="127"/>
      <c r="L37" s="127"/>
      <c r="M37" s="127"/>
      <c r="N37" s="127"/>
      <c r="O37" s="126"/>
      <c r="P37" s="127"/>
      <c r="R37" s="127"/>
      <c r="S37" s="127"/>
      <c r="T37" s="127"/>
      <c r="U37" s="127"/>
      <c r="V37" s="127"/>
      <c r="W37" s="126"/>
      <c r="X37" s="127"/>
      <c r="Z37" s="127"/>
      <c r="AA37" s="127"/>
      <c r="AB37" s="127"/>
      <c r="AC37" s="127"/>
      <c r="AD37" s="127"/>
      <c r="AE37" s="126"/>
      <c r="AF37" s="127"/>
      <c r="AH37" s="127"/>
      <c r="AI37" s="127"/>
      <c r="AJ37" s="127"/>
      <c r="AK37" s="127"/>
      <c r="AL37" s="127"/>
      <c r="AM37" s="126"/>
      <c r="AN37" s="127"/>
    </row>
    <row r="38" spans="2:40" ht="15">
      <c r="B38" s="985" t="s">
        <v>172</v>
      </c>
      <c r="C38" s="985"/>
      <c r="D38" s="985"/>
      <c r="E38" s="985"/>
      <c r="F38" s="985"/>
      <c r="G38" s="985"/>
      <c r="H38" s="985"/>
      <c r="I38" s="63"/>
      <c r="J38" s="985" t="s">
        <v>172</v>
      </c>
      <c r="K38" s="985"/>
      <c r="L38" s="985"/>
      <c r="M38" s="985"/>
      <c r="N38" s="985"/>
      <c r="O38" s="985"/>
      <c r="P38" s="985"/>
      <c r="Q38" s="63"/>
      <c r="R38" s="985" t="s">
        <v>172</v>
      </c>
      <c r="S38" s="985"/>
      <c r="T38" s="985"/>
      <c r="U38" s="985"/>
      <c r="V38" s="985"/>
      <c r="W38" s="985"/>
      <c r="X38" s="985"/>
      <c r="Z38" s="985" t="s">
        <v>172</v>
      </c>
      <c r="AA38" s="985"/>
      <c r="AB38" s="985"/>
      <c r="AC38" s="985"/>
      <c r="AD38" s="985"/>
      <c r="AE38" s="985"/>
      <c r="AF38" s="985"/>
      <c r="AH38" s="985" t="s">
        <v>172</v>
      </c>
      <c r="AI38" s="985"/>
      <c r="AJ38" s="985"/>
      <c r="AK38" s="985"/>
      <c r="AL38" s="985"/>
      <c r="AM38" s="985"/>
      <c r="AN38" s="985"/>
    </row>
    <row r="39" spans="2:40" ht="13.5" thickBot="1">
      <c r="B39" s="60"/>
      <c r="C39" s="61"/>
      <c r="D39" s="61"/>
      <c r="E39" s="61"/>
      <c r="F39" s="61"/>
      <c r="G39" s="61"/>
      <c r="H39" s="63"/>
      <c r="I39" s="63"/>
      <c r="J39" s="60"/>
      <c r="K39" s="61"/>
      <c r="L39" s="61"/>
      <c r="M39" s="61"/>
      <c r="N39" s="61"/>
      <c r="O39" s="61"/>
      <c r="P39" s="63"/>
      <c r="Q39" s="63"/>
      <c r="R39" s="60"/>
      <c r="S39" s="61"/>
      <c r="T39" s="61"/>
      <c r="U39" s="61"/>
      <c r="V39" s="61"/>
      <c r="W39" s="61"/>
      <c r="X39" s="63"/>
      <c r="Z39" s="60"/>
      <c r="AA39" s="61"/>
      <c r="AB39" s="61"/>
      <c r="AC39" s="61"/>
      <c r="AD39" s="61"/>
      <c r="AE39" s="61"/>
      <c r="AF39" s="63"/>
      <c r="AH39" s="60"/>
      <c r="AI39" s="61"/>
      <c r="AJ39" s="61"/>
      <c r="AK39" s="61"/>
      <c r="AL39" s="61"/>
      <c r="AM39" s="61"/>
      <c r="AN39" s="63"/>
    </row>
    <row r="40" spans="2:40" ht="14.25" customHeight="1" thickBot="1">
      <c r="B40" s="986" t="str">
        <f>B19</f>
        <v>Residential</v>
      </c>
      <c r="C40" s="987"/>
      <c r="D40" s="987"/>
      <c r="E40" s="987"/>
      <c r="F40" s="987"/>
      <c r="G40" s="987"/>
      <c r="H40" s="988"/>
      <c r="I40" s="23"/>
      <c r="J40" s="986" t="str">
        <f>J19</f>
        <v>General Service &lt; 50 kW</v>
      </c>
      <c r="K40" s="987"/>
      <c r="L40" s="987"/>
      <c r="M40" s="987"/>
      <c r="N40" s="987"/>
      <c r="O40" s="987"/>
      <c r="P40" s="988"/>
      <c r="Q40" s="23"/>
      <c r="R40" s="986">
        <f>R19</f>
        <v>0</v>
      </c>
      <c r="S40" s="987"/>
      <c r="T40" s="987"/>
      <c r="U40" s="987"/>
      <c r="V40" s="987"/>
      <c r="W40" s="987"/>
      <c r="X40" s="988"/>
      <c r="Z40" s="986">
        <f>Z19</f>
        <v>0</v>
      </c>
      <c r="AA40" s="987"/>
      <c r="AB40" s="987"/>
      <c r="AC40" s="987"/>
      <c r="AD40" s="987"/>
      <c r="AE40" s="987"/>
      <c r="AF40" s="988"/>
      <c r="AH40" s="986">
        <f>AH19</f>
        <v>0</v>
      </c>
      <c r="AI40" s="987"/>
      <c r="AJ40" s="987"/>
      <c r="AK40" s="987"/>
      <c r="AL40" s="987"/>
      <c r="AM40" s="987"/>
      <c r="AN40" s="988"/>
    </row>
    <row r="41" spans="2:40" ht="42" customHeight="1">
      <c r="B41" s="50" t="s">
        <v>33</v>
      </c>
      <c r="C41" s="232" t="s">
        <v>40</v>
      </c>
      <c r="D41" s="998" t="s">
        <v>156</v>
      </c>
      <c r="E41" s="998"/>
      <c r="F41" s="1002" t="s">
        <v>39</v>
      </c>
      <c r="G41" s="1003"/>
      <c r="H41" s="62" t="s">
        <v>16</v>
      </c>
      <c r="I41" s="121"/>
      <c r="J41" s="50" t="s">
        <v>33</v>
      </c>
      <c r="K41" s="232" t="s">
        <v>40</v>
      </c>
      <c r="L41" s="998" t="s">
        <v>156</v>
      </c>
      <c r="M41" s="998"/>
      <c r="N41" s="999" t="s">
        <v>39</v>
      </c>
      <c r="O41" s="1000"/>
      <c r="P41" s="62" t="s">
        <v>16</v>
      </c>
      <c r="Q41" s="121"/>
      <c r="R41" s="50" t="s">
        <v>33</v>
      </c>
      <c r="S41" s="232" t="s">
        <v>40</v>
      </c>
      <c r="T41" s="998" t="s">
        <v>156</v>
      </c>
      <c r="U41" s="998"/>
      <c r="V41" s="999" t="s">
        <v>39</v>
      </c>
      <c r="W41" s="1000"/>
      <c r="X41" s="62" t="s">
        <v>16</v>
      </c>
      <c r="Z41" s="50" t="s">
        <v>33</v>
      </c>
      <c r="AA41" s="232" t="s">
        <v>40</v>
      </c>
      <c r="AB41" s="998" t="s">
        <v>156</v>
      </c>
      <c r="AC41" s="998"/>
      <c r="AD41" s="999" t="s">
        <v>39</v>
      </c>
      <c r="AE41" s="1000"/>
      <c r="AF41" s="62" t="s">
        <v>16</v>
      </c>
      <c r="AH41" s="300" t="s">
        <v>33</v>
      </c>
      <c r="AI41" s="301" t="s">
        <v>40</v>
      </c>
      <c r="AJ41" s="989" t="s">
        <v>156</v>
      </c>
      <c r="AK41" s="989"/>
      <c r="AL41" s="990" t="s">
        <v>39</v>
      </c>
      <c r="AM41" s="991"/>
      <c r="AN41" s="282" t="s">
        <v>16</v>
      </c>
    </row>
    <row r="42" spans="2:40">
      <c r="B42" s="147" t="str">
        <f>B31</f>
        <v>2023</v>
      </c>
      <c r="C42" s="51">
        <f>IF($B$19='2. Customer Classes'!$B$14,+('4. Customer Growth'!$C$42-'4. Customer Growth'!$C$26),+IF($B$19='2. Customer Classes'!$B$15,+('4. Customer Growth'!$E$42-'4. Customer Growth'!$E$26),+IF($B$19='2. Customer Classes'!$B$16,+('4. Customer Growth'!$G$42-'4. Customer Growth'!$G$26),+IF($B$19='2. Customer Classes'!$B$17,+('4. Customer Growth'!$I$42-'4. Customer Growth'!$I$26),+IF($B$19='2. Customer Classes'!$B$18,+('4. Customer Growth'!$K$42-'4. Customer Growth'!$K$26),+IF($B$19='2. Customer Classes'!$B$19,+('4. Customer Growth'!$M$42-'4. Customer Growth'!$M$26),IF($B$19='2. Customer Classes'!$B$20,+('4. Customer Growth'!$O$42-'4. Customer Growth'!$O$26),0)))))))</f>
        <v>26.5</v>
      </c>
      <c r="D42" s="992">
        <f>IF(F30&gt;0,+H31,0)</f>
        <v>7910.5577446582192</v>
      </c>
      <c r="E42" s="992"/>
      <c r="F42" s="993">
        <f>IF(+$G$16="yes",+C42*D42,0)+375230</f>
        <v>584859.78023344278</v>
      </c>
      <c r="G42" s="994"/>
      <c r="H42" s="64">
        <f>G31+F42</f>
        <v>31265957.992890347</v>
      </c>
      <c r="I42" s="122"/>
      <c r="J42" s="147" t="str">
        <f>B42</f>
        <v>2023</v>
      </c>
      <c r="K42" s="51">
        <f>IF($J$19='2. Customer Classes'!$B$14,+('4. Customer Growth'!$C$42-'4. Customer Growth'!$C$26),+IF($J$19='2. Customer Classes'!$B$15,+('4. Customer Growth'!$E$42-'4. Customer Growth'!$E$26),+IF($J$19='2. Customer Classes'!$B$16,+('4. Customer Growth'!$G$42-'4. Customer Growth'!$G$26),+IF($J$19='2. Customer Classes'!$B$17,+('4. Customer Growth'!$I$42-'4. Customer Growth'!$I$26),+IF($J$19='2. Customer Classes'!$B$18,+('4. Customer Growth'!$K$42-'4. Customer Growth'!$K$26),+IF($J$19='2. Customer Classes'!$B$19,+('4. Customer Growth'!$M$42-'4. Customer Growth'!$M$26),IF($J$19='2. Customer Classes'!$B$20,+('4. Customer Growth'!$O$42-'4. Customer Growth'!$O$26),0)))))))</f>
        <v>1</v>
      </c>
      <c r="L42" s="992">
        <f>IF(N30&gt;0,+P31,0)</f>
        <v>25046.382928061324</v>
      </c>
      <c r="M42" s="992"/>
      <c r="N42" s="993">
        <f>IF(+$G$16="yes",+K42*L42,0)+192192</f>
        <v>217238.38292806133</v>
      </c>
      <c r="O42" s="994"/>
      <c r="P42" s="64">
        <f>O31+N42</f>
        <v>11613342.615195965</v>
      </c>
      <c r="Q42" s="122"/>
      <c r="R42" s="147" t="str">
        <f>B42</f>
        <v>2023</v>
      </c>
      <c r="S42" s="51">
        <f>IF($R$19='2. Customer Classes'!$B$14,+('4. Customer Growth'!$C$42-'4. Customer Growth'!$C$26),+IF($R$19='2. Customer Classes'!$B$15,+('4. Customer Growth'!$E$42-'4. Customer Growth'!$E$26),+IF($R$19='2. Customer Classes'!$B$16,+('4. Customer Growth'!$G$42-'4. Customer Growth'!$G$26),+IF($R$19='2. Customer Classes'!$B$17,+('4. Customer Growth'!$I$42-'4. Customer Growth'!$I$26),+IF($R$19='2. Customer Classes'!$B$18,+('4. Customer Growth'!$K$42-'4. Customer Growth'!$K$26),+IF($R$19='2. Customer Classes'!$B$19,+('4. Customer Growth'!$M$42-'4. Customer Growth'!$M$26),IF($R$19='2. Customer Classes'!$B$20,+('4. Customer Growth'!$O$42-'4. Customer Growth'!$O$26),0)))))))</f>
        <v>0</v>
      </c>
      <c r="T42" s="992">
        <f>IF(V30&gt;0,+X31,0)</f>
        <v>0</v>
      </c>
      <c r="U42" s="992"/>
      <c r="V42" s="993">
        <f>IF(+$G$16="yes",+S42*T42,0)</f>
        <v>0</v>
      </c>
      <c r="W42" s="994"/>
      <c r="X42" s="64">
        <f>W31+V42</f>
        <v>0</v>
      </c>
      <c r="Z42" s="147" t="str">
        <f>J42</f>
        <v>2023</v>
      </c>
      <c r="AA42" s="51">
        <f>IF($Z$19='2. Customer Classes'!$B$14,+('4. Customer Growth'!$C$42-'4. Customer Growth'!$C$26),+IF($Z$19='2. Customer Classes'!$B$15,+('4. Customer Growth'!$E$42-'4. Customer Growth'!$E$26),+IF($Z$19='2. Customer Classes'!$B$16,+('4. Customer Growth'!$G$42-'4. Customer Growth'!$G$26),+IF($Z$19='2. Customer Classes'!$B$17,+('4. Customer Growth'!$I$42-'4. Customer Growth'!$I$26),+IF($Z$19='2. Customer Classes'!$B$18,+('4. Customer Growth'!$K$42-'4. Customer Growth'!$K$26),+IF($Z$19='2. Customer Classes'!$B$19,+('4. Customer Growth'!$M$42-'4. Customer Growth'!$M$26),IF($Z$19='2. Customer Classes'!$B$20,+('4. Customer Growth'!$O$42-'4. Customer Growth'!$O$26),0)))))))</f>
        <v>0</v>
      </c>
      <c r="AB42" s="992">
        <f>IF(AD30&gt;0,+AF31,0)</f>
        <v>0</v>
      </c>
      <c r="AC42" s="992"/>
      <c r="AD42" s="993">
        <f>IF(+$G$16="yes",+AA42*AB42,0)</f>
        <v>0</v>
      </c>
      <c r="AE42" s="994"/>
      <c r="AF42" s="64">
        <f>AE31+AD42</f>
        <v>0</v>
      </c>
      <c r="AH42" s="147" t="str">
        <f>R42</f>
        <v>2023</v>
      </c>
      <c r="AI42" s="51">
        <f>IF($AH$19='2. Customer Classes'!$B$14,+('4. Customer Growth'!$C$42-'4. Customer Growth'!$C$26),+IF($AH$19='2. Customer Classes'!$B$15,+('4. Customer Growth'!$E$42-'4. Customer Growth'!$E$26),+IF($AH$19='2. Customer Classes'!$B$16,+('4. Customer Growth'!$G$42-'4. Customer Growth'!$G$26),+IF($AH$19='2. Customer Classes'!$B$17,+('4. Customer Growth'!$I$42-'4. Customer Growth'!$I$26),+IF($AH$19='2. Customer Classes'!$B$18,+('4. Customer Growth'!$K$42-'4. Customer Growth'!$K$26),+IF($AH$19='2. Customer Classes'!$B$19,+('4. Customer Growth'!$M$42-'4. Customer Growth'!$M$26),IF($AH$19='2. Customer Classes'!$B$20,+('4. Customer Growth'!$O$42-'4. Customer Growth'!$O$26),0)))))))</f>
        <v>0</v>
      </c>
      <c r="AJ42" s="992">
        <f>IF(AL30&gt;0,+AN31,0)</f>
        <v>0</v>
      </c>
      <c r="AK42" s="992"/>
      <c r="AL42" s="993">
        <f>IF(+$G$16="yes",+AI42*AJ42,0)</f>
        <v>0</v>
      </c>
      <c r="AM42" s="994"/>
      <c r="AN42" s="64">
        <f>AM31+AL42</f>
        <v>0</v>
      </c>
    </row>
    <row r="43" spans="2:40" ht="13.5" thickBot="1">
      <c r="B43" s="167" t="str">
        <f>B32</f>
        <v>2024</v>
      </c>
      <c r="C43" s="253">
        <f>IF($B$19='2. Customer Classes'!$B$14,+('4. Customer Growth'!$C$43-'4. Customer Growth'!$C$26),+IF($B$19='2. Customer Classes'!$B$15,+('4. Customer Growth'!$E$43-'4. Customer Growth'!$E$26),+IF($B$19='2. Customer Classes'!$B$16,+('4. Customer Growth'!$G$43-'4. Customer Growth'!$G$26),+IF($B$19='2. Customer Classes'!$B$17,+('4. Customer Growth'!$I$43-'4. Customer Growth'!$I$26),+IF($B$19='2. Customer Classes'!$B$18,+('4. Customer Growth'!$K$43-'4. Customer Growth'!$K$26),+IF($B$19='2. Customer Classes'!$B$19,+('4. Customer Growth'!$M$43-'4. Customer Growth'!$M$26),IF($B$19='2. Customer Classes'!$B$20,+('4. Customer Growth'!$O$43-'4. Customer Growth'!$O$26),0)))))))</f>
        <v>43.5</v>
      </c>
      <c r="D43" s="995">
        <f>IF(F30&gt;0,+H32,0)</f>
        <v>7917.0661983805612</v>
      </c>
      <c r="E43" s="995"/>
      <c r="F43" s="996">
        <f>IF(+$G$16="yes",+C43*D43,0)+239813</f>
        <v>584205.37962955446</v>
      </c>
      <c r="G43" s="997"/>
      <c r="H43" s="65">
        <f>G32+F43</f>
        <v>31290546.630048562</v>
      </c>
      <c r="I43" s="122"/>
      <c r="J43" s="167" t="str">
        <f>B43</f>
        <v>2024</v>
      </c>
      <c r="K43" s="253">
        <f>IF($J$19='2. Customer Classes'!$B$14,+('4. Customer Growth'!$C$43-'4. Customer Growth'!$C$26),+IF($J$19='2. Customer Classes'!$B$15,+('4. Customer Growth'!$E$43-'4. Customer Growth'!$E$26),+IF($J$19='2. Customer Classes'!$B$16,+('4. Customer Growth'!$G$43-'4. Customer Growth'!$G$26),+IF($J$19='2. Customer Classes'!$B$17,+('4. Customer Growth'!$I$43-'4. Customer Growth'!$I$26),+IF($J$19='2. Customer Classes'!$B$18,+('4. Customer Growth'!$K$43-'4. Customer Growth'!$K$26),+IF($J$19='2. Customer Classes'!$B$19,+('4. Customer Growth'!$M$43-'4. Customer Growth'!$M$26),IF($J$19='2. Customer Classes'!$B$20,+('4. Customer Growth'!$O$43-'4. Customer Growth'!$O$26),0)))))))</f>
        <v>3</v>
      </c>
      <c r="L43" s="995">
        <f>IF(N30&gt;0,+P32,0)</f>
        <v>25066.989973665593</v>
      </c>
      <c r="M43" s="995"/>
      <c r="N43" s="996">
        <f>IF(+$G$16="yes",+K43*L43,0)+141795</f>
        <v>216995.96992099678</v>
      </c>
      <c r="O43" s="997"/>
      <c r="P43" s="65">
        <f>O32+N43</f>
        <v>11622476.407938842</v>
      </c>
      <c r="Q43" s="122"/>
      <c r="R43" s="167" t="str">
        <f>B43</f>
        <v>2024</v>
      </c>
      <c r="S43" s="253">
        <f>IF($R$19='2. Customer Classes'!$B$14,+('4. Customer Growth'!$C$43-'4. Customer Growth'!$C$26),+IF($R$19='2. Customer Classes'!$B$15,+('4. Customer Growth'!$E$43-'4. Customer Growth'!$E$26),+IF($R$19='2. Customer Classes'!$B$16,+('4. Customer Growth'!$G$43-'4. Customer Growth'!$G$26),+IF($R$19='2. Customer Classes'!$B$17,+('4. Customer Growth'!$I$43-'4. Customer Growth'!$I$26),+IF($R$19='2. Customer Classes'!$B$18,+('4. Customer Growth'!$K$43-'4. Customer Growth'!$K$26),+IF($R$19='2. Customer Classes'!$B$19,+('4. Customer Growth'!$M$43-'4. Customer Growth'!$M$26),IF($R$19='2. Customer Classes'!$B$20,+('4. Customer Growth'!$O$43-'4. Customer Growth'!$O$26),0)))))))</f>
        <v>0</v>
      </c>
      <c r="T43" s="995">
        <f>IF(V30&gt;0,+X32,0)</f>
        <v>0</v>
      </c>
      <c r="U43" s="995"/>
      <c r="V43" s="996">
        <f>IF(+$G$16="yes",+S43*T43,0)</f>
        <v>0</v>
      </c>
      <c r="W43" s="997"/>
      <c r="X43" s="65">
        <f>W32+V43</f>
        <v>0</v>
      </c>
      <c r="Z43" s="167" t="str">
        <f>J43</f>
        <v>2024</v>
      </c>
      <c r="AA43" s="253">
        <f>IF($Z$19='2. Customer Classes'!$B$14,+('4. Customer Growth'!$C$43-'4. Customer Growth'!$C$26),+IF($Z$19='2. Customer Classes'!$B$15,+('4. Customer Growth'!$E$43-'4. Customer Growth'!$E$26),+IF($Z$19='2. Customer Classes'!$B$16,+('4. Customer Growth'!$G$43-'4. Customer Growth'!$G$26),+IF($Z$19='2. Customer Classes'!$B$17,+('4. Customer Growth'!$I$43-'4. Customer Growth'!$I$26),+IF($Z$19='2. Customer Classes'!$B$18,+('4. Customer Growth'!$K$43-'4. Customer Growth'!$K$26),+IF($Z$19='2. Customer Classes'!$B$19,+('4. Customer Growth'!$M$43-'4. Customer Growth'!$M$26),IF($Z$19='2. Customer Classes'!$B$20,+('4. Customer Growth'!$O$43-'4. Customer Growth'!$O$26),0)))))))</f>
        <v>0</v>
      </c>
      <c r="AB43" s="995">
        <f>IF(AD30&gt;0,+AF32,0)</f>
        <v>0</v>
      </c>
      <c r="AC43" s="995"/>
      <c r="AD43" s="996">
        <f>IF(+$G$16="yes",+AA43*AB43,0)</f>
        <v>0</v>
      </c>
      <c r="AE43" s="997"/>
      <c r="AF43" s="65">
        <f>AE32+AD43</f>
        <v>0</v>
      </c>
      <c r="AG43" s="254"/>
      <c r="AH43" s="167" t="str">
        <f>R43</f>
        <v>2024</v>
      </c>
      <c r="AI43" s="253">
        <f>IF($AH$19='2. Customer Classes'!$B$14,+('4. Customer Growth'!$C$43-'4. Customer Growth'!$C$26),+IF($AH$19='2. Customer Classes'!$B$15,+('4. Customer Growth'!$E$43-'4. Customer Growth'!$E$26),+IF($AH$19='2. Customer Classes'!$B$16,+('4. Customer Growth'!$G$43-'4. Customer Growth'!$G$26),+IF($AH$19='2. Customer Classes'!$B$17,+('4. Customer Growth'!$I$43-'4. Customer Growth'!$I$26),+IF($AH$19='2. Customer Classes'!$B$18,+('4. Customer Growth'!$K$43-'4. Customer Growth'!$K$26),+IF($AH$19='2. Customer Classes'!$B$19,+('4. Customer Growth'!$M$43-'4. Customer Growth'!$M$26),IF($AH$19='2. Customer Classes'!$B$20,+('4. Customer Growth'!$O$43-'4. Customer Growth'!$O$26),0)))))))</f>
        <v>0</v>
      </c>
      <c r="AJ43" s="995">
        <f>IF(AL30&gt;0,+AN32,0)</f>
        <v>0</v>
      </c>
      <c r="AK43" s="995"/>
      <c r="AL43" s="996">
        <f>IF(+$G$16="yes",+AI43*AJ43,0)</f>
        <v>0</v>
      </c>
      <c r="AM43" s="997"/>
      <c r="AN43" s="65">
        <f>AM32+AL43</f>
        <v>0</v>
      </c>
    </row>
    <row r="44" spans="2:40">
      <c r="B44" s="1"/>
      <c r="C44" s="1"/>
      <c r="D44" s="1"/>
      <c r="E44" s="1"/>
      <c r="F44" s="1"/>
      <c r="G44" s="1"/>
    </row>
    <row r="46" spans="2:40">
      <c r="X46" s="229"/>
    </row>
    <row r="47" spans="2:40">
      <c r="G47" s="194"/>
    </row>
    <row r="54" spans="2:3">
      <c r="B54" s="1001" t="s">
        <v>173</v>
      </c>
      <c r="C54" s="1001"/>
    </row>
    <row r="55" spans="2:3">
      <c r="B55" s="476" t="s">
        <v>174</v>
      </c>
      <c r="C55" s="477"/>
    </row>
    <row r="56" spans="2:3">
      <c r="B56" s="476" t="s">
        <v>175</v>
      </c>
      <c r="C56" s="477"/>
    </row>
  </sheetData>
  <mergeCells count="51">
    <mergeCell ref="B54:C54"/>
    <mergeCell ref="T43:U43"/>
    <mergeCell ref="V43:W43"/>
    <mergeCell ref="F43:G43"/>
    <mergeCell ref="N41:O41"/>
    <mergeCell ref="N42:O42"/>
    <mergeCell ref="N43:O43"/>
    <mergeCell ref="T41:U41"/>
    <mergeCell ref="V41:W41"/>
    <mergeCell ref="T42:U42"/>
    <mergeCell ref="V42:W42"/>
    <mergeCell ref="D43:E43"/>
    <mergeCell ref="L41:M41"/>
    <mergeCell ref="L42:M42"/>
    <mergeCell ref="L43:M43"/>
    <mergeCell ref="F41:G41"/>
    <mergeCell ref="F42:G42"/>
    <mergeCell ref="D41:E41"/>
    <mergeCell ref="D42:E42"/>
    <mergeCell ref="J19:P19"/>
    <mergeCell ref="R19:X19"/>
    <mergeCell ref="B19:H19"/>
    <mergeCell ref="B40:H40"/>
    <mergeCell ref="J40:P40"/>
    <mergeCell ref="R40:X40"/>
    <mergeCell ref="B38:H38"/>
    <mergeCell ref="J38:P38"/>
    <mergeCell ref="R38:X38"/>
    <mergeCell ref="B33:H33"/>
    <mergeCell ref="J33:P33"/>
    <mergeCell ref="R33:X33"/>
    <mergeCell ref="Z19:AF19"/>
    <mergeCell ref="Z33:AF33"/>
    <mergeCell ref="Z38:AF38"/>
    <mergeCell ref="Z40:AF40"/>
    <mergeCell ref="AB41:AC41"/>
    <mergeCell ref="AD41:AE41"/>
    <mergeCell ref="AB42:AC42"/>
    <mergeCell ref="AD42:AE42"/>
    <mergeCell ref="AJ42:AK42"/>
    <mergeCell ref="AL42:AM42"/>
    <mergeCell ref="AB43:AC43"/>
    <mergeCell ref="AD43:AE43"/>
    <mergeCell ref="AJ43:AK43"/>
    <mergeCell ref="AL43:AM43"/>
    <mergeCell ref="AH19:AN19"/>
    <mergeCell ref="AH33:AN33"/>
    <mergeCell ref="AH38:AN38"/>
    <mergeCell ref="AH40:AN40"/>
    <mergeCell ref="AJ41:AK41"/>
    <mergeCell ref="AL41:AM41"/>
  </mergeCells>
  <pageMargins left="0.70866141732283472" right="0.70866141732283472" top="0.74803149606299213" bottom="0.74803149606299213" header="0.31496062992125984" footer="0.31496062992125984"/>
  <pageSetup scale="58" orientation="landscape"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'2. Customer Classes'!$B$14:$B$21</xm:f>
          </x14:formula1>
          <xm:sqref>B19:H19 J19:P19 R19:X19 Z19:AF19 AH19:AN19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9</vt:i4>
      </vt:variant>
    </vt:vector>
  </HeadingPairs>
  <TitlesOfParts>
    <vt:vector size="26" baseType="lpstr">
      <vt:lpstr>1. LDC Info</vt:lpstr>
      <vt:lpstr>2. Customer Classes</vt:lpstr>
      <vt:lpstr>3. Consumption by Rate Class</vt:lpstr>
      <vt:lpstr>4. Customer Growth</vt:lpstr>
      <vt:lpstr>5.Variables</vt:lpstr>
      <vt:lpstr>6. WS Regression Analysis</vt:lpstr>
      <vt:lpstr>6. WS Regression Analysis no DH</vt:lpstr>
      <vt:lpstr>6.1 Regression Scenarios</vt:lpstr>
      <vt:lpstr>7. Weather Senstive Class</vt:lpstr>
      <vt:lpstr>8. KW and Non-Weather Sensitive</vt:lpstr>
      <vt:lpstr>9. Weather Adj LF</vt:lpstr>
      <vt:lpstr>10. CDM Adjustment</vt:lpstr>
      <vt:lpstr>10.CDM Allocation V2</vt:lpstr>
      <vt:lpstr>10.1 CDM Allocation</vt:lpstr>
      <vt:lpstr>11. Final Load Forecast</vt:lpstr>
      <vt:lpstr>12. Analysis_ Avg Per Cust</vt:lpstr>
      <vt:lpstr>13. Analysis_Weather adj LF</vt:lpstr>
      <vt:lpstr>AllVariables</vt:lpstr>
      <vt:lpstr>'5.Variables'!Print_Area</vt:lpstr>
      <vt:lpstr>'6. WS Regression Analysis'!Print_Area</vt:lpstr>
      <vt:lpstr>'6. WS Regression Analysis no DH'!Print_Area</vt:lpstr>
      <vt:lpstr>Variable1</vt:lpstr>
      <vt:lpstr>Variable2</vt:lpstr>
      <vt:lpstr>Variable3</vt:lpstr>
      <vt:lpstr>Variable5</vt:lpstr>
      <vt:lpstr>Variable6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2008-02-27T14:40:29Z</dcterms:created>
  <dcterms:modified xsi:type="dcterms:W3CDTF">2023-08-28T17:27:10Z</dcterms:modified>
</cp:coreProperties>
</file>