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BoardSec\8- Janet's Active Cases\EB-2022-0111\Docs from SharePoint - Sept 20_2023\"/>
    </mc:Choice>
  </mc:AlternateContent>
  <xr:revisionPtr revIDLastSave="0" documentId="8_{3D90E90B-64C2-440C-8479-699FAE1F9697}" xr6:coauthVersionLast="47" xr6:coauthVersionMax="47" xr10:uidLastSave="{00000000-0000-0000-0000-000000000000}"/>
  <bookViews>
    <workbookView xWindow="2232" yWindow="2232" windowWidth="17280" windowHeight="8964" xr2:uid="{77380A63-7CA5-49CE-BEB1-D427DC83463A}"/>
  </bookViews>
  <sheets>
    <sheet name="Figure 1" sheetId="9" r:id="rId1"/>
    <sheet name="Table 1" sheetId="11" r:id="rId2"/>
    <sheet name="Summary" sheetId="8" r:id="rId3"/>
    <sheet name="Efficiency-Adjusted Conversion" sheetId="3" r:id="rId4"/>
    <sheet name="Energy Conversion" sheetId="2" r:id="rId5"/>
    <sheet name="Efficiency Factors" sheetId="1" r:id="rId6"/>
    <sheet name="Natural Gas Assumption" sheetId="4" r:id="rId7"/>
    <sheet name="Oil Assumptions" sheetId="5" r:id="rId8"/>
    <sheet name="Electricity Assumptions" sheetId="6" r:id="rId9"/>
    <sheet name="Propane Assumptions" sheetId="7" r:id="rId10"/>
  </sheets>
  <definedNames>
    <definedName name="_xlnm.Print_Area" localSheetId="5">'Efficiency Factors'!$A$1:$I$14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D6" i="11"/>
  <c r="D5" i="11"/>
  <c r="D10" i="11" s="1"/>
  <c r="C49" i="7" l="1"/>
  <c r="D43" i="2" l="1"/>
  <c r="D44" i="2"/>
  <c r="D45" i="2"/>
  <c r="I12" i="1" l="1"/>
  <c r="G10" i="8" s="1"/>
  <c r="H12" i="1"/>
  <c r="E10" i="8" s="1"/>
  <c r="G12" i="1"/>
  <c r="F10" i="8" s="1"/>
  <c r="F12" i="1"/>
  <c r="D10" i="8" s="1"/>
  <c r="F9" i="8"/>
  <c r="F5" i="8" s="1"/>
  <c r="D6" i="8"/>
  <c r="E7" i="5" l="1"/>
  <c r="C20" i="5" s="1"/>
  <c r="D10" i="7"/>
  <c r="C10" i="7" s="1"/>
  <c r="G10" i="7" s="1"/>
  <c r="G27" i="6"/>
  <c r="G26" i="6"/>
  <c r="G25" i="6"/>
  <c r="F7" i="5" l="1"/>
  <c r="D11" i="7"/>
  <c r="D12" i="7" l="1"/>
  <c r="C11" i="7"/>
  <c r="G11" i="7" s="1"/>
  <c r="C12" i="7" l="1"/>
  <c r="G12" i="7" s="1"/>
  <c r="D13" i="7"/>
  <c r="D14" i="7" l="1"/>
  <c r="C13" i="7"/>
  <c r="G13" i="7" s="1"/>
  <c r="D15" i="7" l="1"/>
  <c r="C14" i="7"/>
  <c r="G14" i="7" s="1"/>
  <c r="C15" i="7" l="1"/>
  <c r="G15" i="7" s="1"/>
  <c r="D16" i="7"/>
  <c r="D17" i="7" l="1"/>
  <c r="C16" i="7"/>
  <c r="G16" i="7" s="1"/>
  <c r="C17" i="7" l="1"/>
  <c r="G17" i="7" s="1"/>
  <c r="D18" i="7"/>
  <c r="C18" i="7" l="1"/>
  <c r="G18" i="7" s="1"/>
  <c r="D19" i="7"/>
  <c r="D20" i="7" l="1"/>
  <c r="C19" i="7"/>
  <c r="G19" i="7" s="1"/>
  <c r="C20" i="7" l="1"/>
  <c r="G20" i="7" s="1"/>
  <c r="D21" i="7"/>
  <c r="D22" i="7" l="1"/>
  <c r="C21" i="7"/>
  <c r="G21" i="7" s="1"/>
  <c r="D23" i="7" l="1"/>
  <c r="C22" i="7"/>
  <c r="G22" i="7" s="1"/>
  <c r="C23" i="7" l="1"/>
  <c r="G23" i="7" s="1"/>
  <c r="D24" i="7"/>
  <c r="D25" i="7" l="1"/>
  <c r="C24" i="7"/>
  <c r="G24" i="7" s="1"/>
  <c r="C25" i="7" l="1"/>
  <c r="G25" i="7" s="1"/>
  <c r="D26" i="7"/>
  <c r="C26" i="7" l="1"/>
  <c r="G26" i="7" s="1"/>
  <c r="D27" i="7"/>
  <c r="D28" i="7" l="1"/>
  <c r="C27" i="7"/>
  <c r="G27" i="7" s="1"/>
  <c r="C28" i="7" l="1"/>
  <c r="G28" i="7" s="1"/>
  <c r="D29" i="7"/>
  <c r="D30" i="7" l="1"/>
  <c r="C29" i="7"/>
  <c r="G29" i="7" s="1"/>
  <c r="D31" i="7" l="1"/>
  <c r="C30" i="7"/>
  <c r="G30" i="7" s="1"/>
  <c r="C31" i="7" l="1"/>
  <c r="G31" i="7" s="1"/>
  <c r="D32" i="7"/>
  <c r="D33" i="7" l="1"/>
  <c r="C32" i="7"/>
  <c r="G32" i="7" s="1"/>
  <c r="C33" i="7" l="1"/>
  <c r="G33" i="7" s="1"/>
  <c r="D34" i="7"/>
  <c r="C34" i="7" l="1"/>
  <c r="G34" i="7" s="1"/>
  <c r="D35" i="7"/>
  <c r="D36" i="7" l="1"/>
  <c r="C35" i="7"/>
  <c r="G35" i="7" s="1"/>
  <c r="C36" i="7" l="1"/>
  <c r="G36" i="7" s="1"/>
  <c r="D37" i="7"/>
  <c r="D38" i="7" l="1"/>
  <c r="C37" i="7"/>
  <c r="G37" i="7" s="1"/>
  <c r="D39" i="7" l="1"/>
  <c r="C38" i="7"/>
  <c r="G38" i="7" s="1"/>
  <c r="C39" i="7" l="1"/>
  <c r="G39" i="7" s="1"/>
  <c r="D40" i="7"/>
  <c r="D41" i="7" l="1"/>
  <c r="C46" i="7" s="1"/>
  <c r="C40" i="7"/>
  <c r="G40" i="7" s="1"/>
  <c r="C41" i="7" l="1"/>
  <c r="G41" i="7" s="1"/>
  <c r="C48" i="7" l="1"/>
  <c r="C50" i="7" s="1"/>
  <c r="C51" i="7" s="1"/>
  <c r="G9" i="8" l="1"/>
  <c r="G5" i="8" s="1"/>
  <c r="G17" i="6"/>
  <c r="G16" i="6"/>
  <c r="G14" i="6"/>
  <c r="C15" i="6"/>
  <c r="C16" i="6" s="1"/>
  <c r="C3" i="6"/>
  <c r="E9" i="8"/>
  <c r="E5" i="8" s="1"/>
  <c r="E21" i="4"/>
  <c r="E25" i="4" s="1"/>
  <c r="E27" i="4" s="1"/>
  <c r="D9" i="8" s="1"/>
  <c r="E32" i="2"/>
  <c r="C12" i="1"/>
  <c r="E9" i="3" l="1"/>
  <c r="F6" i="8" s="1"/>
  <c r="F7" i="8" s="1"/>
  <c r="D9" i="3"/>
  <c r="E6" i="8" s="1"/>
  <c r="E7" i="8" s="1"/>
  <c r="F9" i="3"/>
  <c r="G6" i="8" s="1"/>
  <c r="G7" i="8" s="1"/>
  <c r="D5" i="8"/>
  <c r="D7" i="8"/>
  <c r="E12" i="8" l="1"/>
  <c r="E13" i="8" s="1"/>
  <c r="G12" i="8"/>
  <c r="G13" i="8" s="1"/>
  <c r="F12" i="8"/>
  <c r="F13" i="8" s="1"/>
</calcChain>
</file>

<file path=xl/sharedStrings.xml><?xml version="1.0" encoding="utf-8"?>
<sst xmlns="http://schemas.openxmlformats.org/spreadsheetml/2006/main" count="250" uniqueCount="178">
  <si>
    <t xml:space="preserve">Rate 1 
Annual Space &amp; Water Heating Cost </t>
  </si>
  <si>
    <t>Notes: Natural gas price is based on Rate 1 rates in effect as of Apr. 1, 2023, and includes the $0.23 per m³ expansion surcharge. Oil and propane prices are based on the latest available retail prices. Electricity rates based on Hydro One Distribution rates (Mid-density R1) as of Jan. 1, 2023, and Regulated Price Plan (RPP) customers that are on Time-Of-Use (TOU) pricing. It includes the Ontario Electricity Rebate (OER). Costs have been calculated for the equivalent energy consumed and include all service, delivery and energy charges. Carbon price is included for all energy types as reported. HST is not included.</t>
  </si>
  <si>
    <t xml:space="preserve">Primary Fuel </t>
  </si>
  <si>
    <r>
      <t xml:space="preserve">Penetration Rate </t>
    </r>
    <r>
      <rPr>
        <b/>
        <vertAlign val="superscript"/>
        <sz val="11"/>
        <color theme="1"/>
        <rFont val="Calibri"/>
        <family val="2"/>
        <scheme val="minor"/>
      </rPr>
      <t>[1]</t>
    </r>
  </si>
  <si>
    <r>
      <t xml:space="preserve">Annual Bill ($) </t>
    </r>
    <r>
      <rPr>
        <b/>
        <vertAlign val="superscript"/>
        <sz val="11"/>
        <color theme="1"/>
        <rFont val="Calibri"/>
        <family val="2"/>
        <scheme val="minor"/>
      </rPr>
      <t>[2]</t>
    </r>
  </si>
  <si>
    <t>Annual Natural Gas Saving With SES ($)</t>
  </si>
  <si>
    <t xml:space="preserve">Natural Gas </t>
  </si>
  <si>
    <t>-</t>
  </si>
  <si>
    <t xml:space="preserve">Electricity </t>
  </si>
  <si>
    <t xml:space="preserve">Heating Oil </t>
  </si>
  <si>
    <t>Propane</t>
  </si>
  <si>
    <t>Wood</t>
  </si>
  <si>
    <t>No data available</t>
  </si>
  <si>
    <t>Geothermal/Ground Source Heat Pumps</t>
  </si>
  <si>
    <t>Not Applicable</t>
  </si>
  <si>
    <t>Weighted Average</t>
  </si>
  <si>
    <t>[1] Exhibit B, Tab 1, Schedule 1, Attachment 4</t>
  </si>
  <si>
    <t>[2] Exhibit 1.ED.1_Attachment 1, Worksheets: Figure 1</t>
  </si>
  <si>
    <t>Summarized Cost Comparison</t>
  </si>
  <si>
    <t>Annual Cost Comparison: 
Space &amp; Water Heating</t>
  </si>
  <si>
    <t>Natural Gas</t>
  </si>
  <si>
    <t>Heating Oil</t>
  </si>
  <si>
    <t>Electricity</t>
  </si>
  <si>
    <t>Annual Consumption</t>
  </si>
  <si>
    <t>Annual Contribution to Energy Bill</t>
  </si>
  <si>
    <t>Energy Cost per Unit</t>
  </si>
  <si>
    <t>Heating &amp; Wh Seasonal Efficiency (%)</t>
  </si>
  <si>
    <t>Annual Natural Gas Savings ($)</t>
  </si>
  <si>
    <t>Annual Natural Gas Savings (%)</t>
  </si>
  <si>
    <t>Notes:</t>
  </si>
  <si>
    <t>(1)</t>
  </si>
  <si>
    <r>
      <t>Gas prices correspond to EGD rate zone April 2023 rates, including 23 cents per m</t>
    </r>
    <r>
      <rPr>
        <vertAlign val="superscript"/>
        <sz val="11"/>
        <rFont val="Arial"/>
        <family val="2"/>
      </rPr>
      <t>3</t>
    </r>
    <r>
      <rPr>
        <sz val="11"/>
        <rFont val="Arial"/>
        <family val="2"/>
      </rPr>
      <t xml:space="preserve"> SES charge</t>
    </r>
  </si>
  <si>
    <t>(2)</t>
  </si>
  <si>
    <t>Heating Oil Prices correspond to the latest available Toronto retail prices (January 2023)</t>
  </si>
  <si>
    <t>(3)</t>
  </si>
  <si>
    <t xml:space="preserve">Hydro prices correspond to Hydro One (Med Density - R1) distribution rates as of January 1, 2023 and includes the new Ontario Electricity Rebate (OER). </t>
  </si>
  <si>
    <t>(4)</t>
  </si>
  <si>
    <t>Electricity prices are calculated based on regulated price plan (RPP) customers that are on Time-of-Use (TOU) pricing.</t>
  </si>
  <si>
    <t>(5)</t>
  </si>
  <si>
    <t xml:space="preserve">Propane prices correspond to the latest available montly average EDPRO residential rates for Zone 5 (February 2022). </t>
  </si>
  <si>
    <t>(6)</t>
  </si>
  <si>
    <t xml:space="preserve">Carbon price is included for all energy types as reported. </t>
  </si>
  <si>
    <t>(7)</t>
  </si>
  <si>
    <t>All costs exclude HST.</t>
  </si>
  <si>
    <t>Efficiency-Adjusted Energy Source Conversion</t>
  </si>
  <si>
    <t>Table 1</t>
  </si>
  <si>
    <t>Energy</t>
  </si>
  <si>
    <t xml:space="preserve"> Energy Units</t>
  </si>
  <si>
    <t>m3</t>
  </si>
  <si>
    <t>L</t>
  </si>
  <si>
    <t>kWh</t>
  </si>
  <si>
    <t>EGD Rate Zone - Residential Rate 1</t>
  </si>
  <si>
    <t>Energy Conversion Assumptions</t>
  </si>
  <si>
    <r>
      <t>Table 1</t>
    </r>
    <r>
      <rPr>
        <sz val="11"/>
        <color theme="1"/>
        <rFont val="Arial"/>
        <family val="2"/>
      </rPr>
      <t xml:space="preserve"> (1)</t>
    </r>
  </si>
  <si>
    <t>Unit</t>
  </si>
  <si>
    <t>Equivalent Value</t>
  </si>
  <si>
    <t>Equivalent Unit</t>
  </si>
  <si>
    <t>1.0 Gigajoules (GJ)</t>
  </si>
  <si>
    <t>Kilowatt-hours (kW.h)</t>
  </si>
  <si>
    <t>Cubic metres (m³) natural gas</t>
  </si>
  <si>
    <t>1.0 Kilowatt-hours (kW.h)</t>
  </si>
  <si>
    <t>Gigajoules (GJ)</t>
  </si>
  <si>
    <t>1.0 Cubic metres (m³) natural gas</t>
  </si>
  <si>
    <t>Cubic feet (cf) natural gas</t>
  </si>
  <si>
    <t>Note:</t>
  </si>
  <si>
    <t>(1) Sourced from https://apps.cer-rec.gc.ca/Conversion/conversion-tables.aspx?GoCTemplateCulture=en-CA</t>
  </si>
  <si>
    <r>
      <t>Table 2</t>
    </r>
    <r>
      <rPr>
        <sz val="11"/>
        <color theme="1"/>
        <rFont val="Arial"/>
        <family val="2"/>
      </rPr>
      <t xml:space="preserve"> (1)</t>
    </r>
  </si>
  <si>
    <t>Substance</t>
  </si>
  <si>
    <t>1.0 Cubic metres (m³)</t>
  </si>
  <si>
    <t> Gigajoules (GJ)</t>
  </si>
  <si>
    <t>Table 3</t>
  </si>
  <si>
    <t>Enbridge Gas unit of Measure Conversion Information</t>
  </si>
  <si>
    <t>EGD Rate Zone (1)</t>
  </si>
  <si>
    <r>
      <t>Heat Value (MJ/m</t>
    </r>
    <r>
      <rPr>
        <vertAlign val="superscript"/>
        <sz val="11"/>
        <color theme="1"/>
        <rFont val="Arial"/>
        <family val="2"/>
      </rPr>
      <t>3</t>
    </r>
    <r>
      <rPr>
        <sz val="11"/>
        <color theme="1"/>
        <rFont val="Arial"/>
        <family val="2"/>
      </rPr>
      <t>)</t>
    </r>
  </si>
  <si>
    <r>
      <t>Conversion Factor (GJ/m</t>
    </r>
    <r>
      <rPr>
        <vertAlign val="superscript"/>
        <sz val="11"/>
        <color theme="1"/>
        <rFont val="Arial"/>
        <family val="2"/>
      </rPr>
      <t>3</t>
    </r>
    <r>
      <rPr>
        <sz val="11"/>
        <color theme="1"/>
        <rFont val="Arial"/>
        <family val="2"/>
      </rPr>
      <t>)</t>
    </r>
  </si>
  <si>
    <t>Note</t>
  </si>
  <si>
    <r>
      <t>(1) Sourced from EB-2022-0286, Rate Handbook, Rate 1 Residential Service (MJ/m</t>
    </r>
    <r>
      <rPr>
        <vertAlign val="superscript"/>
        <sz val="11"/>
        <color theme="1"/>
        <rFont val="Arial"/>
        <family val="2"/>
      </rPr>
      <t>3</t>
    </r>
    <r>
      <rPr>
        <sz val="11"/>
        <color theme="1"/>
        <rFont val="Arial"/>
        <family val="2"/>
      </rPr>
      <t>)</t>
    </r>
  </si>
  <si>
    <t>Table 4</t>
  </si>
  <si>
    <t>Energy Price Conversion</t>
  </si>
  <si>
    <t>Starting Unit</t>
  </si>
  <si>
    <t>Conversion</t>
  </si>
  <si>
    <t>Conversion Unit</t>
  </si>
  <si>
    <t>GJ</t>
  </si>
  <si>
    <t>Efficiency Factor Assumptions</t>
  </si>
  <si>
    <t>Table 2</t>
  </si>
  <si>
    <t>Current Assumed Base Load and Heat Load Proportions</t>
  </si>
  <si>
    <t>Current Efficiency Factors for a Typical Residential Customer - Rate 1</t>
  </si>
  <si>
    <t>Heat Load:</t>
  </si>
  <si>
    <t>Space Heating (SH)</t>
  </si>
  <si>
    <t>Base Load:</t>
  </si>
  <si>
    <t>Domestic Water Heating (DWH)</t>
  </si>
  <si>
    <t>Total Load</t>
  </si>
  <si>
    <t>Total</t>
  </si>
  <si>
    <t>Natural Gas Assumptions</t>
  </si>
  <si>
    <t>Typical Residenital Customer Total Bill Impacts (1)</t>
  </si>
  <si>
    <t>EGD</t>
  </si>
  <si>
    <t>Rates Effective:</t>
  </si>
  <si>
    <t>Jan. 1, 2023</t>
  </si>
  <si>
    <t>Volume</t>
  </si>
  <si>
    <t>Customer Charge</t>
  </si>
  <si>
    <t>$</t>
  </si>
  <si>
    <t>Distribution Charge</t>
  </si>
  <si>
    <t>Load Balancing</t>
  </si>
  <si>
    <t>Transportation</t>
  </si>
  <si>
    <t>Sales Commodity</t>
  </si>
  <si>
    <t>Federal Carbon Charge</t>
  </si>
  <si>
    <t>Cost Adjustment</t>
  </si>
  <si>
    <t>Gas Supply</t>
  </si>
  <si>
    <t>Delivery</t>
  </si>
  <si>
    <t>Total Sales with Cost Adjustments</t>
  </si>
  <si>
    <t>Average Rate</t>
  </si>
  <si>
    <t>System Expansion Surcharge (SES)</t>
  </si>
  <si>
    <t>Average Rate including SES</t>
  </si>
  <si>
    <t>Notes for Table 1:</t>
  </si>
  <si>
    <t>(1)  Sourced from EB-2023-0073, Exhibit A, Tab 3, Schedule 1, Page 1</t>
  </si>
  <si>
    <t>Oil Assumptions</t>
  </si>
  <si>
    <t>Home Heating Oil (HHO) (1)</t>
  </si>
  <si>
    <t>Month</t>
  </si>
  <si>
    <t xml:space="preserve">
Federal/Provincial Carbon Tax Charge
HHO (2)</t>
  </si>
  <si>
    <t>HHO
(v735163) (3)</t>
  </si>
  <si>
    <t>HHO 
(excl. GST/HST)</t>
  </si>
  <si>
    <t>HHO 
(excl. tax and C&amp;T)</t>
  </si>
  <si>
    <t>Total $/L</t>
  </si>
  <si>
    <t>all prices in cents/litre</t>
  </si>
  <si>
    <t>Sourced from https://natural-resources.canada.ca/our-natural-resources/domestic-and-international-markets/transportation-fuel-prices/fuel-consumption-taxes-canada/18885
Federal and Provincial Carbon Levies (Alberta, Saskatchewan, Manitoba, Ontario, New Brunswich, Yukon, Nunavut)</t>
  </si>
  <si>
    <t>Sourced from the Conference Board of Canada (CANSIM) - v735163</t>
  </si>
  <si>
    <t>Electricity Assumptions</t>
  </si>
  <si>
    <t>Ontario Energy Rebate (OER):</t>
  </si>
  <si>
    <t xml:space="preserve">Regulated Price Plan -TOU </t>
  </si>
  <si>
    <t>Hydro One Electricity Rates</t>
  </si>
  <si>
    <t>Time of Use</t>
  </si>
  <si>
    <t>Medium Density - R1 (1)</t>
  </si>
  <si>
    <t>Cents/kWh (2)</t>
  </si>
  <si>
    <t>% of Load (3)</t>
  </si>
  <si>
    <t>On Peak</t>
  </si>
  <si>
    <t>Mid Peak</t>
  </si>
  <si>
    <t>Rates Effective</t>
  </si>
  <si>
    <t>Off Peak</t>
  </si>
  <si>
    <t>Service Charge</t>
  </si>
  <si>
    <t>$/month</t>
  </si>
  <si>
    <t>Total Load - cent/KWh</t>
  </si>
  <si>
    <t>Distribution Rate</t>
  </si>
  <si>
    <t>$/kWh</t>
  </si>
  <si>
    <t>Total Load - $/kWh</t>
  </si>
  <si>
    <t>Transmission</t>
  </si>
  <si>
    <t>Wholesale Market Service Rate + CBR</t>
  </si>
  <si>
    <t xml:space="preserve">Rural rate protection charge </t>
  </si>
  <si>
    <t>Adjustment Factor Charge</t>
  </si>
  <si>
    <t>(1) Sourced from OEB Newsroom - Friday Oct. 21, 2022</t>
  </si>
  <si>
    <t>Standard Supply Servise Charge</t>
  </si>
  <si>
    <t>(2) TOU rates effective from November 1, 2022 to April 30, 2023</t>
  </si>
  <si>
    <t>Fixed Charge Rate Riders</t>
  </si>
  <si>
    <t>(3) Sourced from OEB Regulated Price Plan Price Report - November 1, 2021 to October 31, 2022</t>
  </si>
  <si>
    <t>SME</t>
  </si>
  <si>
    <t>Total $/kWh</t>
  </si>
  <si>
    <t>Total $/kWh with OER</t>
  </si>
  <si>
    <t>Total $/kWh with OER, no distribution charge</t>
  </si>
  <si>
    <t>Notes for Table 2:</t>
  </si>
  <si>
    <t>(1) Sourced from EB-2021-0110 Hydro One Networks Inc. Tariff of Rates and Charges, Effective and Implementation Date January 1, 2023</t>
  </si>
  <si>
    <t xml:space="preserve">  Medium Density - R1</t>
  </si>
  <si>
    <t>Propane Assumptions</t>
  </si>
  <si>
    <t>Ending Value Jan. 28, 2023 (cents/L)</t>
  </si>
  <si>
    <t>Propane Prices for Residential Rate 1 Customer</t>
  </si>
  <si>
    <t>Date</t>
  </si>
  <si>
    <t>$/L</t>
  </si>
  <si>
    <t>Cents/L</t>
  </si>
  <si>
    <t>Daily Price Change (2)</t>
  </si>
  <si>
    <t>Carbon Tax (3)</t>
  </si>
  <si>
    <t>February Monthly Average</t>
  </si>
  <si>
    <t>Current Price:</t>
  </si>
  <si>
    <t>Carbon Tax:</t>
  </si>
  <si>
    <t>Total Cents/L</t>
  </si>
  <si>
    <t>Notes for Table 1</t>
  </si>
  <si>
    <t>(1) Date of the last recorded daily price change from the previous month</t>
  </si>
  <si>
    <t xml:space="preserve">(2) Source: https://edproenergy.com/residential/ </t>
  </si>
  <si>
    <t xml:space="preserve">  Zone 5</t>
  </si>
  <si>
    <t xml:space="preserve">  2,500-4,499 Litres</t>
  </si>
  <si>
    <t>(3) Source: https://www.canada.ca/en/revenue-agency/services/forms-publications/publications/fcrates/fuel-charge-rates.html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</si>
</sst>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quot;Updated:&quot;\ m/d/yyyy"/>
    <numFmt numFmtId="165" formatCode="_(&quot;$&quot;* #,##0.000_);_(&quot;$&quot;* \(#,##0.000\);_(&quot;$&quot;* &quot;-&quot;??_);_(@_)"/>
    <numFmt numFmtId="166" formatCode="#,##0.000_);[Red]\(#,##0.000\)"/>
    <numFmt numFmtId="167" formatCode="0.000"/>
    <numFmt numFmtId="168" formatCode="[$-409]mmmm\ d\,\ yyyy;@"/>
    <numFmt numFmtId="169" formatCode="0.0%"/>
    <numFmt numFmtId="170" formatCode="0.0000"/>
    <numFmt numFmtId="171" formatCode="d\-mmm\-yyyy"/>
    <numFmt numFmtId="172" formatCode="_(* #,##0.0000_);_(* \(#,##0.0000\);_(* &quot;-&quot;??_);_(@_)"/>
    <numFmt numFmtId="173" formatCode="dd\-mmm\-yyyy"/>
    <numFmt numFmtId="174" formatCode="0.00000"/>
    <numFmt numFmtId="175" formatCode="#,##0.0000_);\(#,##0.0000\)"/>
    <numFmt numFmtId="176" formatCode="&quot;$&quot;#,##0.000&quot;/m³&quot;"/>
    <numFmt numFmtId="177" formatCode="&quot;$&quot;#,##0.000&quot;/L&quot;"/>
    <numFmt numFmtId="178" formatCode="&quot;$&quot;#,##0.000&quot;/kWh&quot;"/>
    <numFmt numFmtId="179" formatCode="&quot;$&quot;#,##0"/>
    <numFmt numFmtId="180" formatCode="&quot;$&quot;#,##0.000"/>
    <numFmt numFmtId="181" formatCode="_(&quot;$&quot;* #,##0_);_(&quot;$&quot;* \(#,##0\);_(&quot;$&quot;* &quot;-&quot;??_);_(@_)"/>
  </numFmts>
  <fonts count="31" x14ac:knownFonts="1">
    <font>
      <sz val="11"/>
      <color theme="1"/>
      <name val="Calibri"/>
      <family val="2"/>
      <scheme val="minor"/>
    </font>
    <font>
      <sz val="11"/>
      <color theme="1"/>
      <name val="Calibri"/>
      <family val="2"/>
      <scheme val="minor"/>
    </font>
    <font>
      <u/>
      <sz val="18"/>
      <color theme="1"/>
      <name val="Arial"/>
      <family val="2"/>
    </font>
    <font>
      <sz val="11"/>
      <color theme="1"/>
      <name val="Arial"/>
      <family val="2"/>
    </font>
    <font>
      <u/>
      <sz val="11"/>
      <color theme="1"/>
      <name val="Arial"/>
      <family val="2"/>
    </font>
    <font>
      <b/>
      <sz val="11"/>
      <color theme="1"/>
      <name val="Arial"/>
      <family val="2"/>
    </font>
    <font>
      <u/>
      <sz val="11"/>
      <color theme="10"/>
      <name val="Calibri"/>
      <family val="2"/>
      <scheme val="minor"/>
    </font>
    <font>
      <sz val="11"/>
      <color theme="10"/>
      <name val="Arial"/>
      <family val="2"/>
    </font>
    <font>
      <i/>
      <sz val="9"/>
      <color rgb="FF0000FF"/>
      <name val="Arial"/>
      <family val="2"/>
    </font>
    <font>
      <u/>
      <sz val="18"/>
      <name val="Arial"/>
      <family val="2"/>
    </font>
    <font>
      <u/>
      <sz val="11"/>
      <color theme="1"/>
      <name val="Calibri"/>
      <family val="2"/>
      <scheme val="minor"/>
    </font>
    <font>
      <b/>
      <sz val="11"/>
      <color rgb="FFFF0000"/>
      <name val="Arial"/>
      <family val="2"/>
    </font>
    <font>
      <sz val="11"/>
      <name val="Arial"/>
      <family val="2"/>
    </font>
    <font>
      <sz val="12"/>
      <color theme="1"/>
      <name val="Arial"/>
      <family val="2"/>
    </font>
    <font>
      <u/>
      <sz val="14"/>
      <color theme="1"/>
      <name val="Arial"/>
      <family val="2"/>
    </font>
    <font>
      <u/>
      <sz val="11"/>
      <color theme="10"/>
      <name val="Arial"/>
      <family val="2"/>
    </font>
    <font>
      <b/>
      <u/>
      <sz val="11"/>
      <color theme="1"/>
      <name val="Arial"/>
      <family val="2"/>
    </font>
    <font>
      <u/>
      <sz val="11"/>
      <name val="Arial"/>
      <family val="2"/>
    </font>
    <font>
      <vertAlign val="superscript"/>
      <sz val="11"/>
      <color theme="1"/>
      <name val="Arial"/>
      <family val="2"/>
    </font>
    <font>
      <sz val="10"/>
      <name val="Arial"/>
      <family val="2"/>
    </font>
    <font>
      <b/>
      <sz val="18"/>
      <color rgb="FFFFC000"/>
      <name val="Arial"/>
      <family val="2"/>
    </font>
    <font>
      <b/>
      <sz val="18"/>
      <color theme="4"/>
      <name val="Arial"/>
      <family val="2"/>
    </font>
    <font>
      <b/>
      <sz val="10"/>
      <name val="Arial"/>
      <family val="2"/>
    </font>
    <font>
      <b/>
      <sz val="18"/>
      <color theme="1"/>
      <name val="Neue Haas Grotesk Text Pro"/>
      <family val="2"/>
    </font>
    <font>
      <b/>
      <sz val="11"/>
      <color theme="1" tint="0.249977111117893"/>
      <name val="Arial"/>
      <family val="2"/>
    </font>
    <font>
      <b/>
      <sz val="11"/>
      <name val="Arial"/>
      <family val="2"/>
    </font>
    <font>
      <vertAlign val="superscript"/>
      <sz val="11"/>
      <name val="Arial"/>
      <family val="2"/>
    </font>
    <font>
      <b/>
      <sz val="11"/>
      <color theme="1"/>
      <name val="Calibri"/>
      <family val="2"/>
      <scheme val="minor"/>
    </font>
    <font>
      <b/>
      <vertAlign val="superscript"/>
      <sz val="11"/>
      <color theme="1"/>
      <name val="Calibri"/>
      <family val="2"/>
      <scheme val="minor"/>
    </font>
    <font>
      <sz val="11"/>
      <name val="Calibri"/>
      <family val="2"/>
      <scheme val="minor"/>
    </font>
    <font>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3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cellStyleXfs>
  <cellXfs count="214">
    <xf numFmtId="0" fontId="0" fillId="0" borderId="0" xfId="0"/>
    <xf numFmtId="0" fontId="2" fillId="0" borderId="0" xfId="0" applyFont="1"/>
    <xf numFmtId="0" fontId="3" fillId="0" borderId="0" xfId="0" applyFont="1"/>
    <xf numFmtId="0" fontId="3" fillId="0" borderId="4"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0" xfId="0" applyFont="1" applyAlignment="1">
      <alignment horizontal="center"/>
    </xf>
    <xf numFmtId="0" fontId="4" fillId="0" borderId="7" xfId="0" applyFont="1" applyBorder="1"/>
    <xf numFmtId="0" fontId="3" fillId="0" borderId="8" xfId="0" applyFont="1" applyBorder="1"/>
    <xf numFmtId="0" fontId="3" fillId="0" borderId="7" xfId="0" applyFont="1" applyBorder="1"/>
    <xf numFmtId="0" fontId="3" fillId="0" borderId="7" xfId="0" applyFont="1" applyBorder="1" applyAlignment="1">
      <alignment horizontal="left" indent="2"/>
    </xf>
    <xf numFmtId="9" fontId="3" fillId="0" borderId="8" xfId="3"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3" fillId="0" borderId="7" xfId="0" applyFont="1" applyBorder="1" applyAlignment="1">
      <alignment horizontal="right" indent="2"/>
    </xf>
    <xf numFmtId="9" fontId="3" fillId="0" borderId="0" xfId="3" applyFont="1" applyBorder="1" applyAlignment="1">
      <alignment horizontal="center"/>
    </xf>
    <xf numFmtId="0" fontId="3" fillId="0" borderId="7" xfId="0" applyFont="1" applyBorder="1" applyAlignment="1">
      <alignment horizontal="right"/>
    </xf>
    <xf numFmtId="9" fontId="3" fillId="0" borderId="9" xfId="0" applyNumberFormat="1" applyFont="1" applyBorder="1" applyAlignment="1">
      <alignment horizontal="center"/>
    </xf>
    <xf numFmtId="9" fontId="3" fillId="0" borderId="10" xfId="0" applyNumberFormat="1" applyFont="1" applyBorder="1" applyAlignment="1">
      <alignment horizontal="center"/>
    </xf>
    <xf numFmtId="0" fontId="3" fillId="0" borderId="11" xfId="0" applyFont="1" applyBorder="1"/>
    <xf numFmtId="0" fontId="3" fillId="0" borderId="12" xfId="0" applyFont="1" applyBorder="1"/>
    <xf numFmtId="9" fontId="3" fillId="0" borderId="13" xfId="3" applyFont="1" applyBorder="1" applyAlignment="1">
      <alignment horizontal="center"/>
    </xf>
    <xf numFmtId="9" fontId="3" fillId="0" borderId="12" xfId="3"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left"/>
    </xf>
    <xf numFmtId="0" fontId="3" fillId="0" borderId="6" xfId="0" applyFont="1" applyBorder="1" applyAlignment="1">
      <alignment horizontal="left" wrapText="1"/>
    </xf>
    <xf numFmtId="0" fontId="3" fillId="0" borderId="5" xfId="0" applyFont="1" applyBorder="1" applyAlignment="1">
      <alignment horizontal="left"/>
    </xf>
    <xf numFmtId="0" fontId="3" fillId="0" borderId="8" xfId="0" applyFont="1" applyBorder="1" applyAlignment="1">
      <alignment horizontal="left"/>
    </xf>
    <xf numFmtId="0" fontId="3" fillId="0" borderId="13" xfId="0" applyFont="1" applyBorder="1"/>
    <xf numFmtId="0" fontId="8" fillId="0" borderId="0" xfId="0" applyFont="1"/>
    <xf numFmtId="0" fontId="3" fillId="0" borderId="6" xfId="0" applyFont="1" applyBorder="1" applyAlignment="1">
      <alignment horizontal="center" wrapText="1"/>
    </xf>
    <xf numFmtId="0" fontId="3" fillId="0" borderId="0" xfId="0" applyFont="1" applyAlignment="1">
      <alignment horizontal="center"/>
    </xf>
    <xf numFmtId="0" fontId="8" fillId="0" borderId="13" xfId="0" applyFont="1" applyBorder="1"/>
    <xf numFmtId="0" fontId="8" fillId="0" borderId="12" xfId="0" applyFont="1" applyBorder="1"/>
    <xf numFmtId="0" fontId="7" fillId="0" borderId="0" xfId="4" applyFont="1" applyBorder="1"/>
    <xf numFmtId="0" fontId="3" fillId="0" borderId="4" xfId="0" applyFont="1" applyBorder="1"/>
    <xf numFmtId="15" fontId="3" fillId="0" borderId="7" xfId="0" applyNumberFormat="1" applyFont="1" applyBorder="1" applyAlignment="1">
      <alignment horizontal="left"/>
    </xf>
    <xf numFmtId="2" fontId="3" fillId="0" borderId="0" xfId="0" applyNumberFormat="1" applyFont="1" applyAlignment="1">
      <alignment horizontal="center"/>
    </xf>
    <xf numFmtId="2" fontId="3" fillId="0" borderId="8" xfId="0" applyNumberFormat="1" applyFont="1" applyBorder="1" applyAlignment="1">
      <alignment horizontal="center"/>
    </xf>
    <xf numFmtId="0" fontId="3" fillId="0" borderId="5" xfId="0" applyFont="1" applyBorder="1" applyAlignment="1">
      <alignment horizontal="center" wrapText="1"/>
    </xf>
    <xf numFmtId="0" fontId="3" fillId="0" borderId="13"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left"/>
    </xf>
    <xf numFmtId="0" fontId="3" fillId="0" borderId="4" xfId="0" applyFont="1" applyBorder="1" applyAlignment="1">
      <alignment horizontal="right"/>
    </xf>
    <xf numFmtId="37" fontId="3" fillId="0" borderId="0" xfId="1" applyNumberFormat="1" applyFont="1" applyFill="1" applyBorder="1" applyAlignment="1">
      <alignment horizontal="center"/>
    </xf>
    <xf numFmtId="37" fontId="3" fillId="0" borderId="8" xfId="1" applyNumberFormat="1" applyFont="1" applyFill="1" applyBorder="1" applyAlignment="1">
      <alignment horizontal="center"/>
    </xf>
    <xf numFmtId="0" fontId="9" fillId="0" borderId="0" xfId="0" applyFont="1"/>
    <xf numFmtId="0" fontId="10" fillId="0" borderId="0" xfId="0" applyFont="1"/>
    <xf numFmtId="0" fontId="3" fillId="0" borderId="7" xfId="0" applyFont="1" applyBorder="1" applyAlignment="1">
      <alignment horizontal="center"/>
    </xf>
    <xf numFmtId="3" fontId="3" fillId="0" borderId="8" xfId="0" applyNumberFormat="1" applyFont="1" applyBorder="1"/>
    <xf numFmtId="164" fontId="5" fillId="0" borderId="8" xfId="0" applyNumberFormat="1" applyFont="1" applyBorder="1" applyAlignment="1">
      <alignment horizontal="center" wrapText="1"/>
    </xf>
    <xf numFmtId="0" fontId="3" fillId="0" borderId="7" xfId="0" applyFont="1" applyBorder="1" applyAlignment="1">
      <alignment horizontal="left"/>
    </xf>
    <xf numFmtId="0" fontId="3" fillId="0" borderId="7" xfId="0" applyFont="1" applyBorder="1" applyAlignment="1">
      <alignment horizontal="left" indent="3"/>
    </xf>
    <xf numFmtId="165" fontId="11" fillId="0" borderId="12" xfId="2" applyNumberFormat="1" applyFont="1" applyFill="1" applyBorder="1"/>
    <xf numFmtId="39" fontId="3" fillId="0" borderId="8" xfId="0" applyNumberFormat="1" applyFont="1" applyBorder="1"/>
    <xf numFmtId="39" fontId="5" fillId="0" borderId="8" xfId="2" applyNumberFormat="1" applyFont="1" applyFill="1" applyBorder="1"/>
    <xf numFmtId="39" fontId="3" fillId="0" borderId="6" xfId="0" applyNumberFormat="1" applyFont="1" applyBorder="1"/>
    <xf numFmtId="39" fontId="3" fillId="0" borderId="8" xfId="2" applyNumberFormat="1" applyFont="1" applyFill="1" applyBorder="1"/>
    <xf numFmtId="2" fontId="3" fillId="0" borderId="0" xfId="0" applyNumberFormat="1" applyFont="1"/>
    <xf numFmtId="17" fontId="12" fillId="0" borderId="7" xfId="0" applyNumberFormat="1" applyFont="1" applyBorder="1" applyAlignment="1">
      <alignment horizontal="right"/>
    </xf>
    <xf numFmtId="2" fontId="12" fillId="0" borderId="0" xfId="0" applyNumberFormat="1" applyFont="1" applyAlignment="1">
      <alignment horizontal="center"/>
    </xf>
    <xf numFmtId="166" fontId="12" fillId="0" borderId="0" xfId="0" applyNumberFormat="1" applyFont="1" applyAlignment="1">
      <alignment horizontal="center" wrapText="1"/>
    </xf>
    <xf numFmtId="17" fontId="12" fillId="0" borderId="0" xfId="0" applyNumberFormat="1" applyFont="1" applyAlignment="1">
      <alignment horizontal="right" wrapText="1"/>
    </xf>
    <xf numFmtId="167" fontId="12" fillId="0" borderId="0" xfId="0" applyNumberFormat="1" applyFont="1" applyAlignment="1">
      <alignment horizontal="right"/>
    </xf>
    <xf numFmtId="17" fontId="12" fillId="0" borderId="11" xfId="0" applyNumberFormat="1" applyFont="1" applyBorder="1" applyAlignment="1">
      <alignment wrapText="1"/>
    </xf>
    <xf numFmtId="2" fontId="3" fillId="0" borderId="13" xfId="0" applyNumberFormat="1" applyFont="1" applyBorder="1"/>
    <xf numFmtId="168" fontId="2" fillId="0" borderId="0" xfId="0" applyNumberFormat="1" applyFont="1" applyAlignment="1">
      <alignment horizontal="left"/>
    </xf>
    <xf numFmtId="0" fontId="3" fillId="0" borderId="0" xfId="0" applyFont="1" applyAlignment="1">
      <alignment horizontal="right"/>
    </xf>
    <xf numFmtId="0" fontId="0" fillId="0" borderId="7" xfId="0" applyBorder="1"/>
    <xf numFmtId="0" fontId="0" fillId="0" borderId="8" xfId="0" applyBorder="1"/>
    <xf numFmtId="2" fontId="12" fillId="0" borderId="0" xfId="0" applyNumberFormat="1" applyFont="1"/>
    <xf numFmtId="0" fontId="4" fillId="0" borderId="0" xfId="0" applyFont="1"/>
    <xf numFmtId="0" fontId="3" fillId="0" borderId="0" xfId="0" quotePrefix="1" applyFont="1"/>
    <xf numFmtId="170" fontId="3" fillId="0" borderId="0" xfId="0" applyNumberFormat="1" applyFont="1" applyAlignment="1">
      <alignment horizontal="center"/>
    </xf>
    <xf numFmtId="0" fontId="0" fillId="0" borderId="11" xfId="0" applyBorder="1"/>
    <xf numFmtId="0" fontId="0" fillId="0" borderId="13" xfId="0" applyBorder="1"/>
    <xf numFmtId="0" fontId="0" fillId="0" borderId="12" xfId="0" applyBorder="1"/>
    <xf numFmtId="0" fontId="5" fillId="0" borderId="7" xfId="0" applyFont="1" applyBorder="1" applyAlignment="1">
      <alignment horizontal="right"/>
    </xf>
    <xf numFmtId="0" fontId="3" fillId="0" borderId="4" xfId="0" applyFont="1" applyBorder="1" applyAlignment="1">
      <alignment horizontal="left" indent="2"/>
    </xf>
    <xf numFmtId="0" fontId="12" fillId="0" borderId="6" xfId="0" applyFont="1" applyBorder="1" applyAlignment="1">
      <alignment horizontal="center"/>
    </xf>
    <xf numFmtId="172" fontId="3" fillId="0" borderId="0" xfId="1" applyNumberFormat="1" applyFont="1" applyFill="1" applyBorder="1" applyAlignment="1">
      <alignment horizontal="center"/>
    </xf>
    <xf numFmtId="0" fontId="3" fillId="0" borderId="7" xfId="0" applyFont="1" applyBorder="1" applyAlignment="1">
      <alignment horizontal="left" indent="5"/>
    </xf>
    <xf numFmtId="0" fontId="0" fillId="0" borderId="4" xfId="0" applyBorder="1"/>
    <xf numFmtId="0" fontId="0" fillId="0" borderId="6" xfId="0" applyBorder="1"/>
    <xf numFmtId="0" fontId="15" fillId="0" borderId="5" xfId="4" applyFont="1" applyBorder="1"/>
    <xf numFmtId="0" fontId="14" fillId="0" borderId="7" xfId="0" applyFont="1" applyBorder="1"/>
    <xf numFmtId="171" fontId="16" fillId="0" borderId="0" xfId="0" applyNumberFormat="1" applyFont="1" applyAlignment="1">
      <alignment horizontal="center"/>
    </xf>
    <xf numFmtId="0" fontId="12" fillId="0" borderId="0" xfId="0" applyFont="1" applyAlignment="1">
      <alignment horizontal="right"/>
    </xf>
    <xf numFmtId="170" fontId="12" fillId="0" borderId="0" xfId="0" applyNumberFormat="1" applyFont="1" applyAlignment="1">
      <alignment horizontal="right"/>
    </xf>
    <xf numFmtId="172" fontId="3" fillId="0" borderId="0" xfId="0" applyNumberFormat="1" applyFont="1" applyAlignment="1">
      <alignment horizontal="center"/>
    </xf>
    <xf numFmtId="0" fontId="5" fillId="0" borderId="0" xfId="0" applyFont="1" applyAlignment="1">
      <alignment horizontal="right"/>
    </xf>
    <xf numFmtId="169" fontId="5" fillId="0" borderId="6" xfId="3" applyNumberFormat="1" applyFont="1" applyBorder="1" applyAlignment="1">
      <alignment horizontal="center"/>
    </xf>
    <xf numFmtId="0" fontId="3" fillId="0" borderId="0" xfId="0" applyFont="1" applyAlignment="1">
      <alignment horizontal="left" indent="1"/>
    </xf>
    <xf numFmtId="0" fontId="4" fillId="0" borderId="0" xfId="0" applyFont="1" applyAlignment="1">
      <alignment horizontal="left"/>
    </xf>
    <xf numFmtId="0" fontId="5" fillId="0" borderId="0" xfId="0" applyFont="1"/>
    <xf numFmtId="0" fontId="5" fillId="0" borderId="6" xfId="0" applyFont="1" applyBorder="1" applyAlignment="1">
      <alignment horizontal="center"/>
    </xf>
    <xf numFmtId="0" fontId="5" fillId="0" borderId="8" xfId="0" applyFont="1" applyBorder="1"/>
    <xf numFmtId="39" fontId="0" fillId="0" borderId="0" xfId="0" applyNumberFormat="1"/>
    <xf numFmtId="39" fontId="3" fillId="0" borderId="0" xfId="0" applyNumberFormat="1" applyFont="1"/>
    <xf numFmtId="0" fontId="13" fillId="0" borderId="0" xfId="0" applyFont="1" applyAlignment="1">
      <alignment horizontal="left"/>
    </xf>
    <xf numFmtId="0" fontId="2" fillId="0" borderId="0" xfId="0" applyFont="1" applyAlignment="1">
      <alignment horizontal="center"/>
    </xf>
    <xf numFmtId="2" fontId="3" fillId="2" borderId="14" xfId="0" applyNumberFormat="1" applyFont="1" applyFill="1" applyBorder="1" applyAlignment="1">
      <alignment horizontal="center"/>
    </xf>
    <xf numFmtId="173" fontId="3" fillId="0" borderId="7" xfId="0" applyNumberFormat="1" applyFont="1" applyBorder="1" applyAlignment="1">
      <alignment horizontal="right"/>
    </xf>
    <xf numFmtId="175" fontId="3" fillId="0" borderId="0" xfId="0" applyNumberFormat="1" applyFont="1" applyAlignment="1">
      <alignment horizontal="center"/>
    </xf>
    <xf numFmtId="39" fontId="3" fillId="2" borderId="0" xfId="0" applyNumberFormat="1" applyFont="1" applyFill="1" applyAlignment="1">
      <alignment horizontal="center" wrapText="1"/>
    </xf>
    <xf numFmtId="39" fontId="3" fillId="0" borderId="0" xfId="0" applyNumberFormat="1" applyFont="1" applyAlignment="1">
      <alignment horizontal="center" wrapText="1"/>
    </xf>
    <xf numFmtId="175" fontId="3" fillId="0" borderId="0" xfId="0" applyNumberFormat="1" applyFont="1" applyAlignment="1">
      <alignment horizontal="center" wrapText="1"/>
    </xf>
    <xf numFmtId="175" fontId="3" fillId="0" borderId="8" xfId="0" applyNumberFormat="1" applyFont="1" applyBorder="1" applyAlignment="1">
      <alignment horizontal="center"/>
    </xf>
    <xf numFmtId="39" fontId="3" fillId="0" borderId="0" xfId="0" applyNumberFormat="1" applyFont="1" applyAlignment="1">
      <alignment horizontal="center"/>
    </xf>
    <xf numFmtId="173" fontId="12" fillId="0" borderId="7" xfId="0" applyNumberFormat="1" applyFont="1" applyBorder="1" applyAlignment="1">
      <alignment horizontal="right"/>
    </xf>
    <xf numFmtId="39" fontId="12" fillId="0" borderId="0" xfId="0" applyNumberFormat="1" applyFont="1" applyAlignment="1">
      <alignment horizontal="center"/>
    </xf>
    <xf numFmtId="173" fontId="12" fillId="0" borderId="11" xfId="0" applyNumberFormat="1" applyFont="1" applyBorder="1" applyAlignment="1">
      <alignment horizontal="right"/>
    </xf>
    <xf numFmtId="0" fontId="3" fillId="0" borderId="0" xfId="0" quotePrefix="1" applyFont="1" applyAlignment="1">
      <alignment horizontal="left" indent="1"/>
    </xf>
    <xf numFmtId="174" fontId="3" fillId="0" borderId="0" xfId="0" applyNumberFormat="1" applyFont="1" applyAlignment="1">
      <alignment horizontal="right"/>
    </xf>
    <xf numFmtId="0" fontId="3" fillId="0" borderId="13" xfId="0" applyFont="1" applyBorder="1" applyAlignment="1">
      <alignment horizontal="left"/>
    </xf>
    <xf numFmtId="173" fontId="17" fillId="0" borderId="0" xfId="0" applyNumberFormat="1" applyFont="1" applyAlignment="1">
      <alignment horizontal="left"/>
    </xf>
    <xf numFmtId="2" fontId="3" fillId="0" borderId="0" xfId="0" applyNumberFormat="1" applyFont="1" applyAlignment="1">
      <alignment horizontal="left" indent="6"/>
    </xf>
    <xf numFmtId="2" fontId="3" fillId="0" borderId="0" xfId="0" applyNumberFormat="1" applyFont="1" applyAlignment="1">
      <alignment vertical="top" wrapText="1"/>
    </xf>
    <xf numFmtId="0" fontId="3" fillId="0" borderId="0" xfId="0" applyFont="1" applyAlignment="1">
      <alignment horizontal="right" vertical="top"/>
    </xf>
    <xf numFmtId="37" fontId="3" fillId="0" borderId="0" xfId="1" applyNumberFormat="1" applyFont="1" applyFill="1" applyBorder="1" applyAlignment="1">
      <alignment horizontal="center" vertical="center"/>
    </xf>
    <xf numFmtId="0" fontId="19" fillId="3" borderId="16" xfId="5" applyFill="1" applyBorder="1"/>
    <xf numFmtId="0" fontId="17" fillId="0" borderId="0" xfId="5" applyFont="1" applyAlignment="1">
      <alignment horizontal="left" vertical="center"/>
    </xf>
    <xf numFmtId="0" fontId="22" fillId="0" borderId="0" xfId="5" applyFont="1" applyAlignment="1">
      <alignment horizontal="center" vertical="center"/>
    </xf>
    <xf numFmtId="9" fontId="22" fillId="0" borderId="0" xfId="7" applyFont="1" applyFill="1" applyBorder="1" applyAlignment="1">
      <alignment horizontal="center" vertical="center"/>
    </xf>
    <xf numFmtId="0" fontId="12" fillId="0" borderId="0" xfId="5" applyFont="1" applyAlignment="1">
      <alignment horizontal="left" vertical="center"/>
    </xf>
    <xf numFmtId="0" fontId="12" fillId="0" borderId="0" xfId="5" applyFont="1"/>
    <xf numFmtId="0" fontId="19" fillId="0" borderId="0" xfId="5"/>
    <xf numFmtId="0" fontId="3" fillId="0" borderId="0" xfId="0" quotePrefix="1" applyFont="1" applyAlignment="1">
      <alignment vertical="top"/>
    </xf>
    <xf numFmtId="0" fontId="12" fillId="0" borderId="11" xfId="4" applyFont="1" applyBorder="1"/>
    <xf numFmtId="0" fontId="23" fillId="0" borderId="0" xfId="0" applyFont="1" applyAlignment="1">
      <alignment vertical="center" wrapText="1"/>
    </xf>
    <xf numFmtId="174" fontId="3" fillId="0" borderId="13" xfId="0" applyNumberFormat="1" applyFont="1" applyBorder="1" applyAlignment="1">
      <alignment horizontal="right"/>
    </xf>
    <xf numFmtId="167" fontId="3" fillId="0" borderId="0" xfId="0" applyNumberFormat="1" applyFont="1" applyAlignment="1">
      <alignment horizontal="right"/>
    </xf>
    <xf numFmtId="49" fontId="24" fillId="0" borderId="20" xfId="5" applyNumberFormat="1" applyFont="1" applyBorder="1" applyAlignment="1">
      <alignment horizontal="center" wrapText="1"/>
    </xf>
    <xf numFmtId="49" fontId="24" fillId="0" borderId="21" xfId="5" applyNumberFormat="1" applyFont="1" applyBorder="1" applyAlignment="1">
      <alignment horizontal="center" wrapText="1"/>
    </xf>
    <xf numFmtId="49" fontId="24" fillId="0" borderId="22" xfId="5" applyNumberFormat="1" applyFont="1" applyBorder="1" applyAlignment="1">
      <alignment horizontal="center" wrapText="1"/>
    </xf>
    <xf numFmtId="176" fontId="24" fillId="0" borderId="24" xfId="5" applyNumberFormat="1" applyFont="1" applyBorder="1" applyAlignment="1">
      <alignment horizontal="center" vertical="top" wrapText="1"/>
    </xf>
    <xf numFmtId="177" fontId="24" fillId="0" borderId="24" xfId="5" applyNumberFormat="1" applyFont="1" applyBorder="1" applyAlignment="1">
      <alignment horizontal="center" vertical="top" wrapText="1"/>
    </xf>
    <xf numFmtId="178" fontId="24" fillId="0" borderId="24" xfId="5" applyNumberFormat="1" applyFont="1" applyBorder="1" applyAlignment="1">
      <alignment horizontal="center" vertical="top" wrapText="1"/>
    </xf>
    <xf numFmtId="177" fontId="24" fillId="0" borderId="25" xfId="5" applyNumberFormat="1" applyFont="1" applyBorder="1" applyAlignment="1">
      <alignment horizontal="center" vertical="top" wrapText="1"/>
    </xf>
    <xf numFmtId="0" fontId="25" fillId="4" borderId="26" xfId="5" applyFont="1" applyFill="1" applyBorder="1" applyAlignment="1">
      <alignment horizontal="left" vertical="center"/>
    </xf>
    <xf numFmtId="3" fontId="25" fillId="4" borderId="27" xfId="6" applyNumberFormat="1" applyFont="1" applyFill="1" applyBorder="1" applyAlignment="1">
      <alignment horizontal="center" vertical="center"/>
    </xf>
    <xf numFmtId="3" fontId="25" fillId="4" borderId="28" xfId="6" applyNumberFormat="1" applyFont="1" applyFill="1" applyBorder="1" applyAlignment="1">
      <alignment horizontal="center" vertical="center"/>
    </xf>
    <xf numFmtId="0" fontId="25" fillId="0" borderId="29" xfId="5" applyFont="1" applyBorder="1" applyAlignment="1">
      <alignment horizontal="left" vertical="center"/>
    </xf>
    <xf numFmtId="179" fontId="25" fillId="0" borderId="14" xfId="5" applyNumberFormat="1" applyFont="1" applyBorder="1" applyAlignment="1">
      <alignment horizontal="center" vertical="center"/>
    </xf>
    <xf numFmtId="179" fontId="25" fillId="0" borderId="30" xfId="5" applyNumberFormat="1" applyFont="1" applyBorder="1" applyAlignment="1">
      <alignment horizontal="center" vertical="center"/>
    </xf>
    <xf numFmtId="179" fontId="25" fillId="0" borderId="9" xfId="5" applyNumberFormat="1" applyFont="1" applyBorder="1" applyAlignment="1">
      <alignment horizontal="center" vertical="center"/>
    </xf>
    <xf numFmtId="0" fontId="25" fillId="5" borderId="7" xfId="5" applyFont="1" applyFill="1" applyBorder="1" applyAlignment="1">
      <alignment horizontal="left" vertical="center"/>
    </xf>
    <xf numFmtId="179" fontId="25" fillId="0" borderId="8" xfId="5" applyNumberFormat="1" applyFont="1" applyBorder="1" applyAlignment="1">
      <alignment horizontal="center" vertical="center"/>
    </xf>
    <xf numFmtId="0" fontId="25" fillId="4" borderId="29" xfId="5" applyFont="1" applyFill="1" applyBorder="1" applyAlignment="1">
      <alignment horizontal="left" vertical="center"/>
    </xf>
    <xf numFmtId="180" fontId="25" fillId="4" borderId="14" xfId="5" applyNumberFormat="1" applyFont="1" applyFill="1" applyBorder="1" applyAlignment="1">
      <alignment horizontal="center" vertical="center"/>
    </xf>
    <xf numFmtId="180" fontId="25" fillId="4" borderId="31" xfId="5" applyNumberFormat="1" applyFont="1" applyFill="1" applyBorder="1" applyAlignment="1">
      <alignment horizontal="center" vertical="center"/>
    </xf>
    <xf numFmtId="0" fontId="25" fillId="5" borderId="26" xfId="5" applyFont="1" applyFill="1" applyBorder="1" applyAlignment="1">
      <alignment horizontal="left" vertical="center"/>
    </xf>
    <xf numFmtId="9" fontId="25" fillId="0" borderId="27" xfId="7" applyFont="1" applyFill="1" applyBorder="1" applyAlignment="1">
      <alignment horizontal="center" vertical="center"/>
    </xf>
    <xf numFmtId="9" fontId="25" fillId="0" borderId="32" xfId="7" applyFont="1" applyFill="1" applyBorder="1" applyAlignment="1">
      <alignment horizontal="center" vertical="center"/>
    </xf>
    <xf numFmtId="0" fontId="25" fillId="5" borderId="33" xfId="5" applyFont="1" applyFill="1" applyBorder="1" applyAlignment="1">
      <alignment horizontal="left" vertical="center"/>
    </xf>
    <xf numFmtId="9" fontId="25" fillId="5" borderId="34" xfId="7" applyFont="1" applyFill="1" applyBorder="1" applyAlignment="1">
      <alignment horizontal="center" vertical="center"/>
    </xf>
    <xf numFmtId="9" fontId="25" fillId="0" borderId="35" xfId="7" applyFont="1" applyFill="1" applyBorder="1" applyAlignment="1">
      <alignment horizontal="center" vertical="center"/>
    </xf>
    <xf numFmtId="0" fontId="25" fillId="4" borderId="4" xfId="5" applyFont="1" applyFill="1" applyBorder="1" applyAlignment="1">
      <alignment horizontal="left" vertical="center"/>
    </xf>
    <xf numFmtId="0" fontId="25" fillId="4" borderId="27" xfId="5" applyFont="1" applyFill="1" applyBorder="1" applyAlignment="1">
      <alignment horizontal="center" vertical="center"/>
    </xf>
    <xf numFmtId="179" fontId="25" fillId="4" borderId="27" xfId="5" applyNumberFormat="1" applyFont="1" applyFill="1" applyBorder="1" applyAlignment="1">
      <alignment horizontal="center" vertical="center"/>
    </xf>
    <xf numFmtId="179" fontId="25" fillId="4" borderId="32" xfId="5" applyNumberFormat="1" applyFont="1" applyFill="1" applyBorder="1" applyAlignment="1">
      <alignment horizontal="center" vertical="center"/>
    </xf>
    <xf numFmtId="179" fontId="25" fillId="5" borderId="0" xfId="5" applyNumberFormat="1" applyFont="1" applyFill="1" applyAlignment="1">
      <alignment horizontal="center" vertical="center"/>
    </xf>
    <xf numFmtId="0" fontId="25" fillId="5" borderId="36" xfId="5" applyFont="1" applyFill="1" applyBorder="1" applyAlignment="1">
      <alignment horizontal="left" vertical="center"/>
    </xf>
    <xf numFmtId="0" fontId="25" fillId="5" borderId="37" xfId="5" applyFont="1" applyFill="1" applyBorder="1" applyAlignment="1">
      <alignment horizontal="center" vertical="center"/>
    </xf>
    <xf numFmtId="9" fontId="25" fillId="5" borderId="37" xfId="7" applyFont="1" applyFill="1" applyBorder="1" applyAlignment="1">
      <alignment horizontal="center" vertical="center"/>
    </xf>
    <xf numFmtId="9" fontId="25" fillId="5" borderId="38" xfId="7" applyFont="1" applyFill="1" applyBorder="1" applyAlignment="1">
      <alignment horizontal="center" vertical="center"/>
    </xf>
    <xf numFmtId="175" fontId="3" fillId="3" borderId="0" xfId="0" applyNumberFormat="1" applyFont="1" applyFill="1" applyAlignment="1">
      <alignment horizontal="center" wrapText="1"/>
    </xf>
    <xf numFmtId="9" fontId="0" fillId="0" borderId="0" xfId="3" applyFont="1" applyFill="1"/>
    <xf numFmtId="44" fontId="0" fillId="0" borderId="0" xfId="0" applyNumberFormat="1"/>
    <xf numFmtId="0" fontId="27" fillId="0" borderId="14" xfId="0" applyFont="1" applyBorder="1" applyAlignment="1">
      <alignment horizontal="center" wrapText="1"/>
    </xf>
    <xf numFmtId="0" fontId="0" fillId="0" borderId="14" xfId="0" applyBorder="1"/>
    <xf numFmtId="9" fontId="0" fillId="0" borderId="14" xfId="3" applyFont="1" applyFill="1" applyBorder="1" applyAlignment="1">
      <alignment horizontal="center"/>
    </xf>
    <xf numFmtId="44" fontId="0" fillId="0" borderId="14" xfId="2" applyFont="1" applyFill="1" applyBorder="1"/>
    <xf numFmtId="9" fontId="0" fillId="0" borderId="14" xfId="3" applyFont="1" applyFill="1" applyBorder="1"/>
    <xf numFmtId="44" fontId="29" fillId="0" borderId="14" xfId="2" applyFont="1" applyFill="1" applyBorder="1" applyAlignment="1">
      <alignment wrapText="1"/>
    </xf>
    <xf numFmtId="0" fontId="0" fillId="0" borderId="14" xfId="0" applyBorder="1" applyAlignment="1">
      <alignment wrapText="1"/>
    </xf>
    <xf numFmtId="9" fontId="0" fillId="0" borderId="14" xfId="0" applyNumberFormat="1" applyBorder="1"/>
    <xf numFmtId="181" fontId="0" fillId="0" borderId="14" xfId="0" applyNumberFormat="1" applyBorder="1"/>
    <xf numFmtId="0" fontId="30" fillId="0" borderId="0" xfId="0" applyFont="1"/>
    <xf numFmtId="0" fontId="3" fillId="0" borderId="0" xfId="0" applyFont="1" applyAlignment="1">
      <alignment horizontal="left" vertical="top" wrapText="1"/>
    </xf>
    <xf numFmtId="0" fontId="23" fillId="0" borderId="0" xfId="0" applyFont="1" applyAlignment="1">
      <alignment horizontal="center" vertical="center" wrapText="1"/>
    </xf>
    <xf numFmtId="0" fontId="20" fillId="3" borderId="17" xfId="5" applyFont="1" applyFill="1" applyBorder="1" applyAlignment="1">
      <alignment horizontal="center" vertical="center" wrapText="1"/>
    </xf>
    <xf numFmtId="0" fontId="21" fillId="3" borderId="17" xfId="5" applyFont="1" applyFill="1" applyBorder="1" applyAlignment="1">
      <alignment horizontal="center" vertical="center" wrapText="1"/>
    </xf>
    <xf numFmtId="0" fontId="21" fillId="3" borderId="18" xfId="5" applyFont="1" applyFill="1" applyBorder="1" applyAlignment="1">
      <alignment horizontal="center" vertical="center" wrapText="1"/>
    </xf>
    <xf numFmtId="0" fontId="12" fillId="0" borderId="19" xfId="5" applyFont="1" applyBorder="1" applyAlignment="1">
      <alignment horizontal="center"/>
    </xf>
    <xf numFmtId="0" fontId="12" fillId="0" borderId="23" xfId="5" applyFont="1" applyBorder="1" applyAlignment="1">
      <alignment horizontal="center"/>
    </xf>
    <xf numFmtId="0" fontId="12" fillId="0" borderId="0" xfId="5" applyFont="1" applyAlignment="1">
      <alignment horizontal="left" wrapText="1"/>
    </xf>
    <xf numFmtId="0" fontId="12" fillId="0" borderId="0" xfId="5" applyFont="1" applyAlignment="1">
      <alignment horizontal="left" vertical="top"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3" fillId="0" borderId="6"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left"/>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right"/>
    </xf>
    <xf numFmtId="0" fontId="3" fillId="0" borderId="15" xfId="0" applyFont="1" applyBorder="1" applyAlignment="1">
      <alignment horizontal="right"/>
    </xf>
    <xf numFmtId="2" fontId="3" fillId="0" borderId="0" xfId="0" applyNumberFormat="1" applyFont="1" applyAlignment="1">
      <alignment horizontal="left" vertical="top" wrapText="1"/>
    </xf>
  </cellXfs>
  <cellStyles count="9">
    <cellStyle name="Comma" xfId="1" builtinId="3"/>
    <cellStyle name="Comma 3" xfId="6" xr:uid="{0DF91E38-D2C7-4782-B825-0EA50ED9B30C}"/>
    <cellStyle name="Currency" xfId="2" builtinId="4"/>
    <cellStyle name="Hyperlink" xfId="4" builtinId="8"/>
    <cellStyle name="Normal" xfId="0" builtinId="0"/>
    <cellStyle name="Normal 2" xfId="8" xr:uid="{A0E2D3E7-AD7E-4326-90E9-30BFCAEA2844}"/>
    <cellStyle name="Normal 3" xfId="5" xr:uid="{FA940D66-9541-4E7A-9FCE-F3EDDE9C5AC5}"/>
    <cellStyle name="Percent" xfId="3" builtinId="5"/>
    <cellStyle name="Percent 3" xfId="7" xr:uid="{AE521D79-E6AD-4C20-87EF-C1A4E8AD9DD1}"/>
  </cellStyles>
  <dxfs count="0"/>
  <tableStyles count="0" defaultTableStyle="TableStyleMedium2" defaultPivotStyle="PivotStyleLight16"/>
  <colors>
    <mruColors>
      <color rgb="FF4A773C"/>
      <color rgb="FFC8102E"/>
      <color rgb="FF555555"/>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Summary!$D$4</c:f>
              <c:strCache>
                <c:ptCount val="1"/>
                <c:pt idx="0">
                  <c:v>Natural Gas</c:v>
                </c:pt>
              </c:strCache>
            </c:strRef>
          </c:tx>
          <c:spPr>
            <a:solidFill>
              <a:srgbClr val="007DBA"/>
            </a:solidFill>
            <a:ln>
              <a:noFill/>
            </a:ln>
            <a:effectLst/>
          </c:spPr>
          <c:invertIfNegative val="0"/>
          <c:dPt>
            <c:idx val="0"/>
            <c:invertIfNegative val="0"/>
            <c:bubble3D val="0"/>
            <c:spPr>
              <a:solidFill>
                <a:srgbClr val="555555"/>
              </a:solidFill>
              <a:ln>
                <a:noFill/>
              </a:ln>
              <a:effectLst/>
            </c:spPr>
            <c:extLst>
              <c:ext xmlns:c16="http://schemas.microsoft.com/office/drawing/2014/chart" uri="{C3380CC4-5D6E-409C-BE32-E72D297353CC}">
                <c16:uniqueId val="{00000004-7AB1-447D-8547-6A6B069990F1}"/>
              </c:ext>
            </c:extLst>
          </c:dPt>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Summary!$D$4:$G$4</c:f>
              <c:strCache>
                <c:ptCount val="4"/>
                <c:pt idx="0">
                  <c:v>Natural Gas</c:v>
                </c:pt>
                <c:pt idx="1">
                  <c:v>Heating Oil</c:v>
                </c:pt>
                <c:pt idx="2">
                  <c:v>Electricity</c:v>
                </c:pt>
                <c:pt idx="3">
                  <c:v>Propane</c:v>
                </c:pt>
              </c:strCache>
            </c:strRef>
          </c:cat>
          <c:val>
            <c:numRef>
              <c:f>Summary!$D$7</c:f>
              <c:numCache>
                <c:formatCode>"$"#,##0</c:formatCode>
                <c:ptCount val="1"/>
                <c:pt idx="0">
                  <c:v>1840.5600000000002</c:v>
                </c:pt>
              </c:numCache>
            </c:numRef>
          </c:val>
          <c:extLst>
            <c:ext xmlns:c16="http://schemas.microsoft.com/office/drawing/2014/chart" uri="{C3380CC4-5D6E-409C-BE32-E72D297353CC}">
              <c16:uniqueId val="{00000000-7AB1-447D-8547-6A6B069990F1}"/>
            </c:ext>
          </c:extLst>
        </c:ser>
        <c:ser>
          <c:idx val="1"/>
          <c:order val="1"/>
          <c:tx>
            <c:strRef>
              <c:f>Summary!$E$4</c:f>
              <c:strCache>
                <c:ptCount val="1"/>
                <c:pt idx="0">
                  <c:v>Heating Oil</c:v>
                </c:pt>
              </c:strCache>
            </c:strRef>
          </c:tx>
          <c:spPr>
            <a:solidFill>
              <a:srgbClr val="C81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Summary!$D$4:$G$4</c:f>
              <c:strCache>
                <c:ptCount val="4"/>
                <c:pt idx="0">
                  <c:v>Natural Gas</c:v>
                </c:pt>
                <c:pt idx="1">
                  <c:v>Heating Oil</c:v>
                </c:pt>
                <c:pt idx="2">
                  <c:v>Electricity</c:v>
                </c:pt>
                <c:pt idx="3">
                  <c:v>Propane</c:v>
                </c:pt>
              </c:strCache>
            </c:strRef>
          </c:cat>
          <c:val>
            <c:numRef>
              <c:f>Summary!$E$7</c:f>
              <c:numCache>
                <c:formatCode>"$"#,##0</c:formatCode>
                <c:ptCount val="1"/>
                <c:pt idx="0">
                  <c:v>5250.9843982270504</c:v>
                </c:pt>
              </c:numCache>
            </c:numRef>
          </c:val>
          <c:extLst>
            <c:ext xmlns:c16="http://schemas.microsoft.com/office/drawing/2014/chart" uri="{C3380CC4-5D6E-409C-BE32-E72D297353CC}">
              <c16:uniqueId val="{00000001-7AB1-447D-8547-6A6B069990F1}"/>
            </c:ext>
          </c:extLst>
        </c:ser>
        <c:ser>
          <c:idx val="2"/>
          <c:order val="2"/>
          <c:tx>
            <c:strRef>
              <c:f>Summary!$F$4</c:f>
              <c:strCache>
                <c:ptCount val="1"/>
                <c:pt idx="0">
                  <c:v>Electricity</c:v>
                </c:pt>
              </c:strCache>
            </c:strRef>
          </c:tx>
          <c:spPr>
            <a:solidFill>
              <a:srgbClr val="4A773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Summary!$D$4:$G$4</c:f>
              <c:strCache>
                <c:ptCount val="4"/>
                <c:pt idx="0">
                  <c:v>Natural Gas</c:v>
                </c:pt>
                <c:pt idx="1">
                  <c:v>Heating Oil</c:v>
                </c:pt>
                <c:pt idx="2">
                  <c:v>Electricity</c:v>
                </c:pt>
                <c:pt idx="3">
                  <c:v>Propane</c:v>
                </c:pt>
              </c:strCache>
            </c:strRef>
          </c:cat>
          <c:val>
            <c:numRef>
              <c:f>Summary!$F$7</c:f>
              <c:numCache>
                <c:formatCode>"$"#,##0</c:formatCode>
                <c:ptCount val="1"/>
                <c:pt idx="0">
                  <c:v>2429.1002176093934</c:v>
                </c:pt>
              </c:numCache>
            </c:numRef>
          </c:val>
          <c:extLst>
            <c:ext xmlns:c16="http://schemas.microsoft.com/office/drawing/2014/chart" uri="{C3380CC4-5D6E-409C-BE32-E72D297353CC}">
              <c16:uniqueId val="{00000002-7AB1-447D-8547-6A6B069990F1}"/>
            </c:ext>
          </c:extLst>
        </c:ser>
        <c:ser>
          <c:idx val="3"/>
          <c:order val="3"/>
          <c:tx>
            <c:strRef>
              <c:f>Summary!$G$4</c:f>
              <c:strCache>
                <c:ptCount val="1"/>
                <c:pt idx="0">
                  <c:v>Propane</c:v>
                </c:pt>
              </c:strCache>
            </c:strRef>
          </c:tx>
          <c:spPr>
            <a:solidFill>
              <a:srgbClr val="007DB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Summary!$D$4:$G$4</c:f>
              <c:strCache>
                <c:ptCount val="4"/>
                <c:pt idx="0">
                  <c:v>Natural Gas</c:v>
                </c:pt>
                <c:pt idx="1">
                  <c:v>Heating Oil</c:v>
                </c:pt>
                <c:pt idx="2">
                  <c:v>Electricity</c:v>
                </c:pt>
                <c:pt idx="3">
                  <c:v>Propane</c:v>
                </c:pt>
              </c:strCache>
            </c:strRef>
          </c:cat>
          <c:val>
            <c:numRef>
              <c:f>Summary!$G$7</c:f>
              <c:numCache>
                <c:formatCode>"$"#,##0</c:formatCode>
                <c:ptCount val="1"/>
                <c:pt idx="0">
                  <c:v>2848.9536902412501</c:v>
                </c:pt>
              </c:numCache>
            </c:numRef>
          </c:val>
          <c:extLst>
            <c:ext xmlns:c16="http://schemas.microsoft.com/office/drawing/2014/chart" uri="{C3380CC4-5D6E-409C-BE32-E72D297353CC}">
              <c16:uniqueId val="{00000003-7AB1-447D-8547-6A6B069990F1}"/>
            </c:ext>
          </c:extLst>
        </c:ser>
        <c:dLbls>
          <c:showLegendKey val="0"/>
          <c:showVal val="0"/>
          <c:showCatName val="0"/>
          <c:showSerName val="0"/>
          <c:showPercent val="0"/>
          <c:showBubbleSize val="0"/>
        </c:dLbls>
        <c:gapWidth val="25"/>
        <c:overlap val="-10"/>
        <c:axId val="862801480"/>
        <c:axId val="862801808"/>
      </c:barChart>
      <c:catAx>
        <c:axId val="862801480"/>
        <c:scaling>
          <c:orientation val="minMax"/>
        </c:scaling>
        <c:delete val="1"/>
        <c:axPos val="b"/>
        <c:numFmt formatCode="General" sourceLinked="1"/>
        <c:majorTickMark val="none"/>
        <c:minorTickMark val="none"/>
        <c:tickLblPos val="nextTo"/>
        <c:crossAx val="862801808"/>
        <c:crosses val="autoZero"/>
        <c:auto val="1"/>
        <c:lblAlgn val="ctr"/>
        <c:lblOffset val="100"/>
        <c:noMultiLvlLbl val="0"/>
      </c:catAx>
      <c:valAx>
        <c:axId val="862801808"/>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crossAx val="862801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 Id="rId6" Type="http://schemas.microsoft.com/office/2007/relationships/hdphoto" Target="../media/hdphoto2.wdp"/><Relationship Id="rId5" Type="http://schemas.openxmlformats.org/officeDocument/2006/relationships/image" Target="../media/image3.png"/><Relationship Id="rId4" Type="http://schemas.microsoft.com/office/2007/relationships/hdphoto" Target="../media/hdphoto1.wdp"/><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20779</xdr:colOff>
      <xdr:row>5</xdr:row>
      <xdr:rowOff>176647</xdr:rowOff>
    </xdr:from>
    <xdr:to>
      <xdr:col>12</xdr:col>
      <xdr:colOff>623454</xdr:colOff>
      <xdr:row>32</xdr:row>
      <xdr:rowOff>135082</xdr:rowOff>
    </xdr:to>
    <xdr:graphicFrame macro="">
      <xdr:nvGraphicFramePr>
        <xdr:cNvPr id="2" name="Chart 1">
          <a:extLst>
            <a:ext uri="{FF2B5EF4-FFF2-40B4-BE49-F238E27FC236}">
              <a16:creationId xmlns:a16="http://schemas.microsoft.com/office/drawing/2014/main" id="{04258929-9951-21F1-241A-B67CDCD8F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124689</xdr:colOff>
      <xdr:row>1</xdr:row>
      <xdr:rowOff>0</xdr:rowOff>
    </xdr:from>
    <xdr:to>
      <xdr:col>12</xdr:col>
      <xdr:colOff>538156</xdr:colOff>
      <xdr:row>4</xdr:row>
      <xdr:rowOff>20782</xdr:rowOff>
    </xdr:to>
    <xdr:pic>
      <xdr:nvPicPr>
        <xdr:cNvPr id="3" name="Picture 2">
          <a:extLst>
            <a:ext uri="{FF2B5EF4-FFF2-40B4-BE49-F238E27FC236}">
              <a16:creationId xmlns:a16="http://schemas.microsoft.com/office/drawing/2014/main" id="{FFBCC4E5-B0E5-9929-87FF-8C131EBC8A98}"/>
            </a:ext>
          </a:extLst>
        </xdr:cNvPr>
        <xdr:cNvPicPr>
          <a:picLocks noChangeAspect="1"/>
        </xdr:cNvPicPr>
      </xdr:nvPicPr>
      <xdr:blipFill>
        <a:blip xmlns:r="http://schemas.openxmlformats.org/officeDocument/2006/relationships" r:embed="rId2"/>
        <a:stretch>
          <a:fillRect/>
        </a:stretch>
      </xdr:blipFill>
      <xdr:spPr>
        <a:xfrm>
          <a:off x="6109853" y="187036"/>
          <a:ext cx="2408522" cy="581891"/>
        </a:xfrm>
        <a:prstGeom prst="rect">
          <a:avLst/>
        </a:prstGeom>
      </xdr:spPr>
    </xdr:pic>
    <xdr:clientData/>
  </xdr:twoCellAnchor>
  <xdr:twoCellAnchor>
    <xdr:from>
      <xdr:col>5</xdr:col>
      <xdr:colOff>322118</xdr:colOff>
      <xdr:row>12</xdr:row>
      <xdr:rowOff>72737</xdr:rowOff>
    </xdr:from>
    <xdr:to>
      <xdr:col>7</xdr:col>
      <xdr:colOff>374072</xdr:colOff>
      <xdr:row>33</xdr:row>
      <xdr:rowOff>135083</xdr:rowOff>
    </xdr:to>
    <xdr:grpSp>
      <xdr:nvGrpSpPr>
        <xdr:cNvPr id="15" name="Group 14">
          <a:extLst>
            <a:ext uri="{FF2B5EF4-FFF2-40B4-BE49-F238E27FC236}">
              <a16:creationId xmlns:a16="http://schemas.microsoft.com/office/drawing/2014/main" id="{D397E445-1571-89A5-FEFD-1E7C28CDFB79}"/>
            </a:ext>
          </a:extLst>
        </xdr:cNvPr>
        <xdr:cNvGrpSpPr/>
      </xdr:nvGrpSpPr>
      <xdr:grpSpPr>
        <a:xfrm>
          <a:off x="3370118" y="2292062"/>
          <a:ext cx="1271154" cy="3862821"/>
          <a:chOff x="0" y="0"/>
          <a:chExt cx="923935" cy="3172493"/>
        </a:xfrm>
      </xdr:grpSpPr>
      <xdr:sp macro="" textlink="">
        <xdr:nvSpPr>
          <xdr:cNvPr id="16" name="TextBox 1">
            <a:extLst>
              <a:ext uri="{FF2B5EF4-FFF2-40B4-BE49-F238E27FC236}">
                <a16:creationId xmlns:a16="http://schemas.microsoft.com/office/drawing/2014/main" id="{B9AC00F8-9E48-9F8B-8674-1E562E409EF8}"/>
              </a:ext>
            </a:extLst>
          </xdr:cNvPr>
          <xdr:cNvSpPr txBox="1"/>
        </xdr:nvSpPr>
        <xdr:spPr>
          <a:xfrm>
            <a:off x="0" y="2809564"/>
            <a:ext cx="923935" cy="36292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Heating Oil  2,678 L</a:t>
            </a:r>
          </a:p>
        </xdr:txBody>
      </xdr:sp>
      <xdr:sp macro="" textlink="">
        <xdr:nvSpPr>
          <xdr:cNvPr id="17" name="TextBox 5">
            <a:extLst>
              <a:ext uri="{FF2B5EF4-FFF2-40B4-BE49-F238E27FC236}">
                <a16:creationId xmlns:a16="http://schemas.microsoft.com/office/drawing/2014/main" id="{2E274547-C834-30E6-D0DF-67418350BB69}"/>
              </a:ext>
            </a:extLst>
          </xdr:cNvPr>
          <xdr:cNvSpPr txBox="1"/>
        </xdr:nvSpPr>
        <xdr:spPr>
          <a:xfrm>
            <a:off x="49837" y="0"/>
            <a:ext cx="824261" cy="1205217"/>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2400" b="1" i="0" u="none" strike="noStrike">
                <a:solidFill>
                  <a:schemeClr val="bg1"/>
                </a:solidFill>
                <a:latin typeface="Calibri" panose="020F0502020204030204" pitchFamily="34" charset="0"/>
                <a:cs typeface="Calibri" panose="020F0502020204030204" pitchFamily="34" charset="0"/>
              </a:rPr>
              <a:t>65% Savings</a:t>
            </a:r>
            <a:endParaRPr lang="en-US" sz="2400" b="1">
              <a:solidFill>
                <a:schemeClr val="bg1"/>
              </a:solidFill>
              <a:latin typeface="Calibri" panose="020F0502020204030204" pitchFamily="34" charset="0"/>
              <a:cs typeface="Calibri" panose="020F0502020204030204" pitchFamily="34" charset="0"/>
            </a:endParaRPr>
          </a:p>
        </xdr:txBody>
      </xdr:sp>
      <xdr:pic>
        <xdr:nvPicPr>
          <xdr:cNvPr id="18" name="Picture 17">
            <a:extLst>
              <a:ext uri="{FF2B5EF4-FFF2-40B4-BE49-F238E27FC236}">
                <a16:creationId xmlns:a16="http://schemas.microsoft.com/office/drawing/2014/main" id="{8886381A-A3F7-FBA1-2048-93C3D2D9364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288675" y="2278645"/>
            <a:ext cx="346584" cy="452280"/>
          </a:xfrm>
          <a:prstGeom prst="rect">
            <a:avLst/>
          </a:prstGeom>
        </xdr:spPr>
      </xdr:pic>
    </xdr:grpSp>
    <xdr:clientData/>
  </xdr:twoCellAnchor>
  <xdr:twoCellAnchor>
    <xdr:from>
      <xdr:col>7</xdr:col>
      <xdr:colOff>654628</xdr:colOff>
      <xdr:row>22</xdr:row>
      <xdr:rowOff>166257</xdr:rowOff>
    </xdr:from>
    <xdr:to>
      <xdr:col>10</xdr:col>
      <xdr:colOff>31175</xdr:colOff>
      <xdr:row>34</xdr:row>
      <xdr:rowOff>0</xdr:rowOff>
    </xdr:to>
    <xdr:grpSp>
      <xdr:nvGrpSpPr>
        <xdr:cNvPr id="19" name="Group 18">
          <a:extLst>
            <a:ext uri="{FF2B5EF4-FFF2-40B4-BE49-F238E27FC236}">
              <a16:creationId xmlns:a16="http://schemas.microsoft.com/office/drawing/2014/main" id="{D98F3EF5-508B-27FD-2814-1710B9FB4550}"/>
            </a:ext>
          </a:extLst>
        </xdr:cNvPr>
        <xdr:cNvGrpSpPr/>
      </xdr:nvGrpSpPr>
      <xdr:grpSpPr>
        <a:xfrm>
          <a:off x="4876108" y="4195332"/>
          <a:ext cx="1251067" cy="2005443"/>
          <a:chOff x="0" y="0"/>
          <a:chExt cx="1420340" cy="2772543"/>
        </a:xfrm>
      </xdr:grpSpPr>
      <xdr:sp macro="" textlink="">
        <xdr:nvSpPr>
          <xdr:cNvPr id="20" name="TextBox 1">
            <a:extLst>
              <a:ext uri="{FF2B5EF4-FFF2-40B4-BE49-F238E27FC236}">
                <a16:creationId xmlns:a16="http://schemas.microsoft.com/office/drawing/2014/main" id="{DAAFE764-755A-9885-8B8D-E64C23F5B779}"/>
              </a:ext>
            </a:extLst>
          </xdr:cNvPr>
          <xdr:cNvSpPr txBox="1"/>
        </xdr:nvSpPr>
        <xdr:spPr>
          <a:xfrm>
            <a:off x="0" y="2070983"/>
            <a:ext cx="1420340" cy="7015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Electricity  21,448 kWh</a:t>
            </a:r>
          </a:p>
        </xdr:txBody>
      </xdr:sp>
      <xdr:pic>
        <xdr:nvPicPr>
          <xdr:cNvPr id="21" name="Picture 20">
            <a:extLst>
              <a:ext uri="{FF2B5EF4-FFF2-40B4-BE49-F238E27FC236}">
                <a16:creationId xmlns:a16="http://schemas.microsoft.com/office/drawing/2014/main" id="{FDF9BA15-1AA6-CC91-CABF-9EFFB961308B}"/>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264037" y="1185356"/>
            <a:ext cx="892267" cy="760670"/>
          </a:xfrm>
          <a:prstGeom prst="rect">
            <a:avLst/>
          </a:prstGeom>
          <a:ln>
            <a:noFill/>
          </a:ln>
        </xdr:spPr>
      </xdr:pic>
      <xdr:sp macro="" textlink="">
        <xdr:nvSpPr>
          <xdr:cNvPr id="22" name="TextBox 1">
            <a:extLst>
              <a:ext uri="{FF2B5EF4-FFF2-40B4-BE49-F238E27FC236}">
                <a16:creationId xmlns:a16="http://schemas.microsoft.com/office/drawing/2014/main" id="{E0FDA24B-8685-30E1-33EE-5630D0FFAC8C}"/>
              </a:ext>
            </a:extLst>
          </xdr:cNvPr>
          <xdr:cNvSpPr txBox="1"/>
        </xdr:nvSpPr>
        <xdr:spPr>
          <a:xfrm>
            <a:off x="64524" y="0"/>
            <a:ext cx="1219179" cy="1392102"/>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400" b="1" i="0" u="none" strike="noStrike">
                <a:solidFill>
                  <a:schemeClr val="bg1"/>
                </a:solidFill>
                <a:latin typeface="Calibri" panose="020F0502020204030204" pitchFamily="34" charset="0"/>
                <a:ea typeface="+mn-ea"/>
                <a:cs typeface="Calibri" panose="020F0502020204030204" pitchFamily="34" charset="0"/>
              </a:rPr>
              <a:t>24% Savings</a:t>
            </a:r>
          </a:p>
        </xdr:txBody>
      </xdr:sp>
    </xdr:grpSp>
    <xdr:clientData/>
  </xdr:twoCellAnchor>
  <xdr:twoCellAnchor>
    <xdr:from>
      <xdr:col>10</xdr:col>
      <xdr:colOff>301338</xdr:colOff>
      <xdr:row>20</xdr:row>
      <xdr:rowOff>93516</xdr:rowOff>
    </xdr:from>
    <xdr:to>
      <xdr:col>12</xdr:col>
      <xdr:colOff>187036</xdr:colOff>
      <xdr:row>34</xdr:row>
      <xdr:rowOff>83127</xdr:rowOff>
    </xdr:to>
    <xdr:grpSp>
      <xdr:nvGrpSpPr>
        <xdr:cNvPr id="24" name="Group 23">
          <a:extLst>
            <a:ext uri="{FF2B5EF4-FFF2-40B4-BE49-F238E27FC236}">
              <a16:creationId xmlns:a16="http://schemas.microsoft.com/office/drawing/2014/main" id="{5043E4F3-5606-8B1E-F247-CE8B0D1082A0}"/>
            </a:ext>
          </a:extLst>
        </xdr:cNvPr>
        <xdr:cNvGrpSpPr/>
      </xdr:nvGrpSpPr>
      <xdr:grpSpPr>
        <a:xfrm>
          <a:off x="6397338" y="3760641"/>
          <a:ext cx="1104898" cy="2523261"/>
          <a:chOff x="0" y="0"/>
          <a:chExt cx="1289430" cy="3218148"/>
        </a:xfrm>
      </xdr:grpSpPr>
      <xdr:sp macro="" textlink="">
        <xdr:nvSpPr>
          <xdr:cNvPr id="25" name="TextBox 1">
            <a:extLst>
              <a:ext uri="{FF2B5EF4-FFF2-40B4-BE49-F238E27FC236}">
                <a16:creationId xmlns:a16="http://schemas.microsoft.com/office/drawing/2014/main" id="{DFDF7903-F649-FD62-39AE-EC8E4DF478B3}"/>
              </a:ext>
            </a:extLst>
          </xdr:cNvPr>
          <xdr:cNvSpPr txBox="1"/>
        </xdr:nvSpPr>
        <xdr:spPr>
          <a:xfrm>
            <a:off x="0" y="0"/>
            <a:ext cx="1289430" cy="1290321"/>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400" b="1" i="0" u="none" strike="noStrike">
                <a:solidFill>
                  <a:schemeClr val="bg1"/>
                </a:solidFill>
                <a:latin typeface="Calibri" panose="020F0502020204030204" pitchFamily="34" charset="0"/>
                <a:ea typeface="+mn-ea"/>
                <a:cs typeface="Calibri" panose="020F0502020204030204" pitchFamily="34" charset="0"/>
              </a:rPr>
              <a:t>35% Savings</a:t>
            </a:r>
          </a:p>
        </xdr:txBody>
      </xdr:sp>
      <xdr:grpSp>
        <xdr:nvGrpSpPr>
          <xdr:cNvPr id="26" name="Group 25">
            <a:extLst>
              <a:ext uri="{FF2B5EF4-FFF2-40B4-BE49-F238E27FC236}">
                <a16:creationId xmlns:a16="http://schemas.microsoft.com/office/drawing/2014/main" id="{31DE3BED-32F7-F441-D15B-2B5EADAEC12A}"/>
              </a:ext>
            </a:extLst>
          </xdr:cNvPr>
          <xdr:cNvGrpSpPr/>
        </xdr:nvGrpSpPr>
        <xdr:grpSpPr>
          <a:xfrm>
            <a:off x="3019" y="1574840"/>
            <a:ext cx="1251651" cy="1643308"/>
            <a:chOff x="3019" y="1574840"/>
            <a:chExt cx="835658" cy="1034128"/>
          </a:xfrm>
        </xdr:grpSpPr>
        <xdr:sp macro="" textlink="">
          <xdr:nvSpPr>
            <xdr:cNvPr id="27" name="TextBox 1">
              <a:extLst>
                <a:ext uri="{FF2B5EF4-FFF2-40B4-BE49-F238E27FC236}">
                  <a16:creationId xmlns:a16="http://schemas.microsoft.com/office/drawing/2014/main" id="{AB39B69E-EA65-43FF-F497-CEC0CC1721A2}"/>
                </a:ext>
              </a:extLst>
            </xdr:cNvPr>
            <xdr:cNvSpPr txBox="1"/>
          </xdr:nvSpPr>
          <xdr:spPr>
            <a:xfrm>
              <a:off x="3019" y="2141551"/>
              <a:ext cx="835658" cy="46741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Propane  3,788 L</a:t>
              </a:r>
            </a:p>
          </xdr:txBody>
        </xdr:sp>
        <xdr:pic>
          <xdr:nvPicPr>
            <xdr:cNvPr id="28" name="Picture 27">
              <a:extLst>
                <a:ext uri="{FF2B5EF4-FFF2-40B4-BE49-F238E27FC236}">
                  <a16:creationId xmlns:a16="http://schemas.microsoft.com/office/drawing/2014/main" id="{09541CF0-A2A4-32CA-BBE6-E027282BE3E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9000"/>
                      </a14:imgEffect>
                    </a14:imgLayer>
                  </a14:imgProps>
                </a:ext>
                <a:ext uri="{28A0092B-C50C-407E-A947-70E740481C1C}">
                  <a14:useLocalDpi xmlns:a14="http://schemas.microsoft.com/office/drawing/2010/main" val="0"/>
                </a:ext>
              </a:extLst>
            </a:blip>
            <a:stretch>
              <a:fillRect/>
            </a:stretch>
          </xdr:blipFill>
          <xdr:spPr>
            <a:xfrm>
              <a:off x="223190" y="1574840"/>
              <a:ext cx="395310" cy="488073"/>
            </a:xfrm>
            <a:prstGeom prst="rect">
              <a:avLst/>
            </a:prstGeom>
            <a:ln>
              <a:noFill/>
            </a:ln>
          </xdr:spPr>
        </xdr:pic>
      </xdr:grpSp>
    </xdr:grpSp>
    <xdr:clientData/>
  </xdr:twoCellAnchor>
  <xdr:twoCellAnchor editAs="oneCell">
    <xdr:from>
      <xdr:col>3</xdr:col>
      <xdr:colOff>93518</xdr:colOff>
      <xdr:row>27</xdr:row>
      <xdr:rowOff>41565</xdr:rowOff>
    </xdr:from>
    <xdr:to>
      <xdr:col>5</xdr:col>
      <xdr:colOff>238990</xdr:colOff>
      <xdr:row>34</xdr:row>
      <xdr:rowOff>149727</xdr:rowOff>
    </xdr:to>
    <xdr:pic>
      <xdr:nvPicPr>
        <xdr:cNvPr id="8" name="Picture 7">
          <a:extLst>
            <a:ext uri="{FF2B5EF4-FFF2-40B4-BE49-F238E27FC236}">
              <a16:creationId xmlns:a16="http://schemas.microsoft.com/office/drawing/2014/main" id="{5BF2ADD2-DBAA-C5F9-828C-164BB1DE0DA4}"/>
            </a:ext>
          </a:extLst>
        </xdr:cNvPr>
        <xdr:cNvPicPr>
          <a:picLocks noChangeAspect="1"/>
        </xdr:cNvPicPr>
      </xdr:nvPicPr>
      <xdr:blipFill>
        <a:blip xmlns:r="http://schemas.openxmlformats.org/officeDocument/2006/relationships" r:embed="rId9"/>
        <a:stretch>
          <a:fillRect/>
        </a:stretch>
      </xdr:blipFill>
      <xdr:spPr>
        <a:xfrm>
          <a:off x="2088573" y="5091546"/>
          <a:ext cx="1475508" cy="141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175262</xdr:colOff>
      <xdr:row>2</xdr:row>
      <xdr:rowOff>74987</xdr:rowOff>
    </xdr:from>
    <xdr:to>
      <xdr:col>2</xdr:col>
      <xdr:colOff>1721716</xdr:colOff>
      <xdr:row>2</xdr:row>
      <xdr:rowOff>620241</xdr:rowOff>
    </xdr:to>
    <xdr:pic>
      <xdr:nvPicPr>
        <xdr:cNvPr id="2" name="Picture 1">
          <a:extLst>
            <a:ext uri="{FF2B5EF4-FFF2-40B4-BE49-F238E27FC236}">
              <a16:creationId xmlns:a16="http://schemas.microsoft.com/office/drawing/2014/main" id="{6C0F881D-5CFD-45C6-BB4E-14045B34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026" y="563360"/>
          <a:ext cx="1549629" cy="542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s.cer-rec.gc.ca/Conversion/conversion-tables.aspx?GoCTemplateCulture=en-CA" TargetMode="External"/><Relationship Id="rId1" Type="http://schemas.openxmlformats.org/officeDocument/2006/relationships/hyperlink" Target="https://apps.cer-rec.gc.ca/Conversion/conversion-tables.aspx?GoCTemplateCulture=en-CA" TargetMode="External"/><Relationship Id="rId4"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26C1-900D-4742-9F79-11C3674D985A}">
  <dimension ref="B2:M45"/>
  <sheetViews>
    <sheetView showGridLines="0" tabSelected="1" view="pageBreakPreview" topLeftCell="A2" zoomScale="80" zoomScaleNormal="80" zoomScaleSheetLayoutView="80" workbookViewId="0">
      <selection activeCell="B2" sqref="B2:H4"/>
    </sheetView>
  </sheetViews>
  <sheetFormatPr defaultRowHeight="14.4" x14ac:dyDescent="0.3"/>
  <sheetData>
    <row r="2" spans="2:9" ht="15" customHeight="1" x14ac:dyDescent="0.3">
      <c r="B2" s="182" t="s">
        <v>0</v>
      </c>
      <c r="C2" s="182"/>
      <c r="D2" s="182"/>
      <c r="E2" s="182"/>
      <c r="F2" s="182"/>
      <c r="G2" s="182"/>
      <c r="H2" s="182"/>
      <c r="I2" s="131"/>
    </row>
    <row r="3" spans="2:9" ht="15" customHeight="1" x14ac:dyDescent="0.3">
      <c r="B3" s="182"/>
      <c r="C3" s="182"/>
      <c r="D3" s="182"/>
      <c r="E3" s="182"/>
      <c r="F3" s="182"/>
      <c r="G3" s="182"/>
      <c r="H3" s="182"/>
      <c r="I3" s="131"/>
    </row>
    <row r="4" spans="2:9" ht="15" customHeight="1" x14ac:dyDescent="0.3">
      <c r="B4" s="182"/>
      <c r="C4" s="182"/>
      <c r="D4" s="182"/>
      <c r="E4" s="182"/>
      <c r="F4" s="182"/>
      <c r="G4" s="182"/>
      <c r="H4" s="182"/>
      <c r="I4" s="131"/>
    </row>
    <row r="5" spans="2:9" ht="15" customHeight="1" x14ac:dyDescent="0.3">
      <c r="D5" s="131"/>
      <c r="E5" s="131"/>
      <c r="F5" s="131"/>
      <c r="G5" s="131"/>
      <c r="H5" s="131"/>
      <c r="I5" s="131"/>
    </row>
    <row r="6" spans="2:9" ht="15" customHeight="1" x14ac:dyDescent="0.3">
      <c r="D6" s="131"/>
      <c r="E6" s="131"/>
      <c r="F6" s="131"/>
      <c r="G6" s="131"/>
      <c r="H6" s="131"/>
      <c r="I6" s="131"/>
    </row>
    <row r="37" spans="2:13" x14ac:dyDescent="0.3">
      <c r="B37" s="181" t="s">
        <v>1</v>
      </c>
      <c r="C37" s="181"/>
      <c r="D37" s="181"/>
      <c r="E37" s="181"/>
      <c r="F37" s="181"/>
      <c r="G37" s="181"/>
      <c r="H37" s="181"/>
      <c r="I37" s="181"/>
      <c r="J37" s="181"/>
      <c r="K37" s="181"/>
      <c r="L37" s="181"/>
      <c r="M37" s="181"/>
    </row>
    <row r="38" spans="2:13" x14ac:dyDescent="0.3">
      <c r="B38" s="181"/>
      <c r="C38" s="181"/>
      <c r="D38" s="181"/>
      <c r="E38" s="181"/>
      <c r="F38" s="181"/>
      <c r="G38" s="181"/>
      <c r="H38" s="181"/>
      <c r="I38" s="181"/>
      <c r="J38" s="181"/>
      <c r="K38" s="181"/>
      <c r="L38" s="181"/>
      <c r="M38" s="181"/>
    </row>
    <row r="39" spans="2:13" x14ac:dyDescent="0.3">
      <c r="B39" s="181"/>
      <c r="C39" s="181"/>
      <c r="D39" s="181"/>
      <c r="E39" s="181"/>
      <c r="F39" s="181"/>
      <c r="G39" s="181"/>
      <c r="H39" s="181"/>
      <c r="I39" s="181"/>
      <c r="J39" s="181"/>
      <c r="K39" s="181"/>
      <c r="L39" s="181"/>
      <c r="M39" s="181"/>
    </row>
    <row r="40" spans="2:13" x14ac:dyDescent="0.3">
      <c r="B40" s="181"/>
      <c r="C40" s="181"/>
      <c r="D40" s="181"/>
      <c r="E40" s="181"/>
      <c r="F40" s="181"/>
      <c r="G40" s="181"/>
      <c r="H40" s="181"/>
      <c r="I40" s="181"/>
      <c r="J40" s="181"/>
      <c r="K40" s="181"/>
      <c r="L40" s="181"/>
      <c r="M40" s="181"/>
    </row>
    <row r="41" spans="2:13" x14ac:dyDescent="0.3">
      <c r="B41" s="181"/>
      <c r="C41" s="181"/>
      <c r="D41" s="181"/>
      <c r="E41" s="181"/>
      <c r="F41" s="181"/>
      <c r="G41" s="181"/>
      <c r="H41" s="181"/>
      <c r="I41" s="181"/>
      <c r="J41" s="181"/>
      <c r="K41" s="181"/>
      <c r="L41" s="181"/>
      <c r="M41" s="181"/>
    </row>
    <row r="42" spans="2:13" x14ac:dyDescent="0.3">
      <c r="B42" s="181"/>
      <c r="C42" s="181"/>
      <c r="D42" s="181"/>
      <c r="E42" s="181"/>
      <c r="F42" s="181"/>
      <c r="G42" s="181"/>
      <c r="H42" s="181"/>
      <c r="I42" s="181"/>
      <c r="J42" s="181"/>
      <c r="K42" s="181"/>
      <c r="L42" s="181"/>
      <c r="M42" s="181"/>
    </row>
    <row r="43" spans="2:13" x14ac:dyDescent="0.3">
      <c r="B43" s="181"/>
      <c r="C43" s="181"/>
      <c r="D43" s="181"/>
      <c r="E43" s="181"/>
      <c r="F43" s="181"/>
      <c r="G43" s="181"/>
      <c r="H43" s="181"/>
      <c r="I43" s="181"/>
      <c r="J43" s="181"/>
      <c r="K43" s="181"/>
      <c r="L43" s="181"/>
      <c r="M43" s="181"/>
    </row>
    <row r="44" spans="2:13" x14ac:dyDescent="0.3">
      <c r="B44" s="181"/>
      <c r="C44" s="181"/>
      <c r="D44" s="181"/>
      <c r="E44" s="181"/>
      <c r="F44" s="181"/>
      <c r="G44" s="181"/>
      <c r="H44" s="181"/>
      <c r="I44" s="181"/>
      <c r="J44" s="181"/>
      <c r="K44" s="181"/>
      <c r="L44" s="181"/>
      <c r="M44" s="181"/>
    </row>
    <row r="45" spans="2:13" x14ac:dyDescent="0.3">
      <c r="B45" s="181"/>
      <c r="C45" s="181"/>
      <c r="D45" s="181"/>
      <c r="E45" s="181"/>
      <c r="F45" s="181"/>
      <c r="G45" s="181"/>
      <c r="H45" s="181"/>
      <c r="I45" s="181"/>
      <c r="J45" s="181"/>
      <c r="K45" s="181"/>
      <c r="L45" s="181"/>
      <c r="M45" s="181"/>
    </row>
  </sheetData>
  <mergeCells count="2">
    <mergeCell ref="B37:M45"/>
    <mergeCell ref="B2:H4"/>
  </mergeCells>
  <printOptions horizontalCentered="1"/>
  <pageMargins left="0.7" right="0.7" top="0.75" bottom="0.75" header="0.3" footer="0.3"/>
  <pageSetup scale="72"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17C9-ACB4-4FEC-BFA2-0897CC6EF9F9}">
  <dimension ref="B1:L60"/>
  <sheetViews>
    <sheetView showGridLines="0" view="pageBreakPreview" topLeftCell="B1" zoomScale="60" zoomScaleNormal="80" workbookViewId="0">
      <selection activeCell="O23" sqref="O23"/>
    </sheetView>
  </sheetViews>
  <sheetFormatPr defaultRowHeight="14.4" x14ac:dyDescent="0.3"/>
  <cols>
    <col min="1" max="1" width="3.44140625" customWidth="1"/>
    <col min="2" max="2" width="40.44140625" customWidth="1"/>
    <col min="3" max="3" width="15.5546875" customWidth="1"/>
    <col min="4" max="4" width="14.44140625" customWidth="1"/>
    <col min="5" max="5" width="14.5546875" customWidth="1"/>
    <col min="6" max="6" width="13.88671875" customWidth="1"/>
    <col min="7" max="7" width="13" customWidth="1"/>
  </cols>
  <sheetData>
    <row r="1" spans="2:8" ht="22.8" x14ac:dyDescent="0.4">
      <c r="B1" s="207" t="s">
        <v>160</v>
      </c>
      <c r="C1" s="207"/>
      <c r="D1" s="207"/>
      <c r="E1" s="207"/>
      <c r="F1" s="207"/>
      <c r="G1" s="207"/>
      <c r="H1" s="207"/>
    </row>
    <row r="2" spans="2:8" ht="15" customHeight="1" x14ac:dyDescent="0.4">
      <c r="B2" s="101"/>
      <c r="C2" s="102"/>
      <c r="D2" s="102"/>
      <c r="E2" s="102"/>
      <c r="F2" s="102"/>
      <c r="G2" s="102"/>
      <c r="H2" s="102"/>
    </row>
    <row r="3" spans="2:8" ht="15" customHeight="1" x14ac:dyDescent="0.4">
      <c r="B3" s="101"/>
      <c r="C3" s="102"/>
      <c r="D3" s="102"/>
      <c r="E3" s="102"/>
      <c r="F3" s="102"/>
      <c r="G3" s="102"/>
      <c r="H3" s="102"/>
    </row>
    <row r="4" spans="2:8" ht="18" customHeight="1" x14ac:dyDescent="0.4">
      <c r="B4" s="211" t="s">
        <v>161</v>
      </c>
      <c r="C4" s="212"/>
      <c r="D4" s="103">
        <v>73.400000000000148</v>
      </c>
      <c r="E4" s="114" t="s">
        <v>30</v>
      </c>
      <c r="F4" s="102"/>
      <c r="G4" s="102"/>
      <c r="H4" s="102"/>
    </row>
    <row r="5" spans="2:8" ht="15" customHeight="1" thickBot="1" x14ac:dyDescent="0.45">
      <c r="B5" s="101"/>
      <c r="C5" s="102"/>
      <c r="D5" s="102"/>
      <c r="E5" s="102"/>
      <c r="F5" s="102"/>
      <c r="G5" s="102"/>
      <c r="H5" s="102"/>
    </row>
    <row r="6" spans="2:8" ht="15.9" customHeight="1" x14ac:dyDescent="0.4">
      <c r="B6" s="208" t="s">
        <v>45</v>
      </c>
      <c r="C6" s="209"/>
      <c r="D6" s="209"/>
      <c r="E6" s="209"/>
      <c r="F6" s="209"/>
      <c r="G6" s="210"/>
      <c r="H6" s="102"/>
    </row>
    <row r="7" spans="2:8" ht="15.9" customHeight="1" x14ac:dyDescent="0.4">
      <c r="B7" s="201" t="s">
        <v>162</v>
      </c>
      <c r="C7" s="202"/>
      <c r="D7" s="202"/>
      <c r="E7" s="202"/>
      <c r="F7" s="202"/>
      <c r="G7" s="203"/>
      <c r="H7" s="102"/>
    </row>
    <row r="8" spans="2:8" x14ac:dyDescent="0.3">
      <c r="B8" s="70"/>
      <c r="G8" s="71"/>
    </row>
    <row r="9" spans="2:8" ht="28.2" x14ac:dyDescent="0.3">
      <c r="B9" s="45" t="s">
        <v>163</v>
      </c>
      <c r="C9" s="32" t="s">
        <v>164</v>
      </c>
      <c r="D9" s="32" t="s">
        <v>165</v>
      </c>
      <c r="E9" s="32" t="s">
        <v>166</v>
      </c>
      <c r="F9" s="32" t="s">
        <v>167</v>
      </c>
      <c r="G9" s="24" t="s">
        <v>92</v>
      </c>
    </row>
    <row r="10" spans="2:8" x14ac:dyDescent="0.3">
      <c r="B10" s="104">
        <v>44954</v>
      </c>
      <c r="C10" s="105">
        <f>D10/100</f>
        <v>0.73400000000000143</v>
      </c>
      <c r="D10" s="106">
        <f>D4</f>
        <v>73.400000000000148</v>
      </c>
      <c r="E10" s="107">
        <v>-1.7</v>
      </c>
      <c r="F10" s="108">
        <v>7.7399999999999997E-2</v>
      </c>
      <c r="G10" s="109">
        <f>C10+F10</f>
        <v>0.81140000000000145</v>
      </c>
    </row>
    <row r="11" spans="2:8" x14ac:dyDescent="0.3">
      <c r="B11" s="104">
        <v>44955</v>
      </c>
      <c r="C11" s="105">
        <f t="shared" ref="C11:C41" si="0">D11/100</f>
        <v>0.73400000000000143</v>
      </c>
      <c r="D11" s="107">
        <f>D10+E11</f>
        <v>73.400000000000148</v>
      </c>
      <c r="E11" s="107">
        <v>0</v>
      </c>
      <c r="F11" s="108">
        <v>7.7399999999999997E-2</v>
      </c>
      <c r="G11" s="109">
        <f t="shared" ref="G11:G41" si="1">C11+F11</f>
        <v>0.81140000000000145</v>
      </c>
    </row>
    <row r="12" spans="2:8" x14ac:dyDescent="0.3">
      <c r="B12" s="104">
        <v>44956</v>
      </c>
      <c r="C12" s="105">
        <f t="shared" si="0"/>
        <v>0.73400000000000143</v>
      </c>
      <c r="D12" s="107">
        <f t="shared" ref="D12:D41" si="2">D11+E12</f>
        <v>73.400000000000148</v>
      </c>
      <c r="E12" s="107">
        <v>0</v>
      </c>
      <c r="F12" s="108">
        <v>7.7399999999999997E-2</v>
      </c>
      <c r="G12" s="109">
        <f t="shared" si="1"/>
        <v>0.81140000000000145</v>
      </c>
    </row>
    <row r="13" spans="2:8" x14ac:dyDescent="0.3">
      <c r="B13" s="104">
        <v>44957</v>
      </c>
      <c r="C13" s="105">
        <f t="shared" si="0"/>
        <v>0.72800000000000153</v>
      </c>
      <c r="D13" s="107">
        <f t="shared" si="2"/>
        <v>72.800000000000153</v>
      </c>
      <c r="E13" s="110">
        <v>-0.6</v>
      </c>
      <c r="F13" s="108">
        <v>7.7399999999999997E-2</v>
      </c>
      <c r="G13" s="109">
        <f t="shared" si="1"/>
        <v>0.80540000000000156</v>
      </c>
    </row>
    <row r="14" spans="2:8" x14ac:dyDescent="0.3">
      <c r="B14" s="104">
        <v>44958</v>
      </c>
      <c r="C14" s="105">
        <f t="shared" si="0"/>
        <v>0.70000000000000151</v>
      </c>
      <c r="D14" s="107">
        <f t="shared" si="2"/>
        <v>70.000000000000156</v>
      </c>
      <c r="E14" s="110">
        <v>-2.8</v>
      </c>
      <c r="F14" s="108">
        <v>7.7399999999999997E-2</v>
      </c>
      <c r="G14" s="109">
        <f t="shared" si="1"/>
        <v>0.77740000000000153</v>
      </c>
    </row>
    <row r="15" spans="2:8" x14ac:dyDescent="0.3">
      <c r="B15" s="104">
        <v>44959</v>
      </c>
      <c r="C15" s="105">
        <f t="shared" si="0"/>
        <v>0.6930000000000015</v>
      </c>
      <c r="D15" s="107">
        <f t="shared" si="2"/>
        <v>69.300000000000153</v>
      </c>
      <c r="E15" s="110">
        <v>-0.7</v>
      </c>
      <c r="F15" s="108">
        <v>7.7399999999999997E-2</v>
      </c>
      <c r="G15" s="109">
        <f t="shared" si="1"/>
        <v>0.77040000000000153</v>
      </c>
    </row>
    <row r="16" spans="2:8" x14ac:dyDescent="0.3">
      <c r="B16" s="104">
        <v>44960</v>
      </c>
      <c r="C16" s="105">
        <f t="shared" si="0"/>
        <v>0.66500000000000159</v>
      </c>
      <c r="D16" s="107">
        <f t="shared" si="2"/>
        <v>66.500000000000156</v>
      </c>
      <c r="E16" s="110">
        <v>-2.8</v>
      </c>
      <c r="F16" s="108">
        <v>7.7399999999999997E-2</v>
      </c>
      <c r="G16" s="109">
        <f t="shared" si="1"/>
        <v>0.74240000000000161</v>
      </c>
    </row>
    <row r="17" spans="2:7" x14ac:dyDescent="0.3">
      <c r="B17" s="104">
        <v>44961</v>
      </c>
      <c r="C17" s="105">
        <f t="shared" si="0"/>
        <v>0.6750000000000016</v>
      </c>
      <c r="D17" s="107">
        <f t="shared" si="2"/>
        <v>67.500000000000156</v>
      </c>
      <c r="E17" s="110">
        <v>1</v>
      </c>
      <c r="F17" s="108">
        <v>7.7399999999999997E-2</v>
      </c>
      <c r="G17" s="109">
        <f t="shared" si="1"/>
        <v>0.75240000000000162</v>
      </c>
    </row>
    <row r="18" spans="2:7" x14ac:dyDescent="0.3">
      <c r="B18" s="104">
        <v>44962</v>
      </c>
      <c r="C18" s="105">
        <f t="shared" si="0"/>
        <v>0.6750000000000016</v>
      </c>
      <c r="D18" s="107">
        <f t="shared" si="2"/>
        <v>67.500000000000156</v>
      </c>
      <c r="E18" s="110">
        <v>0</v>
      </c>
      <c r="F18" s="108">
        <v>7.7399999999999997E-2</v>
      </c>
      <c r="G18" s="109">
        <f t="shared" si="1"/>
        <v>0.75240000000000162</v>
      </c>
    </row>
    <row r="19" spans="2:7" x14ac:dyDescent="0.3">
      <c r="B19" s="104">
        <v>44963</v>
      </c>
      <c r="C19" s="105">
        <f t="shared" si="0"/>
        <v>0.6750000000000016</v>
      </c>
      <c r="D19" s="107">
        <f t="shared" si="2"/>
        <v>67.500000000000156</v>
      </c>
      <c r="E19" s="110">
        <v>0</v>
      </c>
      <c r="F19" s="108">
        <v>7.7399999999999997E-2</v>
      </c>
      <c r="G19" s="109">
        <f t="shared" si="1"/>
        <v>0.75240000000000162</v>
      </c>
    </row>
    <row r="20" spans="2:7" x14ac:dyDescent="0.3">
      <c r="B20" s="104">
        <v>44964</v>
      </c>
      <c r="C20" s="105">
        <f t="shared" si="0"/>
        <v>0.66900000000000159</v>
      </c>
      <c r="D20" s="107">
        <f t="shared" si="2"/>
        <v>66.900000000000162</v>
      </c>
      <c r="E20" s="110">
        <v>-0.6</v>
      </c>
      <c r="F20" s="108">
        <v>7.7399999999999997E-2</v>
      </c>
      <c r="G20" s="109">
        <f t="shared" si="1"/>
        <v>0.74640000000000162</v>
      </c>
    </row>
    <row r="21" spans="2:7" x14ac:dyDescent="0.3">
      <c r="B21" s="104">
        <v>44965</v>
      </c>
      <c r="C21" s="105">
        <f t="shared" si="0"/>
        <v>0.6710000000000016</v>
      </c>
      <c r="D21" s="107">
        <f t="shared" si="2"/>
        <v>67.100000000000165</v>
      </c>
      <c r="E21" s="110">
        <v>0.2</v>
      </c>
      <c r="F21" s="108">
        <v>7.7399999999999997E-2</v>
      </c>
      <c r="G21" s="109">
        <f t="shared" si="1"/>
        <v>0.74840000000000162</v>
      </c>
    </row>
    <row r="22" spans="2:7" x14ac:dyDescent="0.3">
      <c r="B22" s="104">
        <v>44966</v>
      </c>
      <c r="C22" s="105">
        <f t="shared" si="0"/>
        <v>0.68000000000000171</v>
      </c>
      <c r="D22" s="107">
        <f t="shared" si="2"/>
        <v>68.000000000000171</v>
      </c>
      <c r="E22" s="110">
        <v>0.9</v>
      </c>
      <c r="F22" s="108">
        <v>7.7399999999999997E-2</v>
      </c>
      <c r="G22" s="109">
        <f t="shared" si="1"/>
        <v>0.75740000000000174</v>
      </c>
    </row>
    <row r="23" spans="2:7" x14ac:dyDescent="0.3">
      <c r="B23" s="104">
        <v>44967</v>
      </c>
      <c r="C23" s="105">
        <f t="shared" si="0"/>
        <v>0.68900000000000172</v>
      </c>
      <c r="D23" s="107">
        <f t="shared" si="2"/>
        <v>68.900000000000176</v>
      </c>
      <c r="E23" s="112">
        <v>0.9</v>
      </c>
      <c r="F23" s="108">
        <v>7.7399999999999997E-2</v>
      </c>
      <c r="G23" s="109">
        <f t="shared" si="1"/>
        <v>0.76640000000000175</v>
      </c>
    </row>
    <row r="24" spans="2:7" x14ac:dyDescent="0.3">
      <c r="B24" s="104">
        <v>44968</v>
      </c>
      <c r="C24" s="105">
        <f t="shared" si="0"/>
        <v>0.68900000000000172</v>
      </c>
      <c r="D24" s="107">
        <f t="shared" si="2"/>
        <v>68.900000000000176</v>
      </c>
      <c r="E24" s="110">
        <v>0</v>
      </c>
      <c r="F24" s="108">
        <v>7.7399999999999997E-2</v>
      </c>
      <c r="G24" s="109">
        <f t="shared" si="1"/>
        <v>0.76640000000000175</v>
      </c>
    </row>
    <row r="25" spans="2:7" x14ac:dyDescent="0.3">
      <c r="B25" s="104">
        <v>44969</v>
      </c>
      <c r="C25" s="105">
        <f t="shared" si="0"/>
        <v>0.68900000000000172</v>
      </c>
      <c r="D25" s="107">
        <f t="shared" si="2"/>
        <v>68.900000000000176</v>
      </c>
      <c r="E25" s="110">
        <v>0</v>
      </c>
      <c r="F25" s="108">
        <v>7.7399999999999997E-2</v>
      </c>
      <c r="G25" s="109">
        <f t="shared" si="1"/>
        <v>0.76640000000000175</v>
      </c>
    </row>
    <row r="26" spans="2:7" x14ac:dyDescent="0.3">
      <c r="B26" s="104">
        <v>44970</v>
      </c>
      <c r="C26" s="105">
        <f t="shared" si="0"/>
        <v>0.68900000000000172</v>
      </c>
      <c r="D26" s="107">
        <f t="shared" si="2"/>
        <v>68.900000000000176</v>
      </c>
      <c r="E26" s="110">
        <v>0</v>
      </c>
      <c r="F26" s="108">
        <v>7.7399999999999997E-2</v>
      </c>
      <c r="G26" s="109">
        <f t="shared" si="1"/>
        <v>0.76640000000000175</v>
      </c>
    </row>
    <row r="27" spans="2:7" x14ac:dyDescent="0.3">
      <c r="B27" s="104">
        <v>44971</v>
      </c>
      <c r="C27" s="105">
        <f t="shared" si="0"/>
        <v>0.67300000000000182</v>
      </c>
      <c r="D27" s="107">
        <f t="shared" si="2"/>
        <v>67.300000000000182</v>
      </c>
      <c r="E27" s="110">
        <v>-1.6</v>
      </c>
      <c r="F27" s="108">
        <v>7.7399999999999997E-2</v>
      </c>
      <c r="G27" s="109">
        <f t="shared" si="1"/>
        <v>0.75040000000000184</v>
      </c>
    </row>
    <row r="28" spans="2:7" x14ac:dyDescent="0.3">
      <c r="B28" s="104">
        <v>44972</v>
      </c>
      <c r="C28" s="105">
        <f t="shared" si="0"/>
        <v>0.66800000000000181</v>
      </c>
      <c r="D28" s="107">
        <f t="shared" si="2"/>
        <v>66.800000000000182</v>
      </c>
      <c r="E28" s="110">
        <v>-0.5</v>
      </c>
      <c r="F28" s="108">
        <v>7.7399999999999997E-2</v>
      </c>
      <c r="G28" s="109">
        <f t="shared" si="1"/>
        <v>0.74540000000000184</v>
      </c>
    </row>
    <row r="29" spans="2:7" x14ac:dyDescent="0.3">
      <c r="B29" s="104">
        <v>44973</v>
      </c>
      <c r="C29" s="105">
        <f t="shared" si="0"/>
        <v>0.66800000000000181</v>
      </c>
      <c r="D29" s="107">
        <f t="shared" si="2"/>
        <v>66.800000000000182</v>
      </c>
      <c r="E29" s="110">
        <v>0</v>
      </c>
      <c r="F29" s="108">
        <v>7.7399999999999997E-2</v>
      </c>
      <c r="G29" s="109">
        <f t="shared" si="1"/>
        <v>0.74540000000000184</v>
      </c>
    </row>
    <row r="30" spans="2:7" x14ac:dyDescent="0.3">
      <c r="B30" s="104">
        <v>44974</v>
      </c>
      <c r="C30" s="105">
        <f t="shared" si="0"/>
        <v>0.66800000000000181</v>
      </c>
      <c r="D30" s="107">
        <f t="shared" si="2"/>
        <v>66.800000000000182</v>
      </c>
      <c r="E30" s="110">
        <v>0</v>
      </c>
      <c r="F30" s="108">
        <v>7.7399999999999997E-2</v>
      </c>
      <c r="G30" s="109">
        <f t="shared" si="1"/>
        <v>0.74540000000000184</v>
      </c>
    </row>
    <row r="31" spans="2:7" x14ac:dyDescent="0.3">
      <c r="B31" s="104">
        <v>44975</v>
      </c>
      <c r="C31" s="105">
        <f t="shared" si="0"/>
        <v>0.66500000000000181</v>
      </c>
      <c r="D31" s="107">
        <f t="shared" si="2"/>
        <v>66.500000000000185</v>
      </c>
      <c r="E31" s="110">
        <v>-0.3</v>
      </c>
      <c r="F31" s="108">
        <v>7.7399999999999997E-2</v>
      </c>
      <c r="G31" s="109">
        <f t="shared" si="1"/>
        <v>0.74240000000000184</v>
      </c>
    </row>
    <row r="32" spans="2:7" x14ac:dyDescent="0.3">
      <c r="B32" s="104">
        <v>44976</v>
      </c>
      <c r="C32" s="105">
        <f t="shared" si="0"/>
        <v>0.66500000000000181</v>
      </c>
      <c r="D32" s="107">
        <f t="shared" si="2"/>
        <v>66.500000000000185</v>
      </c>
      <c r="E32" s="110">
        <v>0</v>
      </c>
      <c r="F32" s="108">
        <v>7.7399999999999997E-2</v>
      </c>
      <c r="G32" s="109">
        <f t="shared" si="1"/>
        <v>0.74240000000000184</v>
      </c>
    </row>
    <row r="33" spans="2:7" x14ac:dyDescent="0.3">
      <c r="B33" s="104">
        <v>44977</v>
      </c>
      <c r="C33" s="105">
        <f t="shared" si="0"/>
        <v>0.66500000000000181</v>
      </c>
      <c r="D33" s="107">
        <f t="shared" si="2"/>
        <v>66.500000000000185</v>
      </c>
      <c r="E33" s="110">
        <v>0</v>
      </c>
      <c r="F33" s="108">
        <v>7.7399999999999997E-2</v>
      </c>
      <c r="G33" s="109">
        <f t="shared" si="1"/>
        <v>0.74240000000000184</v>
      </c>
    </row>
    <row r="34" spans="2:7" x14ac:dyDescent="0.3">
      <c r="B34" s="104">
        <v>44978</v>
      </c>
      <c r="C34" s="105">
        <f t="shared" si="0"/>
        <v>0.66500000000000181</v>
      </c>
      <c r="D34" s="107">
        <f t="shared" si="2"/>
        <v>66.500000000000185</v>
      </c>
      <c r="E34" s="110">
        <v>0</v>
      </c>
      <c r="F34" s="108">
        <v>7.7399999999999997E-2</v>
      </c>
      <c r="G34" s="109">
        <f t="shared" si="1"/>
        <v>0.74240000000000184</v>
      </c>
    </row>
    <row r="35" spans="2:7" x14ac:dyDescent="0.3">
      <c r="B35" s="104">
        <v>44979</v>
      </c>
      <c r="C35" s="105">
        <f t="shared" si="0"/>
        <v>0.67200000000000193</v>
      </c>
      <c r="D35" s="107">
        <f t="shared" si="2"/>
        <v>67.200000000000188</v>
      </c>
      <c r="E35" s="110">
        <v>0.7</v>
      </c>
      <c r="F35" s="108">
        <v>7.7399999999999997E-2</v>
      </c>
      <c r="G35" s="109">
        <f t="shared" si="1"/>
        <v>0.74940000000000195</v>
      </c>
    </row>
    <row r="36" spans="2:7" x14ac:dyDescent="0.3">
      <c r="B36" s="104">
        <v>44980</v>
      </c>
      <c r="C36" s="105">
        <f t="shared" si="0"/>
        <v>0.66700000000000192</v>
      </c>
      <c r="D36" s="107">
        <f t="shared" si="2"/>
        <v>66.700000000000188</v>
      </c>
      <c r="E36" s="110">
        <v>-0.5</v>
      </c>
      <c r="F36" s="108">
        <v>7.7399999999999997E-2</v>
      </c>
      <c r="G36" s="109">
        <f t="shared" si="1"/>
        <v>0.74440000000000195</v>
      </c>
    </row>
    <row r="37" spans="2:7" x14ac:dyDescent="0.3">
      <c r="B37" s="104">
        <v>44981</v>
      </c>
      <c r="C37" s="105">
        <f t="shared" si="0"/>
        <v>0.66700000000000192</v>
      </c>
      <c r="D37" s="107">
        <f t="shared" si="2"/>
        <v>66.700000000000188</v>
      </c>
      <c r="E37" s="110">
        <v>0</v>
      </c>
      <c r="F37" s="108">
        <v>7.7399999999999997E-2</v>
      </c>
      <c r="G37" s="109">
        <f t="shared" si="1"/>
        <v>0.74440000000000195</v>
      </c>
    </row>
    <row r="38" spans="2:7" x14ac:dyDescent="0.3">
      <c r="B38" s="104">
        <v>44982</v>
      </c>
      <c r="C38" s="105">
        <f t="shared" si="0"/>
        <v>0.67300000000000182</v>
      </c>
      <c r="D38" s="107">
        <f t="shared" si="2"/>
        <v>67.300000000000182</v>
      </c>
      <c r="E38" s="110">
        <v>0.6</v>
      </c>
      <c r="F38" s="108">
        <v>7.7399999999999997E-2</v>
      </c>
      <c r="G38" s="109">
        <f t="shared" si="1"/>
        <v>0.75040000000000184</v>
      </c>
    </row>
    <row r="39" spans="2:7" x14ac:dyDescent="0.3">
      <c r="B39" s="104">
        <v>44983</v>
      </c>
      <c r="C39" s="105">
        <f t="shared" si="0"/>
        <v>0.67300000000000182</v>
      </c>
      <c r="D39" s="107">
        <f t="shared" si="2"/>
        <v>67.300000000000182</v>
      </c>
      <c r="E39" s="110">
        <v>0</v>
      </c>
      <c r="F39" s="108">
        <v>7.7399999999999997E-2</v>
      </c>
      <c r="G39" s="109">
        <f t="shared" si="1"/>
        <v>0.75040000000000184</v>
      </c>
    </row>
    <row r="40" spans="2:7" x14ac:dyDescent="0.3">
      <c r="B40" s="104">
        <v>44984</v>
      </c>
      <c r="C40" s="105">
        <f t="shared" si="0"/>
        <v>0.67300000000000182</v>
      </c>
      <c r="D40" s="107">
        <f t="shared" si="2"/>
        <v>67.300000000000182</v>
      </c>
      <c r="E40" s="110">
        <v>0</v>
      </c>
      <c r="F40" s="108">
        <v>7.7399999999999997E-2</v>
      </c>
      <c r="G40" s="109">
        <f t="shared" si="1"/>
        <v>0.75040000000000184</v>
      </c>
    </row>
    <row r="41" spans="2:7" x14ac:dyDescent="0.3">
      <c r="B41" s="104">
        <v>44985</v>
      </c>
      <c r="C41" s="105">
        <f t="shared" si="0"/>
        <v>0.67300000000000182</v>
      </c>
      <c r="D41" s="107">
        <f t="shared" si="2"/>
        <v>67.300000000000182</v>
      </c>
      <c r="E41" s="110">
        <v>0</v>
      </c>
      <c r="F41" s="108">
        <v>7.7399999999999997E-2</v>
      </c>
      <c r="G41" s="109">
        <f t="shared" si="1"/>
        <v>0.75040000000000184</v>
      </c>
    </row>
    <row r="42" spans="2:7" x14ac:dyDescent="0.3">
      <c r="B42" s="104"/>
      <c r="C42" s="105"/>
      <c r="D42" s="107"/>
      <c r="E42" s="110"/>
      <c r="F42" s="108"/>
      <c r="G42" s="109"/>
    </row>
    <row r="43" spans="2:7" x14ac:dyDescent="0.3">
      <c r="B43" s="104"/>
      <c r="C43" s="105"/>
      <c r="D43" s="107"/>
      <c r="E43" s="110"/>
      <c r="F43" s="168"/>
      <c r="G43" s="109"/>
    </row>
    <row r="44" spans="2:7" x14ac:dyDescent="0.3">
      <c r="B44" s="111"/>
      <c r="C44" s="105"/>
      <c r="D44" s="107"/>
      <c r="E44" s="110"/>
      <c r="F44" s="108"/>
      <c r="G44" s="109"/>
    </row>
    <row r="45" spans="2:7" x14ac:dyDescent="0.3">
      <c r="B45" s="111"/>
      <c r="C45" s="60"/>
      <c r="D45" s="33"/>
      <c r="E45" s="69"/>
      <c r="F45" s="33"/>
      <c r="G45" s="8"/>
    </row>
    <row r="46" spans="2:7" x14ac:dyDescent="0.3">
      <c r="B46" s="111" t="s">
        <v>168</v>
      </c>
      <c r="C46" s="133">
        <f>AVERAGE(D14:D41)</f>
        <v>67.478571428571627</v>
      </c>
      <c r="D46" s="33"/>
      <c r="E46" s="69"/>
      <c r="F46" s="33"/>
      <c r="G46" s="8"/>
    </row>
    <row r="47" spans="2:7" x14ac:dyDescent="0.3">
      <c r="B47" s="111"/>
      <c r="C47" s="60"/>
      <c r="D47" s="33"/>
      <c r="E47" s="69"/>
      <c r="F47" s="33"/>
      <c r="G47" s="8"/>
    </row>
    <row r="48" spans="2:7" x14ac:dyDescent="0.3">
      <c r="B48" s="111" t="s">
        <v>169</v>
      </c>
      <c r="C48" s="133">
        <f>C46</f>
        <v>67.478571428571627</v>
      </c>
      <c r="D48" s="33"/>
      <c r="E48" s="69"/>
      <c r="F48" s="33"/>
      <c r="G48" s="8"/>
    </row>
    <row r="49" spans="2:12" x14ac:dyDescent="0.3">
      <c r="B49" s="111" t="s">
        <v>170</v>
      </c>
      <c r="C49" s="133">
        <f>F41*100</f>
        <v>7.7399999999999993</v>
      </c>
      <c r="D49" s="33"/>
      <c r="E49" s="69"/>
      <c r="F49" s="33"/>
      <c r="G49" s="8"/>
    </row>
    <row r="50" spans="2:12" x14ac:dyDescent="0.3">
      <c r="B50" s="111" t="s">
        <v>171</v>
      </c>
      <c r="C50" s="133">
        <f>SUM(C48:C49)</f>
        <v>75.218571428571622</v>
      </c>
      <c r="D50" s="33"/>
      <c r="E50" s="44"/>
      <c r="F50" s="33"/>
      <c r="G50" s="8"/>
    </row>
    <row r="51" spans="2:12" x14ac:dyDescent="0.3">
      <c r="B51" s="111" t="s">
        <v>164</v>
      </c>
      <c r="C51" s="115">
        <f>C50/100</f>
        <v>0.75218571428571623</v>
      </c>
      <c r="D51" s="33"/>
      <c r="E51" s="44"/>
      <c r="F51" s="33"/>
      <c r="G51" s="8"/>
    </row>
    <row r="52" spans="2:12" ht="15" thickBot="1" x14ac:dyDescent="0.35">
      <c r="B52" s="113"/>
      <c r="C52" s="67"/>
      <c r="D52" s="132"/>
      <c r="E52" s="116"/>
      <c r="F52" s="42"/>
      <c r="G52" s="21"/>
    </row>
    <row r="54" spans="2:12" x14ac:dyDescent="0.3">
      <c r="B54" s="117" t="s">
        <v>172</v>
      </c>
    </row>
    <row r="55" spans="2:12" x14ac:dyDescent="0.3">
      <c r="B55" s="44" t="s">
        <v>173</v>
      </c>
      <c r="C55" s="33"/>
      <c r="D55" s="69"/>
      <c r="E55" s="33"/>
      <c r="F55" s="2"/>
      <c r="G55" s="2"/>
      <c r="H55" s="2"/>
      <c r="I55" s="2"/>
      <c r="J55" s="2"/>
      <c r="K55" s="2"/>
      <c r="L55" s="2"/>
    </row>
    <row r="56" spans="2:12" x14ac:dyDescent="0.3">
      <c r="B56" s="60" t="s">
        <v>174</v>
      </c>
      <c r="C56" s="33"/>
      <c r="D56" s="69"/>
      <c r="E56" s="33"/>
      <c r="F56" s="2"/>
      <c r="G56" s="2"/>
      <c r="H56" s="2"/>
      <c r="I56" s="2"/>
      <c r="J56" s="2"/>
      <c r="K56" s="2"/>
      <c r="L56" s="2"/>
    </row>
    <row r="57" spans="2:12" x14ac:dyDescent="0.3">
      <c r="B57" s="118" t="s">
        <v>175</v>
      </c>
      <c r="C57" s="33"/>
      <c r="D57" s="69"/>
      <c r="E57" s="33"/>
      <c r="F57" s="2"/>
      <c r="G57" s="2"/>
      <c r="H57" s="2"/>
      <c r="I57" s="2"/>
      <c r="J57" s="2"/>
      <c r="K57" s="2"/>
      <c r="L57" s="2"/>
    </row>
    <row r="58" spans="2:12" x14ac:dyDescent="0.3">
      <c r="B58" s="118" t="s">
        <v>176</v>
      </c>
      <c r="C58" s="33"/>
      <c r="D58" s="69"/>
      <c r="E58" s="33"/>
      <c r="F58" s="2"/>
      <c r="G58" s="2"/>
      <c r="H58" s="2"/>
      <c r="I58" s="2"/>
      <c r="J58" s="2"/>
      <c r="K58" s="2"/>
      <c r="L58" s="2"/>
    </row>
    <row r="59" spans="2:12" x14ac:dyDescent="0.3">
      <c r="B59" s="60" t="s">
        <v>177</v>
      </c>
      <c r="C59" s="33"/>
      <c r="D59" s="69"/>
      <c r="E59" s="33"/>
      <c r="F59" s="2"/>
      <c r="G59" s="2"/>
      <c r="H59" s="2"/>
      <c r="I59" s="2"/>
      <c r="J59" s="2"/>
      <c r="K59" s="2"/>
      <c r="L59" s="2"/>
    </row>
    <row r="60" spans="2:12" x14ac:dyDescent="0.3">
      <c r="B60" s="213"/>
      <c r="C60" s="213"/>
      <c r="D60" s="213"/>
      <c r="E60" s="213"/>
      <c r="F60" s="213"/>
      <c r="G60" s="213"/>
      <c r="H60" s="119"/>
      <c r="I60" s="119"/>
      <c r="J60" s="119"/>
      <c r="K60" s="119"/>
      <c r="L60" s="119"/>
    </row>
  </sheetData>
  <mergeCells count="5">
    <mergeCell ref="B1:H1"/>
    <mergeCell ref="B6:G6"/>
    <mergeCell ref="B7:G7"/>
    <mergeCell ref="B4:C4"/>
    <mergeCell ref="B60:G60"/>
  </mergeCells>
  <printOptions horizontalCentered="1"/>
  <pageMargins left="0.7" right="0.7" top="0.75" bottom="0.75" header="0.3" footer="0.3"/>
  <pageSetup scale="72" orientation="portrait" r:id="rId1"/>
  <customProperties>
    <customPr name="EpmWorksheetKeyString_GUID" r:id="rId2"/>
  </customProperties>
  <ignoredErrors>
    <ignoredError sqref="E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4BFE-95C6-40F0-B2C3-44EC51A0BB3C}">
  <dimension ref="A1:H12"/>
  <sheetViews>
    <sheetView view="pageBreakPreview" zoomScale="110" zoomScaleNormal="100" zoomScaleSheetLayoutView="110" workbookViewId="0">
      <selection activeCell="O23" sqref="O23"/>
    </sheetView>
  </sheetViews>
  <sheetFormatPr defaultColWidth="8.88671875" defaultRowHeight="14.4" x14ac:dyDescent="0.3"/>
  <cols>
    <col min="1" max="1" width="18.6640625" customWidth="1"/>
    <col min="2" max="2" width="11.33203125" bestFit="1" customWidth="1"/>
    <col min="3" max="3" width="16.6640625" customWidth="1"/>
    <col min="4" max="4" width="20.44140625" customWidth="1"/>
  </cols>
  <sheetData>
    <row r="1" spans="1:8" x14ac:dyDescent="0.3">
      <c r="H1" s="169"/>
    </row>
    <row r="2" spans="1:8" x14ac:dyDescent="0.3">
      <c r="G2" s="170"/>
    </row>
    <row r="3" spans="1:8" ht="30.6" x14ac:dyDescent="0.3">
      <c r="A3" s="171" t="s">
        <v>2</v>
      </c>
      <c r="B3" s="171" t="s">
        <v>3</v>
      </c>
      <c r="C3" s="171" t="s">
        <v>4</v>
      </c>
      <c r="D3" s="171" t="s">
        <v>5</v>
      </c>
    </row>
    <row r="4" spans="1:8" x14ac:dyDescent="0.3">
      <c r="A4" s="172" t="s">
        <v>6</v>
      </c>
      <c r="B4" s="173" t="s">
        <v>7</v>
      </c>
      <c r="C4" s="174">
        <v>1841</v>
      </c>
      <c r="D4" s="173" t="s">
        <v>7</v>
      </c>
    </row>
    <row r="5" spans="1:8" x14ac:dyDescent="0.3">
      <c r="A5" s="172" t="s">
        <v>8</v>
      </c>
      <c r="B5" s="175">
        <v>0.2</v>
      </c>
      <c r="C5" s="174">
        <v>2429</v>
      </c>
      <c r="D5" s="174">
        <f>C5-C4</f>
        <v>588</v>
      </c>
    </row>
    <row r="6" spans="1:8" x14ac:dyDescent="0.3">
      <c r="A6" s="172" t="s">
        <v>9</v>
      </c>
      <c r="B6" s="175">
        <v>0.04</v>
      </c>
      <c r="C6" s="174">
        <v>5251</v>
      </c>
      <c r="D6" s="174">
        <f>C6-C4</f>
        <v>3410</v>
      </c>
    </row>
    <row r="7" spans="1:8" x14ac:dyDescent="0.3">
      <c r="A7" s="172" t="s">
        <v>10</v>
      </c>
      <c r="B7" s="175">
        <v>0.56999999999999995</v>
      </c>
      <c r="C7" s="174">
        <v>2849</v>
      </c>
      <c r="D7" s="174">
        <f>C7-C4</f>
        <v>1008</v>
      </c>
    </row>
    <row r="8" spans="1:8" ht="15" customHeight="1" x14ac:dyDescent="0.3">
      <c r="A8" s="172" t="s">
        <v>11</v>
      </c>
      <c r="B8" s="175">
        <v>0.03</v>
      </c>
      <c r="C8" s="176" t="s">
        <v>12</v>
      </c>
      <c r="D8" s="176" t="s">
        <v>12</v>
      </c>
    </row>
    <row r="9" spans="1:8" ht="31.5" customHeight="1" x14ac:dyDescent="0.3">
      <c r="A9" s="177" t="s">
        <v>13</v>
      </c>
      <c r="B9" s="175">
        <v>0.15</v>
      </c>
      <c r="C9" s="176" t="s">
        <v>14</v>
      </c>
      <c r="D9" s="176" t="s">
        <v>14</v>
      </c>
    </row>
    <row r="10" spans="1:8" x14ac:dyDescent="0.3">
      <c r="A10" s="172" t="s">
        <v>15</v>
      </c>
      <c r="B10" s="178"/>
      <c r="C10" s="172"/>
      <c r="D10" s="179">
        <f>(B5*D5)+(B6*D6)+(B7*D7)</f>
        <v>828.56</v>
      </c>
    </row>
    <row r="11" spans="1:8" x14ac:dyDescent="0.3">
      <c r="A11" s="180" t="s">
        <v>16</v>
      </c>
    </row>
    <row r="12" spans="1:8" x14ac:dyDescent="0.3">
      <c r="A12" s="180" t="s">
        <v>17</v>
      </c>
    </row>
  </sheetData>
  <printOptions horizontalCentered="1"/>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AEA-5F94-412D-ADB1-B5217AFECA2E}">
  <dimension ref="A1:H23"/>
  <sheetViews>
    <sheetView showGridLines="0" view="pageBreakPreview" zoomScale="60" zoomScaleNormal="80" workbookViewId="0">
      <selection activeCell="O23" sqref="O23"/>
    </sheetView>
  </sheetViews>
  <sheetFormatPr defaultRowHeight="14.4" x14ac:dyDescent="0.3"/>
  <cols>
    <col min="1" max="2" width="3.44140625" customWidth="1"/>
    <col min="3" max="3" width="35.88671875" customWidth="1"/>
    <col min="4" max="7" width="14.88671875" customWidth="1"/>
  </cols>
  <sheetData>
    <row r="1" spans="1:8" ht="22.8" x14ac:dyDescent="0.4">
      <c r="B1" s="1" t="s">
        <v>18</v>
      </c>
    </row>
    <row r="2" spans="1:8" ht="15" thickBot="1" x14ac:dyDescent="0.35"/>
    <row r="3" spans="1:8" ht="65.099999999999994" customHeight="1" thickBot="1" x14ac:dyDescent="0.35">
      <c r="A3" s="2"/>
      <c r="B3" s="2"/>
      <c r="C3" s="122"/>
      <c r="D3" s="183" t="s">
        <v>19</v>
      </c>
      <c r="E3" s="184"/>
      <c r="F3" s="184"/>
      <c r="G3" s="185"/>
      <c r="H3" s="2"/>
    </row>
    <row r="4" spans="1:8" ht="20.100000000000001" customHeight="1" thickTop="1" x14ac:dyDescent="0.3">
      <c r="A4" s="2"/>
      <c r="B4" s="2"/>
      <c r="C4" s="186"/>
      <c r="D4" s="134" t="s">
        <v>20</v>
      </c>
      <c r="E4" s="135" t="s">
        <v>21</v>
      </c>
      <c r="F4" s="135" t="s">
        <v>22</v>
      </c>
      <c r="G4" s="136" t="s">
        <v>10</v>
      </c>
      <c r="H4" s="2"/>
    </row>
    <row r="5" spans="1:8" ht="20.100000000000001" customHeight="1" thickBot="1" x14ac:dyDescent="0.35">
      <c r="A5" s="2"/>
      <c r="B5" s="2"/>
      <c r="C5" s="187"/>
      <c r="D5" s="137">
        <f>D9</f>
        <v>0.76690000000000003</v>
      </c>
      <c r="E5" s="138">
        <f t="shared" ref="E5:G5" si="0">E9</f>
        <v>1.9610619469026551</v>
      </c>
      <c r="F5" s="139">
        <f t="shared" si="0"/>
        <v>0.11325393320000002</v>
      </c>
      <c r="G5" s="140">
        <f t="shared" si="0"/>
        <v>0.75218571428571623</v>
      </c>
      <c r="H5" s="2"/>
    </row>
    <row r="6" spans="1:8" ht="20.100000000000001" customHeight="1" thickTop="1" x14ac:dyDescent="0.3">
      <c r="A6" s="2"/>
      <c r="B6" s="2"/>
      <c r="C6" s="141" t="s">
        <v>23</v>
      </c>
      <c r="D6" s="142">
        <f>'Efficiency-Adjusted Conversion'!C9</f>
        <v>2400</v>
      </c>
      <c r="E6" s="142">
        <f>'Efficiency-Adjusted Conversion'!D9</f>
        <v>2677.6229106482701</v>
      </c>
      <c r="F6" s="142">
        <f>'Efficiency-Adjusted Conversion'!E9</f>
        <v>21448.263640607875</v>
      </c>
      <c r="G6" s="143">
        <f>'Efficiency-Adjusted Conversion'!F9</f>
        <v>3787.5668683054523</v>
      </c>
      <c r="H6" s="2"/>
    </row>
    <row r="7" spans="1:8" ht="20.100000000000001" customHeight="1" x14ac:dyDescent="0.3">
      <c r="A7" s="2"/>
      <c r="B7" s="2"/>
      <c r="C7" s="144" t="s">
        <v>24</v>
      </c>
      <c r="D7" s="145">
        <f>D9*D6</f>
        <v>1840.5600000000002</v>
      </c>
      <c r="E7" s="146">
        <f>E9*E6</f>
        <v>5250.9843982270504</v>
      </c>
      <c r="F7" s="146">
        <f>F9*F6</f>
        <v>2429.1002176093934</v>
      </c>
      <c r="G7" s="147">
        <f>G9*G6</f>
        <v>2848.9536902412501</v>
      </c>
      <c r="H7" s="2"/>
    </row>
    <row r="8" spans="1:8" ht="20.100000000000001" customHeight="1" x14ac:dyDescent="0.3">
      <c r="A8" s="2"/>
      <c r="B8" s="2"/>
      <c r="C8" s="148"/>
      <c r="D8" s="163"/>
      <c r="E8" s="163"/>
      <c r="F8" s="163"/>
      <c r="G8" s="149"/>
      <c r="H8" s="2"/>
    </row>
    <row r="9" spans="1:8" ht="20.100000000000001" customHeight="1" x14ac:dyDescent="0.3">
      <c r="A9" s="2"/>
      <c r="B9" s="2"/>
      <c r="C9" s="150" t="s">
        <v>25</v>
      </c>
      <c r="D9" s="151">
        <f>'Natural Gas Assumption'!E27</f>
        <v>0.76690000000000003</v>
      </c>
      <c r="E9" s="151">
        <f>'Oil Assumptions'!C20</f>
        <v>1.9610619469026551</v>
      </c>
      <c r="F9" s="151">
        <f>'Electricity Assumptions'!G26</f>
        <v>0.11325393320000002</v>
      </c>
      <c r="G9" s="152">
        <f>'Propane Assumptions'!C51</f>
        <v>0.75218571428571623</v>
      </c>
      <c r="H9" s="2"/>
    </row>
    <row r="10" spans="1:8" ht="20.100000000000001" customHeight="1" x14ac:dyDescent="0.3">
      <c r="A10" s="2"/>
      <c r="B10" s="2"/>
      <c r="C10" s="153" t="s">
        <v>26</v>
      </c>
      <c r="D10" s="154">
        <f>'Efficiency Factors'!F12</f>
        <v>0.83005615285141598</v>
      </c>
      <c r="E10" s="154">
        <f>'Efficiency Factors'!H12</f>
        <v>0.78066666666666662</v>
      </c>
      <c r="F10" s="154">
        <f>'Efficiency Factors'!G12</f>
        <v>0.99408399999999997</v>
      </c>
      <c r="G10" s="155">
        <f>'Efficiency Factors'!I12</f>
        <v>0.79379178520625893</v>
      </c>
      <c r="H10" s="2"/>
    </row>
    <row r="11" spans="1:8" ht="20.100000000000001" customHeight="1" thickBot="1" x14ac:dyDescent="0.35">
      <c r="A11" s="2"/>
      <c r="B11" s="2"/>
      <c r="C11" s="156"/>
      <c r="D11" s="157"/>
      <c r="E11" s="157"/>
      <c r="F11" s="157"/>
      <c r="G11" s="158"/>
      <c r="H11" s="2"/>
    </row>
    <row r="12" spans="1:8" ht="20.100000000000001" customHeight="1" thickTop="1" x14ac:dyDescent="0.3">
      <c r="A12" s="2"/>
      <c r="B12" s="2"/>
      <c r="C12" s="159" t="s">
        <v>27</v>
      </c>
      <c r="D12" s="160"/>
      <c r="E12" s="161">
        <f>+E7-$D$7</f>
        <v>3410.42439822705</v>
      </c>
      <c r="F12" s="161">
        <f>+F7-$D$7</f>
        <v>588.54021760939327</v>
      </c>
      <c r="G12" s="162">
        <f>+G7-$D$7</f>
        <v>1008.3936902412499</v>
      </c>
      <c r="H12" s="2"/>
    </row>
    <row r="13" spans="1:8" ht="20.100000000000001" customHeight="1" thickBot="1" x14ac:dyDescent="0.35">
      <c r="A13" s="2"/>
      <c r="B13" s="2"/>
      <c r="C13" s="164" t="s">
        <v>28</v>
      </c>
      <c r="D13" s="165"/>
      <c r="E13" s="166">
        <f>+E12/E$7</f>
        <v>0.64948286637045627</v>
      </c>
      <c r="F13" s="166">
        <f>+F12/F$7</f>
        <v>0.24228733476818298</v>
      </c>
      <c r="G13" s="167">
        <f>+G12/G$7</f>
        <v>0.35395229262426475</v>
      </c>
      <c r="H13" s="2"/>
    </row>
    <row r="15" spans="1:8" x14ac:dyDescent="0.3">
      <c r="B15" s="123" t="s">
        <v>29</v>
      </c>
      <c r="C15" s="2"/>
      <c r="D15" s="124"/>
      <c r="E15" s="125"/>
      <c r="F15" s="125"/>
      <c r="G15" s="125"/>
    </row>
    <row r="16" spans="1:8" ht="16.2" x14ac:dyDescent="0.3">
      <c r="B16" s="74" t="s">
        <v>30</v>
      </c>
      <c r="C16" s="126" t="s">
        <v>31</v>
      </c>
      <c r="D16" s="124"/>
      <c r="E16" s="125"/>
      <c r="F16" s="125"/>
      <c r="G16" s="125"/>
    </row>
    <row r="17" spans="2:7" x14ac:dyDescent="0.3">
      <c r="B17" s="74" t="s">
        <v>32</v>
      </c>
      <c r="C17" s="127" t="s">
        <v>33</v>
      </c>
      <c r="D17" s="128"/>
      <c r="E17" s="128"/>
      <c r="F17" s="128"/>
      <c r="G17" s="128"/>
    </row>
    <row r="18" spans="2:7" x14ac:dyDescent="0.3">
      <c r="B18" s="74" t="s">
        <v>34</v>
      </c>
      <c r="C18" s="188" t="s">
        <v>35</v>
      </c>
      <c r="D18" s="188"/>
      <c r="E18" s="188"/>
      <c r="F18" s="188"/>
      <c r="G18" s="188"/>
    </row>
    <row r="19" spans="2:7" x14ac:dyDescent="0.3">
      <c r="B19" s="2"/>
      <c r="C19" s="188"/>
      <c r="D19" s="188"/>
      <c r="E19" s="188"/>
      <c r="F19" s="188"/>
      <c r="G19" s="188"/>
    </row>
    <row r="20" spans="2:7" x14ac:dyDescent="0.3">
      <c r="B20" s="129" t="s">
        <v>36</v>
      </c>
      <c r="C20" s="188" t="s">
        <v>37</v>
      </c>
      <c r="D20" s="188"/>
      <c r="E20" s="188"/>
      <c r="F20" s="188"/>
      <c r="G20" s="188"/>
    </row>
    <row r="21" spans="2:7" x14ac:dyDescent="0.3">
      <c r="B21" s="129" t="s">
        <v>38</v>
      </c>
      <c r="C21" s="189" t="s">
        <v>39</v>
      </c>
      <c r="D21" s="189"/>
      <c r="E21" s="189"/>
      <c r="F21" s="189"/>
      <c r="G21" s="189"/>
    </row>
    <row r="22" spans="2:7" x14ac:dyDescent="0.3">
      <c r="B22" s="74" t="s">
        <v>40</v>
      </c>
      <c r="C22" s="127" t="s">
        <v>41</v>
      </c>
      <c r="D22" s="128"/>
      <c r="E22" s="128"/>
      <c r="F22" s="128"/>
      <c r="G22" s="128"/>
    </row>
    <row r="23" spans="2:7" x14ac:dyDescent="0.3">
      <c r="B23" s="74" t="s">
        <v>42</v>
      </c>
      <c r="C23" s="127" t="s">
        <v>43</v>
      </c>
      <c r="D23" s="128"/>
      <c r="E23" s="128"/>
      <c r="F23" s="128"/>
      <c r="G23" s="128"/>
    </row>
  </sheetData>
  <mergeCells count="5">
    <mergeCell ref="D3:G3"/>
    <mergeCell ref="C4:C5"/>
    <mergeCell ref="C18:G19"/>
    <mergeCell ref="C20:G20"/>
    <mergeCell ref="C21:G21"/>
  </mergeCells>
  <printOptions horizontalCentered="1"/>
  <pageMargins left="0.7" right="0.7" top="0.75" bottom="0.75" header="0.3" footer="0.3"/>
  <pageSetup scale="72" orientation="portrait" r:id="rId1"/>
  <customProperties>
    <customPr name="EpmWorksheetKeyString_GUID" r:id="rId2"/>
  </customProperties>
  <ignoredErrors>
    <ignoredError sqref="B16:B21"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8ECB-AC13-4089-8CA8-488F2FBA062B}">
  <dimension ref="B1:F10"/>
  <sheetViews>
    <sheetView showGridLines="0" view="pageBreakPreview" zoomScale="60" zoomScaleNormal="80" workbookViewId="0">
      <selection activeCell="O23" sqref="O23"/>
    </sheetView>
  </sheetViews>
  <sheetFormatPr defaultRowHeight="14.4" x14ac:dyDescent="0.3"/>
  <cols>
    <col min="1" max="1" width="3.44140625" customWidth="1"/>
    <col min="2" max="2" width="53.44140625" customWidth="1"/>
    <col min="3" max="6" width="13.44140625" customWidth="1"/>
  </cols>
  <sheetData>
    <row r="1" spans="2:6" ht="22.8" x14ac:dyDescent="0.4">
      <c r="B1" s="1" t="s">
        <v>44</v>
      </c>
      <c r="C1" s="2"/>
      <c r="D1" s="2"/>
      <c r="E1" s="2"/>
      <c r="F1" s="2"/>
    </row>
    <row r="2" spans="2:6" x14ac:dyDescent="0.3">
      <c r="B2" s="2"/>
      <c r="C2" s="2"/>
      <c r="D2" s="2"/>
      <c r="E2" s="2"/>
      <c r="F2" s="2"/>
    </row>
    <row r="3" spans="2:6" ht="15" thickBot="1" x14ac:dyDescent="0.35">
      <c r="B3" s="2"/>
      <c r="C3" s="2"/>
      <c r="D3" s="2"/>
      <c r="E3" s="2"/>
      <c r="F3" s="2"/>
    </row>
    <row r="4" spans="2:6" x14ac:dyDescent="0.3">
      <c r="B4" s="190" t="s">
        <v>45</v>
      </c>
      <c r="C4" s="191"/>
      <c r="D4" s="191"/>
      <c r="E4" s="191"/>
      <c r="F4" s="192"/>
    </row>
    <row r="5" spans="2:6" x14ac:dyDescent="0.3">
      <c r="B5" s="50"/>
      <c r="C5" s="33"/>
      <c r="D5" s="33"/>
      <c r="E5" s="33"/>
      <c r="F5" s="12"/>
    </row>
    <row r="6" spans="2:6" x14ac:dyDescent="0.3">
      <c r="B6" s="17" t="s">
        <v>46</v>
      </c>
      <c r="C6" s="33" t="s">
        <v>20</v>
      </c>
      <c r="D6" s="33" t="s">
        <v>21</v>
      </c>
      <c r="E6" s="33" t="s">
        <v>22</v>
      </c>
      <c r="F6" s="12" t="s">
        <v>10</v>
      </c>
    </row>
    <row r="7" spans="2:6" x14ac:dyDescent="0.3">
      <c r="B7" s="45" t="s">
        <v>47</v>
      </c>
      <c r="C7" s="25" t="s">
        <v>48</v>
      </c>
      <c r="D7" s="25" t="s">
        <v>49</v>
      </c>
      <c r="E7" s="25" t="s">
        <v>50</v>
      </c>
      <c r="F7" s="24" t="s">
        <v>49</v>
      </c>
    </row>
    <row r="8" spans="2:6" x14ac:dyDescent="0.3">
      <c r="B8" s="9"/>
      <c r="C8" s="2"/>
      <c r="D8" s="2"/>
      <c r="E8" s="2"/>
      <c r="F8" s="8"/>
    </row>
    <row r="9" spans="2:6" x14ac:dyDescent="0.3">
      <c r="B9" s="9" t="s">
        <v>51</v>
      </c>
      <c r="C9" s="121">
        <v>2400</v>
      </c>
      <c r="D9" s="46">
        <f>C9*'Energy Conversion'!E32*'Energy Conversion'!D44*('Efficiency Factors'!F12/'Efficiency Factors'!H12)</f>
        <v>2677.6229106482701</v>
      </c>
      <c r="E9" s="46">
        <f>C9*'Energy Conversion'!E32*'Energy Conversion'!D43*('Efficiency Factors'!F12/'Efficiency Factors'!G12)</f>
        <v>21448.263640607875</v>
      </c>
      <c r="F9" s="47">
        <f>C9*'Energy Conversion'!E32*'Energy Conversion'!D45*('Efficiency Factors'!F12/'Efficiency Factors'!I12)</f>
        <v>3787.5668683054523</v>
      </c>
    </row>
    <row r="10" spans="2:6" ht="15" thickBot="1" x14ac:dyDescent="0.35">
      <c r="B10" s="20"/>
      <c r="C10" s="30"/>
      <c r="D10" s="30"/>
      <c r="E10" s="30"/>
      <c r="F10" s="21"/>
    </row>
  </sheetData>
  <mergeCells count="1">
    <mergeCell ref="B4:F4"/>
  </mergeCells>
  <printOptions horizontalCentered="1"/>
  <pageMargins left="0.7" right="0.7" top="0.75" bottom="0.75" header="0.3" footer="0.3"/>
  <pageSetup scale="72"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974D-2694-4B8A-BEF6-F3F66C550BFB}">
  <dimension ref="B1:E45"/>
  <sheetViews>
    <sheetView showGridLines="0" view="pageBreakPreview" zoomScale="60" zoomScaleNormal="80" workbookViewId="0">
      <selection activeCell="O23" sqref="O23"/>
    </sheetView>
  </sheetViews>
  <sheetFormatPr defaultRowHeight="14.4" x14ac:dyDescent="0.3"/>
  <cols>
    <col min="1" max="1" width="3.44140625" customWidth="1"/>
    <col min="2" max="2" width="52.88671875" customWidth="1"/>
    <col min="3" max="3" width="24.88671875" customWidth="1"/>
    <col min="4" max="4" width="25.5546875" bestFit="1" customWidth="1"/>
    <col min="5" max="5" width="18.88671875" customWidth="1"/>
  </cols>
  <sheetData>
    <row r="1" spans="2:5" ht="22.8" x14ac:dyDescent="0.4">
      <c r="B1" s="1" t="s">
        <v>52</v>
      </c>
      <c r="C1" s="2"/>
      <c r="D1" s="2"/>
      <c r="E1" s="2"/>
    </row>
    <row r="2" spans="2:5" ht="22.8" x14ac:dyDescent="0.4">
      <c r="B2" s="1"/>
      <c r="C2" s="2"/>
      <c r="D2" s="2"/>
      <c r="E2" s="2"/>
    </row>
    <row r="3" spans="2:5" ht="15" thickBot="1" x14ac:dyDescent="0.35">
      <c r="B3" s="2"/>
      <c r="C3" s="2"/>
      <c r="D3" s="2"/>
      <c r="E3" s="2"/>
    </row>
    <row r="4" spans="2:5" x14ac:dyDescent="0.3">
      <c r="B4" s="190" t="s">
        <v>53</v>
      </c>
      <c r="C4" s="191"/>
      <c r="D4" s="191"/>
      <c r="E4" s="192"/>
    </row>
    <row r="5" spans="2:5" x14ac:dyDescent="0.3">
      <c r="B5" s="9"/>
      <c r="C5" s="2"/>
      <c r="D5" s="2"/>
      <c r="E5" s="8"/>
    </row>
    <row r="6" spans="2:5" x14ac:dyDescent="0.3">
      <c r="B6" s="26" t="s">
        <v>54</v>
      </c>
      <c r="C6" s="27" t="s">
        <v>55</v>
      </c>
      <c r="D6" s="196" t="s">
        <v>56</v>
      </c>
      <c r="E6" s="197"/>
    </row>
    <row r="7" spans="2:5" x14ac:dyDescent="0.3">
      <c r="B7" s="9" t="s">
        <v>57</v>
      </c>
      <c r="C7" s="33">
        <v>277.77780000000001</v>
      </c>
      <c r="D7" s="44" t="s">
        <v>58</v>
      </c>
      <c r="E7" s="29"/>
    </row>
    <row r="8" spans="2:5" x14ac:dyDescent="0.3">
      <c r="B8" s="9" t="s">
        <v>57</v>
      </c>
      <c r="C8" s="33">
        <v>26.853000000000002</v>
      </c>
      <c r="D8" s="44" t="s">
        <v>59</v>
      </c>
      <c r="E8" s="29"/>
    </row>
    <row r="9" spans="2:5" x14ac:dyDescent="0.3">
      <c r="B9" s="9" t="s">
        <v>60</v>
      </c>
      <c r="C9" s="33">
        <v>3.5999999999999999E-3</v>
      </c>
      <c r="D9" s="44" t="s">
        <v>61</v>
      </c>
      <c r="E9" s="29"/>
    </row>
    <row r="10" spans="2:5" x14ac:dyDescent="0.3">
      <c r="B10" s="9" t="s">
        <v>62</v>
      </c>
      <c r="C10" s="33">
        <v>35.301000000000002</v>
      </c>
      <c r="D10" s="44" t="s">
        <v>63</v>
      </c>
      <c r="E10" s="29"/>
    </row>
    <row r="11" spans="2:5" x14ac:dyDescent="0.3">
      <c r="B11" s="9"/>
      <c r="C11" s="2"/>
      <c r="D11" s="2"/>
      <c r="E11" s="8"/>
    </row>
    <row r="12" spans="2:5" x14ac:dyDescent="0.3">
      <c r="B12" s="7" t="s">
        <v>64</v>
      </c>
      <c r="C12" s="2"/>
      <c r="D12" s="2"/>
      <c r="E12" s="8"/>
    </row>
    <row r="13" spans="2:5" ht="15" thickBot="1" x14ac:dyDescent="0.35">
      <c r="B13" s="130" t="s">
        <v>65</v>
      </c>
      <c r="C13" s="30"/>
      <c r="D13" s="30"/>
      <c r="E13" s="21"/>
    </row>
    <row r="14" spans="2:5" x14ac:dyDescent="0.3">
      <c r="B14" s="2"/>
      <c r="C14" s="31"/>
      <c r="D14" s="31"/>
      <c r="E14" s="31"/>
    </row>
    <row r="15" spans="2:5" ht="15" thickBot="1" x14ac:dyDescent="0.35">
      <c r="B15" s="2"/>
      <c r="C15" s="2"/>
      <c r="D15" s="2"/>
      <c r="E15" s="2"/>
    </row>
    <row r="16" spans="2:5" x14ac:dyDescent="0.3">
      <c r="B16" s="190" t="s">
        <v>66</v>
      </c>
      <c r="C16" s="191"/>
      <c r="D16" s="191"/>
      <c r="E16" s="192"/>
    </row>
    <row r="17" spans="2:5" x14ac:dyDescent="0.3">
      <c r="B17" s="9"/>
      <c r="C17" s="2"/>
      <c r="D17" s="2"/>
      <c r="E17" s="8"/>
    </row>
    <row r="18" spans="2:5" x14ac:dyDescent="0.3">
      <c r="B18" s="26" t="s">
        <v>67</v>
      </c>
      <c r="C18" s="25" t="s">
        <v>54</v>
      </c>
      <c r="D18" s="32" t="s">
        <v>55</v>
      </c>
      <c r="E18" s="24" t="s">
        <v>56</v>
      </c>
    </row>
    <row r="19" spans="2:5" x14ac:dyDescent="0.3">
      <c r="B19" s="9" t="s">
        <v>21</v>
      </c>
      <c r="C19" s="33" t="s">
        <v>68</v>
      </c>
      <c r="D19" s="33">
        <v>36.72</v>
      </c>
      <c r="E19" s="12" t="s">
        <v>69</v>
      </c>
    </row>
    <row r="20" spans="2:5" x14ac:dyDescent="0.3">
      <c r="B20" s="9" t="s">
        <v>10</v>
      </c>
      <c r="C20" s="33" t="s">
        <v>68</v>
      </c>
      <c r="D20" s="33">
        <v>25.53</v>
      </c>
      <c r="E20" s="12" t="s">
        <v>69</v>
      </c>
    </row>
    <row r="21" spans="2:5" x14ac:dyDescent="0.3">
      <c r="B21" s="9"/>
      <c r="C21" s="2"/>
      <c r="D21" s="2"/>
      <c r="E21" s="8"/>
    </row>
    <row r="22" spans="2:5" x14ac:dyDescent="0.3">
      <c r="B22" s="7" t="s">
        <v>64</v>
      </c>
      <c r="C22" s="2"/>
      <c r="D22" s="2"/>
      <c r="E22" s="8"/>
    </row>
    <row r="23" spans="2:5" ht="15" thickBot="1" x14ac:dyDescent="0.35">
      <c r="B23" s="130" t="s">
        <v>65</v>
      </c>
      <c r="C23" s="34"/>
      <c r="D23" s="34"/>
      <c r="E23" s="35"/>
    </row>
    <row r="24" spans="2:5" x14ac:dyDescent="0.3">
      <c r="B24" s="36"/>
      <c r="C24" s="31"/>
      <c r="D24" s="31"/>
      <c r="E24" s="31"/>
    </row>
    <row r="25" spans="2:5" x14ac:dyDescent="0.3">
      <c r="B25" s="36"/>
      <c r="C25" s="31"/>
      <c r="D25" s="31"/>
      <c r="E25" s="31"/>
    </row>
    <row r="26" spans="2:5" ht="15" thickBot="1" x14ac:dyDescent="0.35"/>
    <row r="27" spans="2:5" x14ac:dyDescent="0.3">
      <c r="B27" s="190" t="s">
        <v>70</v>
      </c>
      <c r="C27" s="191"/>
      <c r="D27" s="191"/>
      <c r="E27" s="192"/>
    </row>
    <row r="28" spans="2:5" x14ac:dyDescent="0.3">
      <c r="B28" s="193" t="s">
        <v>71</v>
      </c>
      <c r="C28" s="194"/>
      <c r="D28" s="194"/>
      <c r="E28" s="195"/>
    </row>
    <row r="29" spans="2:5" x14ac:dyDescent="0.3">
      <c r="B29" s="9"/>
      <c r="C29" s="2"/>
      <c r="D29" s="2"/>
      <c r="E29" s="8"/>
    </row>
    <row r="30" spans="2:5" x14ac:dyDescent="0.3">
      <c r="B30" s="37"/>
      <c r="C30" s="27"/>
      <c r="D30" s="32"/>
      <c r="E30" s="24" t="s">
        <v>72</v>
      </c>
    </row>
    <row r="31" spans="2:5" ht="16.8" x14ac:dyDescent="0.3">
      <c r="B31" s="38" t="s">
        <v>73</v>
      </c>
      <c r="C31" s="33"/>
      <c r="D31" s="39"/>
      <c r="E31" s="40">
        <v>38.53</v>
      </c>
    </row>
    <row r="32" spans="2:5" ht="16.8" x14ac:dyDescent="0.3">
      <c r="B32" s="9" t="s">
        <v>74</v>
      </c>
      <c r="C32" s="33"/>
      <c r="D32" s="33"/>
      <c r="E32" s="12">
        <f>E31/1000</f>
        <v>3.8530000000000002E-2</v>
      </c>
    </row>
    <row r="33" spans="2:5" x14ac:dyDescent="0.3">
      <c r="B33" s="9"/>
      <c r="C33" s="2"/>
      <c r="D33" s="2"/>
      <c r="E33" s="8"/>
    </row>
    <row r="34" spans="2:5" x14ac:dyDescent="0.3">
      <c r="B34" s="7" t="s">
        <v>75</v>
      </c>
      <c r="C34" s="2"/>
      <c r="D34" s="2"/>
      <c r="E34" s="8"/>
    </row>
    <row r="35" spans="2:5" ht="17.399999999999999" thickBot="1" x14ac:dyDescent="0.35">
      <c r="B35" s="20" t="s">
        <v>76</v>
      </c>
      <c r="C35" s="30"/>
      <c r="D35" s="30"/>
      <c r="E35" s="21"/>
    </row>
    <row r="38" spans="2:5" ht="15" thickBot="1" x14ac:dyDescent="0.35"/>
    <row r="39" spans="2:5" x14ac:dyDescent="0.3">
      <c r="B39" s="190" t="s">
        <v>77</v>
      </c>
      <c r="C39" s="191"/>
      <c r="D39" s="191"/>
      <c r="E39" s="192"/>
    </row>
    <row r="40" spans="2:5" x14ac:dyDescent="0.3">
      <c r="B40" s="193" t="s">
        <v>78</v>
      </c>
      <c r="C40" s="194"/>
      <c r="D40" s="194"/>
      <c r="E40" s="195"/>
    </row>
    <row r="41" spans="2:5" x14ac:dyDescent="0.3">
      <c r="B41" s="9"/>
      <c r="C41" s="2"/>
      <c r="D41" s="2"/>
      <c r="E41" s="8"/>
    </row>
    <row r="42" spans="2:5" x14ac:dyDescent="0.3">
      <c r="B42" s="37" t="s">
        <v>67</v>
      </c>
      <c r="C42" s="32" t="s">
        <v>79</v>
      </c>
      <c r="D42" s="25" t="s">
        <v>80</v>
      </c>
      <c r="E42" s="41" t="s">
        <v>81</v>
      </c>
    </row>
    <row r="43" spans="2:5" x14ac:dyDescent="0.3">
      <c r="B43" s="9" t="s">
        <v>22</v>
      </c>
      <c r="C43" s="33" t="s">
        <v>82</v>
      </c>
      <c r="D43" s="33">
        <f>1/C9</f>
        <v>277.77777777777777</v>
      </c>
      <c r="E43" s="12" t="s">
        <v>50</v>
      </c>
    </row>
    <row r="44" spans="2:5" x14ac:dyDescent="0.3">
      <c r="B44" s="9" t="s">
        <v>21</v>
      </c>
      <c r="C44" s="33" t="s">
        <v>82</v>
      </c>
      <c r="D44" s="33">
        <f>1/(D19/1000)</f>
        <v>27.23311546840959</v>
      </c>
      <c r="E44" s="12" t="s">
        <v>49</v>
      </c>
    </row>
    <row r="45" spans="2:5" ht="15" thickBot="1" x14ac:dyDescent="0.35">
      <c r="B45" s="20" t="s">
        <v>10</v>
      </c>
      <c r="C45" s="42" t="s">
        <v>82</v>
      </c>
      <c r="D45" s="42">
        <f>1/(D20/1000)</f>
        <v>39.169604386995694</v>
      </c>
      <c r="E45" s="43" t="s">
        <v>49</v>
      </c>
    </row>
  </sheetData>
  <mergeCells count="7">
    <mergeCell ref="B40:E40"/>
    <mergeCell ref="B39:E39"/>
    <mergeCell ref="B4:E4"/>
    <mergeCell ref="D6:E6"/>
    <mergeCell ref="B16:E16"/>
    <mergeCell ref="B27:E27"/>
    <mergeCell ref="B28:E28"/>
  </mergeCells>
  <hyperlinks>
    <hyperlink ref="B13" r:id="rId1" display="https://apps.cer-rec.gc.ca/Conversion/conversion-tables.aspx?GoCTemplateCulture=en-CA" xr:uid="{BEF8296B-BE11-4BE1-80AC-D6F08B0F5D9A}"/>
    <hyperlink ref="B23" r:id="rId2" display="https://apps.cer-rec.gc.ca/Conversion/conversion-tables.aspx?GoCTemplateCulture=en-CA" xr:uid="{1EDCBC3B-DE63-4387-AE05-10DF5822F0A9}"/>
  </hyperlinks>
  <printOptions horizontalCentered="1"/>
  <pageMargins left="0.7" right="0.7" top="0.75" bottom="0.75" header="0.3" footer="0.3"/>
  <pageSetup scale="72" orientation="portrait" r:id="rId3"/>
  <customProperties>
    <customPr name="EpmWorksheetKeyString_GU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E552-4E3E-4F99-903F-18166049CDF2}">
  <dimension ref="B1:I14"/>
  <sheetViews>
    <sheetView showGridLines="0" view="pageBreakPreview" zoomScale="60" zoomScaleNormal="80" workbookViewId="0">
      <selection activeCell="O23" sqref="O23"/>
    </sheetView>
  </sheetViews>
  <sheetFormatPr defaultRowHeight="14.4" x14ac:dyDescent="0.3"/>
  <cols>
    <col min="1" max="1" width="3.44140625" customWidth="1"/>
    <col min="2" max="2" width="37.88671875" customWidth="1"/>
    <col min="3" max="3" width="12.5546875" customWidth="1"/>
    <col min="5" max="5" width="30.88671875" customWidth="1"/>
    <col min="6" max="6" width="12.44140625" customWidth="1"/>
    <col min="7" max="7" width="10.88671875" customWidth="1"/>
    <col min="8" max="8" width="11.88671875" customWidth="1"/>
    <col min="9" max="9" width="12.88671875" customWidth="1"/>
  </cols>
  <sheetData>
    <row r="1" spans="2:9" ht="22.8" x14ac:dyDescent="0.4">
      <c r="B1" s="1" t="s">
        <v>83</v>
      </c>
      <c r="C1" s="2"/>
      <c r="D1" s="2"/>
      <c r="E1" s="2"/>
      <c r="F1" s="2"/>
      <c r="G1" s="2"/>
      <c r="H1" s="2"/>
      <c r="I1" s="2"/>
    </row>
    <row r="2" spans="2:9" ht="15" thickBot="1" x14ac:dyDescent="0.35">
      <c r="B2" s="2"/>
      <c r="C2" s="2"/>
      <c r="D2" s="2"/>
      <c r="E2" s="2"/>
      <c r="F2" s="2"/>
      <c r="G2" s="2"/>
      <c r="H2" s="2"/>
      <c r="I2" s="2"/>
    </row>
    <row r="3" spans="2:9" x14ac:dyDescent="0.3">
      <c r="B3" s="190" t="s">
        <v>45</v>
      </c>
      <c r="C3" s="192"/>
      <c r="D3" s="2"/>
      <c r="E3" s="190" t="s">
        <v>84</v>
      </c>
      <c r="F3" s="191"/>
      <c r="G3" s="191"/>
      <c r="H3" s="191"/>
      <c r="I3" s="192"/>
    </row>
    <row r="4" spans="2:9" x14ac:dyDescent="0.3">
      <c r="B4" s="198" t="s">
        <v>85</v>
      </c>
      <c r="C4" s="199"/>
      <c r="D4" s="2"/>
      <c r="E4" s="198" t="s">
        <v>86</v>
      </c>
      <c r="F4" s="200"/>
      <c r="G4" s="200"/>
      <c r="H4" s="200"/>
      <c r="I4" s="199"/>
    </row>
    <row r="5" spans="2:9" x14ac:dyDescent="0.3">
      <c r="B5" s="4"/>
      <c r="C5" s="5"/>
      <c r="D5" s="2"/>
      <c r="E5" s="4"/>
      <c r="F5" s="6"/>
      <c r="G5" s="6"/>
      <c r="H5" s="6"/>
      <c r="I5" s="5"/>
    </row>
    <row r="6" spans="2:9" x14ac:dyDescent="0.3">
      <c r="B6" s="7" t="s">
        <v>87</v>
      </c>
      <c r="C6" s="8"/>
      <c r="D6" s="2"/>
      <c r="E6" s="9"/>
      <c r="F6" s="6" t="s">
        <v>20</v>
      </c>
      <c r="G6" s="6" t="s">
        <v>22</v>
      </c>
      <c r="H6" s="6" t="s">
        <v>21</v>
      </c>
      <c r="I6" s="5" t="s">
        <v>10</v>
      </c>
    </row>
    <row r="7" spans="2:9" x14ac:dyDescent="0.3">
      <c r="B7" s="10" t="s">
        <v>88</v>
      </c>
      <c r="C7" s="11">
        <v>0.7</v>
      </c>
      <c r="D7" s="2"/>
      <c r="E7" s="9"/>
      <c r="F7" s="6"/>
      <c r="G7" s="6"/>
      <c r="H7" s="6"/>
      <c r="I7" s="5"/>
    </row>
    <row r="8" spans="2:9" x14ac:dyDescent="0.3">
      <c r="B8" s="9"/>
      <c r="C8" s="12"/>
      <c r="D8" s="2"/>
      <c r="E8" s="7"/>
      <c r="F8" s="13"/>
      <c r="G8" s="13"/>
      <c r="H8" s="13"/>
      <c r="I8" s="14"/>
    </row>
    <row r="9" spans="2:9" x14ac:dyDescent="0.3">
      <c r="B9" s="7" t="s">
        <v>89</v>
      </c>
      <c r="C9" s="12"/>
      <c r="D9" s="2"/>
      <c r="E9" s="15" t="s">
        <v>88</v>
      </c>
      <c r="F9" s="16">
        <v>0.89239450407345144</v>
      </c>
      <c r="G9" s="16">
        <v>1</v>
      </c>
      <c r="H9" s="16">
        <v>0.83666666666666656</v>
      </c>
      <c r="I9" s="11">
        <v>0.84058826458036995</v>
      </c>
    </row>
    <row r="10" spans="2:9" x14ac:dyDescent="0.3">
      <c r="B10" s="10" t="s">
        <v>90</v>
      </c>
      <c r="C10" s="11">
        <v>0.3</v>
      </c>
      <c r="D10" s="2"/>
      <c r="E10" s="15" t="s">
        <v>90</v>
      </c>
      <c r="F10" s="16">
        <v>0.68459999999999999</v>
      </c>
      <c r="G10" s="16">
        <v>0.98027999999999993</v>
      </c>
      <c r="H10" s="16">
        <v>0.65</v>
      </c>
      <c r="I10" s="11">
        <v>0.68459999999999999</v>
      </c>
    </row>
    <row r="11" spans="2:9" x14ac:dyDescent="0.3">
      <c r="B11" s="9"/>
      <c r="C11" s="12"/>
      <c r="D11" s="2"/>
      <c r="E11" s="17"/>
      <c r="F11" s="2"/>
      <c r="G11" s="2"/>
      <c r="H11" s="2"/>
      <c r="I11" s="8"/>
    </row>
    <row r="12" spans="2:9" x14ac:dyDescent="0.3">
      <c r="B12" s="9" t="s">
        <v>91</v>
      </c>
      <c r="C12" s="18">
        <f>SUM(C7:C10)</f>
        <v>1</v>
      </c>
      <c r="D12" s="2"/>
      <c r="E12" s="15" t="s">
        <v>92</v>
      </c>
      <c r="F12" s="19">
        <f>$C$7*F9+$C$10*F10</f>
        <v>0.83005615285141598</v>
      </c>
      <c r="G12" s="19">
        <f>$C$7*G9+$C$10*G10</f>
        <v>0.99408399999999997</v>
      </c>
      <c r="H12" s="19">
        <f>$C$7*H9+$C$10*H10</f>
        <v>0.78066666666666662</v>
      </c>
      <c r="I12" s="18">
        <f>$C$7*I9+$C$10*I10</f>
        <v>0.79379178520625893</v>
      </c>
    </row>
    <row r="13" spans="2:9" ht="15" thickBot="1" x14ac:dyDescent="0.35">
      <c r="B13" s="20"/>
      <c r="C13" s="21"/>
      <c r="D13" s="2"/>
      <c r="E13" s="20"/>
      <c r="F13" s="22"/>
      <c r="G13" s="22"/>
      <c r="H13" s="22"/>
      <c r="I13" s="23"/>
    </row>
    <row r="14" spans="2:9" x14ac:dyDescent="0.3">
      <c r="B14" s="2"/>
      <c r="C14" s="2"/>
      <c r="D14" s="2"/>
      <c r="E14" s="2"/>
      <c r="F14" s="2"/>
      <c r="G14" s="2"/>
      <c r="H14" s="2"/>
      <c r="I14" s="2"/>
    </row>
  </sheetData>
  <mergeCells count="4">
    <mergeCell ref="B3:C3"/>
    <mergeCell ref="E3:I3"/>
    <mergeCell ref="B4:C4"/>
    <mergeCell ref="E4:I4"/>
  </mergeCells>
  <printOptions horizontalCentered="1"/>
  <pageMargins left="0.7" right="0.7" top="0.75" bottom="0.75" header="0.3" footer="0.3"/>
  <pageSetup scale="72" orientation="portrait" r:id="rId1"/>
  <colBreaks count="1" manualBreakCount="1">
    <brk id="4" max="13" man="1"/>
  </col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356F-E44C-44F1-A416-7C0F4C00711D}">
  <dimension ref="B1:E31"/>
  <sheetViews>
    <sheetView showGridLines="0" view="pageBreakPreview" topLeftCell="B1" zoomScale="60" zoomScaleNormal="80" workbookViewId="0">
      <selection activeCell="O23" sqref="O23"/>
    </sheetView>
  </sheetViews>
  <sheetFormatPr defaultRowHeight="14.4" x14ac:dyDescent="0.3"/>
  <cols>
    <col min="1" max="1" width="3.44140625" customWidth="1"/>
    <col min="2" max="2" width="33.5546875" customWidth="1"/>
    <col min="3" max="3" width="13.44140625" customWidth="1"/>
    <col min="4" max="4" width="12.5546875" customWidth="1"/>
    <col min="5" max="5" width="12.109375" customWidth="1"/>
  </cols>
  <sheetData>
    <row r="1" spans="2:5" ht="22.8" x14ac:dyDescent="0.4">
      <c r="B1" s="48" t="s">
        <v>93</v>
      </c>
      <c r="C1" s="49"/>
      <c r="D1" s="49"/>
    </row>
    <row r="2" spans="2:5" ht="23.4" thickBot="1" x14ac:dyDescent="0.45">
      <c r="B2" s="1"/>
      <c r="C2" s="49"/>
      <c r="D2" s="49"/>
    </row>
    <row r="3" spans="2:5" x14ac:dyDescent="0.3">
      <c r="B3" s="190" t="s">
        <v>45</v>
      </c>
      <c r="C3" s="191"/>
      <c r="D3" s="191"/>
      <c r="E3" s="192"/>
    </row>
    <row r="4" spans="2:5" x14ac:dyDescent="0.3">
      <c r="B4" s="201" t="s">
        <v>94</v>
      </c>
      <c r="C4" s="202"/>
      <c r="D4" s="202"/>
      <c r="E4" s="203"/>
    </row>
    <row r="5" spans="2:5" x14ac:dyDescent="0.3">
      <c r="B5" s="201" t="s">
        <v>95</v>
      </c>
      <c r="C5" s="202"/>
      <c r="D5" s="202"/>
      <c r="E5" s="203"/>
    </row>
    <row r="6" spans="2:5" x14ac:dyDescent="0.3">
      <c r="B6" s="3"/>
      <c r="C6" s="25"/>
      <c r="D6" s="25"/>
      <c r="E6" s="24"/>
    </row>
    <row r="7" spans="2:5" x14ac:dyDescent="0.3">
      <c r="B7" s="50"/>
      <c r="C7" s="33"/>
      <c r="D7" s="33"/>
      <c r="E7" s="12"/>
    </row>
    <row r="8" spans="2:5" x14ac:dyDescent="0.3">
      <c r="B8" s="79" t="s">
        <v>96</v>
      </c>
      <c r="C8" s="97" t="s">
        <v>97</v>
      </c>
      <c r="D8" s="96"/>
      <c r="E8" s="98"/>
    </row>
    <row r="9" spans="2:5" x14ac:dyDescent="0.3">
      <c r="B9" s="9"/>
      <c r="C9" s="2"/>
      <c r="D9" s="2"/>
      <c r="E9" s="8"/>
    </row>
    <row r="10" spans="2:5" x14ac:dyDescent="0.3">
      <c r="B10" s="9" t="s">
        <v>98</v>
      </c>
      <c r="C10" s="33" t="s">
        <v>48</v>
      </c>
      <c r="E10" s="51">
        <v>2400</v>
      </c>
    </row>
    <row r="11" spans="2:5" x14ac:dyDescent="0.3">
      <c r="B11" s="9"/>
      <c r="C11" s="33"/>
      <c r="D11" s="2"/>
      <c r="E11" s="52"/>
    </row>
    <row r="12" spans="2:5" x14ac:dyDescent="0.3">
      <c r="B12" s="53" t="s">
        <v>99</v>
      </c>
      <c r="C12" s="33" t="s">
        <v>100</v>
      </c>
      <c r="D12" s="99"/>
      <c r="E12" s="56">
        <v>274.56</v>
      </c>
    </row>
    <row r="13" spans="2:5" x14ac:dyDescent="0.3">
      <c r="B13" s="53" t="s">
        <v>101</v>
      </c>
      <c r="C13" s="33" t="s">
        <v>100</v>
      </c>
      <c r="D13" s="99"/>
      <c r="E13" s="56">
        <v>228.01</v>
      </c>
    </row>
    <row r="14" spans="2:5" x14ac:dyDescent="0.3">
      <c r="B14" s="53" t="s">
        <v>102</v>
      </c>
      <c r="C14" s="33" t="s">
        <v>100</v>
      </c>
      <c r="D14" s="99"/>
      <c r="E14" s="56">
        <v>36.22</v>
      </c>
    </row>
    <row r="15" spans="2:5" x14ac:dyDescent="0.3">
      <c r="B15" s="53" t="s">
        <v>103</v>
      </c>
      <c r="C15" s="33" t="s">
        <v>100</v>
      </c>
      <c r="D15" s="99"/>
      <c r="E15" s="56">
        <v>103.05</v>
      </c>
    </row>
    <row r="16" spans="2:5" x14ac:dyDescent="0.3">
      <c r="B16" s="53" t="s">
        <v>104</v>
      </c>
      <c r="C16" s="33" t="s">
        <v>100</v>
      </c>
      <c r="D16" s="99"/>
      <c r="E16" s="56">
        <v>317.56</v>
      </c>
    </row>
    <row r="17" spans="2:5" x14ac:dyDescent="0.3">
      <c r="B17" s="53" t="s">
        <v>105</v>
      </c>
      <c r="C17" s="33" t="s">
        <v>100</v>
      </c>
      <c r="D17" s="99"/>
      <c r="E17" s="56">
        <v>297.36</v>
      </c>
    </row>
    <row r="18" spans="2:5" x14ac:dyDescent="0.3">
      <c r="B18" s="53" t="s">
        <v>106</v>
      </c>
      <c r="C18" s="33" t="s">
        <v>100</v>
      </c>
      <c r="D18" s="100"/>
      <c r="E18" s="57"/>
    </row>
    <row r="19" spans="2:5" x14ac:dyDescent="0.3">
      <c r="B19" s="54" t="s">
        <v>107</v>
      </c>
      <c r="C19" s="33" t="s">
        <v>100</v>
      </c>
      <c r="D19" s="100">
        <v>48.93</v>
      </c>
      <c r="E19" s="57"/>
    </row>
    <row r="20" spans="2:5" x14ac:dyDescent="0.3">
      <c r="B20" s="54" t="s">
        <v>103</v>
      </c>
      <c r="C20" s="33" t="s">
        <v>100</v>
      </c>
      <c r="D20" s="100">
        <v>-0.93</v>
      </c>
      <c r="E20" s="57"/>
    </row>
    <row r="21" spans="2:5" x14ac:dyDescent="0.3">
      <c r="B21" s="54" t="s">
        <v>108</v>
      </c>
      <c r="C21" s="33" t="s">
        <v>100</v>
      </c>
      <c r="D21" s="58">
        <v>-16.170000000000002</v>
      </c>
      <c r="E21" s="59">
        <f>SUM(D19:D21)</f>
        <v>31.83</v>
      </c>
    </row>
    <row r="22" spans="2:5" x14ac:dyDescent="0.3">
      <c r="B22" s="53"/>
      <c r="C22" s="33"/>
      <c r="D22" s="100"/>
      <c r="E22" s="57"/>
    </row>
    <row r="23" spans="2:5" x14ac:dyDescent="0.3">
      <c r="B23" s="53" t="s">
        <v>109</v>
      </c>
      <c r="C23" s="33" t="s">
        <v>100</v>
      </c>
      <c r="D23" s="100"/>
      <c r="E23" s="59">
        <v>1288.58</v>
      </c>
    </row>
    <row r="24" spans="2:5" x14ac:dyDescent="0.3">
      <c r="B24" s="53"/>
      <c r="C24" s="2"/>
      <c r="D24" s="100"/>
      <c r="E24" s="57"/>
    </row>
    <row r="25" spans="2:5" x14ac:dyDescent="0.3">
      <c r="B25" s="53" t="s">
        <v>110</v>
      </c>
      <c r="C25" s="33" t="s">
        <v>100</v>
      </c>
      <c r="D25" s="100"/>
      <c r="E25" s="59">
        <f>ROUND(E23/E10,4)</f>
        <v>0.53690000000000004</v>
      </c>
    </row>
    <row r="26" spans="2:5" x14ac:dyDescent="0.3">
      <c r="B26" s="9" t="s">
        <v>111</v>
      </c>
      <c r="C26" s="33" t="s">
        <v>100</v>
      </c>
      <c r="D26" s="100"/>
      <c r="E26" s="59">
        <v>0.23</v>
      </c>
    </row>
    <row r="27" spans="2:5" x14ac:dyDescent="0.3">
      <c r="B27" s="53" t="s">
        <v>112</v>
      </c>
      <c r="C27" s="33" t="s">
        <v>100</v>
      </c>
      <c r="D27" s="100"/>
      <c r="E27" s="59">
        <f>E25+E26</f>
        <v>0.76690000000000003</v>
      </c>
    </row>
    <row r="28" spans="2:5" ht="15" thickBot="1" x14ac:dyDescent="0.35">
      <c r="B28" s="20"/>
      <c r="C28" s="30"/>
      <c r="D28" s="30"/>
      <c r="E28" s="55"/>
    </row>
    <row r="29" spans="2:5" x14ac:dyDescent="0.3">
      <c r="C29" s="2"/>
      <c r="D29" s="2"/>
      <c r="E29" s="2"/>
    </row>
    <row r="30" spans="2:5" x14ac:dyDescent="0.3">
      <c r="B30" s="73" t="s">
        <v>113</v>
      </c>
      <c r="C30" s="2"/>
      <c r="D30" s="2"/>
      <c r="E30" s="2"/>
    </row>
    <row r="31" spans="2:5" x14ac:dyDescent="0.3">
      <c r="B31" s="2" t="s">
        <v>114</v>
      </c>
    </row>
  </sheetData>
  <mergeCells count="3">
    <mergeCell ref="B3:E3"/>
    <mergeCell ref="B4:E4"/>
    <mergeCell ref="B5:E5"/>
  </mergeCells>
  <printOptions horizontalCentered="1"/>
  <pageMargins left="0.7" right="0.7" top="0.75" bottom="0.75" header="0.3" footer="0.3"/>
  <pageSetup scale="72"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8BA7-3A9E-4F48-80ED-706740A03CDB}">
  <dimension ref="B1:F26"/>
  <sheetViews>
    <sheetView showGridLines="0" view="pageBreakPreview" zoomScale="60" zoomScaleNormal="80" workbookViewId="0">
      <selection activeCell="O23" sqref="O23"/>
    </sheetView>
  </sheetViews>
  <sheetFormatPr defaultRowHeight="14.4" x14ac:dyDescent="0.3"/>
  <cols>
    <col min="1" max="1" width="3.44140625" customWidth="1"/>
    <col min="2" max="2" width="11.44140625" customWidth="1"/>
    <col min="3" max="3" width="21.109375" customWidth="1"/>
    <col min="4" max="4" width="14.44140625" customWidth="1"/>
    <col min="5" max="5" width="17.5546875" customWidth="1"/>
    <col min="6" max="6" width="19.44140625" customWidth="1"/>
  </cols>
  <sheetData>
    <row r="1" spans="2:6" ht="22.8" x14ac:dyDescent="0.4">
      <c r="B1" s="1" t="s">
        <v>115</v>
      </c>
      <c r="C1" s="60"/>
      <c r="D1" s="1"/>
      <c r="E1" s="1"/>
      <c r="F1" s="1"/>
    </row>
    <row r="2" spans="2:6" ht="23.4" thickBot="1" x14ac:dyDescent="0.45">
      <c r="B2" s="1"/>
      <c r="C2" s="60"/>
      <c r="D2" s="1"/>
      <c r="E2" s="1"/>
      <c r="F2" s="1"/>
    </row>
    <row r="3" spans="2:6" x14ac:dyDescent="0.3">
      <c r="B3" s="190" t="s">
        <v>45</v>
      </c>
      <c r="C3" s="191"/>
      <c r="D3" s="191"/>
      <c r="E3" s="191"/>
      <c r="F3" s="192"/>
    </row>
    <row r="4" spans="2:6" x14ac:dyDescent="0.3">
      <c r="B4" s="193" t="s">
        <v>116</v>
      </c>
      <c r="C4" s="194"/>
      <c r="D4" s="194"/>
      <c r="E4" s="194"/>
      <c r="F4" s="195"/>
    </row>
    <row r="5" spans="2:6" x14ac:dyDescent="0.3">
      <c r="B5" s="193"/>
      <c r="C5" s="194"/>
      <c r="D5" s="194"/>
      <c r="E5" s="194"/>
      <c r="F5" s="195"/>
    </row>
    <row r="6" spans="2:6" ht="55.8" x14ac:dyDescent="0.3">
      <c r="B6" s="45" t="s">
        <v>117</v>
      </c>
      <c r="C6" s="32" t="s">
        <v>118</v>
      </c>
      <c r="D6" s="32" t="s">
        <v>119</v>
      </c>
      <c r="E6" s="32" t="s">
        <v>120</v>
      </c>
      <c r="F6" s="41" t="s">
        <v>121</v>
      </c>
    </row>
    <row r="7" spans="2:6" x14ac:dyDescent="0.3">
      <c r="B7" s="61">
        <v>44927</v>
      </c>
      <c r="C7" s="62">
        <v>9.7899999999999991</v>
      </c>
      <c r="D7" s="33">
        <v>221.6</v>
      </c>
      <c r="E7" s="39">
        <f>D7/1.13</f>
        <v>196.10619469026551</v>
      </c>
      <c r="F7" s="40">
        <f>E7-$C7</f>
        <v>186.31619469026552</v>
      </c>
    </row>
    <row r="8" spans="2:6" x14ac:dyDescent="0.3">
      <c r="B8" s="61">
        <v>44958</v>
      </c>
      <c r="C8" s="62"/>
      <c r="D8" s="33"/>
      <c r="E8" s="39"/>
      <c r="F8" s="40"/>
    </row>
    <row r="9" spans="2:6" x14ac:dyDescent="0.3">
      <c r="B9" s="61">
        <v>44986</v>
      </c>
      <c r="C9" s="62"/>
      <c r="D9" s="33"/>
      <c r="E9" s="39"/>
      <c r="F9" s="40"/>
    </row>
    <row r="10" spans="2:6" x14ac:dyDescent="0.3">
      <c r="B10" s="61">
        <v>45017</v>
      </c>
      <c r="C10" s="62"/>
      <c r="D10" s="33"/>
      <c r="E10" s="39"/>
      <c r="F10" s="40"/>
    </row>
    <row r="11" spans="2:6" x14ac:dyDescent="0.3">
      <c r="B11" s="61">
        <v>45047</v>
      </c>
      <c r="C11" s="62"/>
      <c r="D11" s="33"/>
      <c r="E11" s="39"/>
      <c r="F11" s="40"/>
    </row>
    <row r="12" spans="2:6" x14ac:dyDescent="0.3">
      <c r="B12" s="61">
        <v>45078</v>
      </c>
      <c r="C12" s="62"/>
      <c r="D12" s="33"/>
      <c r="E12" s="39"/>
      <c r="F12" s="40"/>
    </row>
    <row r="13" spans="2:6" x14ac:dyDescent="0.3">
      <c r="B13" s="61">
        <v>45108</v>
      </c>
      <c r="C13" s="62"/>
      <c r="D13" s="33"/>
      <c r="E13" s="39"/>
      <c r="F13" s="40"/>
    </row>
    <row r="14" spans="2:6" x14ac:dyDescent="0.3">
      <c r="B14" s="61">
        <v>45139</v>
      </c>
      <c r="C14" s="62"/>
      <c r="D14" s="33"/>
      <c r="E14" s="39"/>
      <c r="F14" s="40"/>
    </row>
    <row r="15" spans="2:6" x14ac:dyDescent="0.3">
      <c r="B15" s="61">
        <v>45170</v>
      </c>
      <c r="C15" s="62"/>
      <c r="D15" s="33"/>
      <c r="E15" s="39"/>
      <c r="F15" s="40"/>
    </row>
    <row r="16" spans="2:6" x14ac:dyDescent="0.3">
      <c r="B16" s="61">
        <v>45200</v>
      </c>
      <c r="C16" s="62"/>
      <c r="D16" s="33"/>
      <c r="E16" s="62"/>
      <c r="F16" s="40"/>
    </row>
    <row r="17" spans="2:6" x14ac:dyDescent="0.3">
      <c r="B17" s="61">
        <v>45231</v>
      </c>
      <c r="C17" s="62"/>
      <c r="D17" s="33"/>
      <c r="E17" s="39"/>
      <c r="F17" s="40"/>
    </row>
    <row r="18" spans="2:6" x14ac:dyDescent="0.3">
      <c r="B18" s="61">
        <v>45261</v>
      </c>
      <c r="C18" s="62"/>
      <c r="D18" s="33"/>
      <c r="E18" s="39"/>
      <c r="F18" s="40"/>
    </row>
    <row r="19" spans="2:6" x14ac:dyDescent="0.3">
      <c r="B19" s="61"/>
      <c r="C19" s="62"/>
      <c r="D19" s="33"/>
      <c r="E19" s="39"/>
      <c r="F19" s="40"/>
    </row>
    <row r="20" spans="2:6" x14ac:dyDescent="0.3">
      <c r="B20" s="17" t="s">
        <v>122</v>
      </c>
      <c r="C20" s="63">
        <f>E7/100</f>
        <v>1.9610619469026551</v>
      </c>
      <c r="D20" s="64"/>
      <c r="E20" s="65"/>
      <c r="F20" s="29"/>
    </row>
    <row r="21" spans="2:6" ht="15" thickBot="1" x14ac:dyDescent="0.35">
      <c r="B21" s="66"/>
      <c r="C21" s="67"/>
      <c r="D21" s="42"/>
      <c r="E21" s="42"/>
      <c r="F21" s="43"/>
    </row>
    <row r="23" spans="2:6" x14ac:dyDescent="0.3">
      <c r="B23" s="194" t="s">
        <v>113</v>
      </c>
      <c r="C23" s="194"/>
      <c r="D23" s="2"/>
      <c r="E23" s="2"/>
      <c r="F23" s="2"/>
    </row>
    <row r="24" spans="2:6" x14ac:dyDescent="0.3">
      <c r="B24" s="69" t="s">
        <v>30</v>
      </c>
      <c r="C24" s="2" t="s">
        <v>123</v>
      </c>
      <c r="D24" s="2"/>
      <c r="E24" s="2"/>
      <c r="F24" s="2"/>
    </row>
    <row r="25" spans="2:6" ht="75.900000000000006" customHeight="1" x14ac:dyDescent="0.3">
      <c r="B25" s="120" t="s">
        <v>32</v>
      </c>
      <c r="C25" s="181" t="s">
        <v>124</v>
      </c>
      <c r="D25" s="181"/>
      <c r="E25" s="181"/>
      <c r="F25" s="181"/>
    </row>
    <row r="26" spans="2:6" x14ac:dyDescent="0.3">
      <c r="B26" s="69" t="s">
        <v>34</v>
      </c>
      <c r="C26" s="2" t="s">
        <v>125</v>
      </c>
      <c r="D26" s="2"/>
      <c r="E26" s="2"/>
      <c r="F26" s="2"/>
    </row>
  </sheetData>
  <mergeCells count="5">
    <mergeCell ref="B3:F3"/>
    <mergeCell ref="B4:F4"/>
    <mergeCell ref="B5:F5"/>
    <mergeCell ref="C25:F25"/>
    <mergeCell ref="B23:C23"/>
  </mergeCells>
  <printOptions horizontalCentered="1"/>
  <pageMargins left="0.7" right="0.7" top="0.75" bottom="0.75" header="0.3" footer="0.3"/>
  <pageSetup scale="72" orientation="portrait" r:id="rId1"/>
  <customProperties>
    <customPr name="EpmWorksheetKeyString_GUID" r:id="rId2"/>
  </customProperties>
  <ignoredErrors>
    <ignoredError sqref="B24:B2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5491-07CC-4259-BABA-5F06F1CC2C6F}">
  <dimension ref="B1:H32"/>
  <sheetViews>
    <sheetView showGridLines="0" view="pageBreakPreview" topLeftCell="A4" zoomScale="60" zoomScaleNormal="80" workbookViewId="0">
      <selection activeCell="O23" sqref="O23"/>
    </sheetView>
  </sheetViews>
  <sheetFormatPr defaultRowHeight="14.4" x14ac:dyDescent="0.3"/>
  <cols>
    <col min="1" max="1" width="3.44140625" customWidth="1"/>
    <col min="2" max="2" width="41" customWidth="1"/>
    <col min="3" max="3" width="12.5546875" customWidth="1"/>
    <col min="4" max="4" width="16.44140625" customWidth="1"/>
    <col min="5" max="5" width="13.109375" customWidth="1"/>
    <col min="6" max="6" width="43.44140625" customWidth="1"/>
    <col min="7" max="7" width="16.88671875" customWidth="1"/>
    <col min="8" max="8" width="12.5546875" customWidth="1"/>
  </cols>
  <sheetData>
    <row r="1" spans="2:8" ht="22.8" x14ac:dyDescent="0.4">
      <c r="B1" s="68" t="s">
        <v>126</v>
      </c>
    </row>
    <row r="3" spans="2:8" x14ac:dyDescent="0.3">
      <c r="B3" s="92" t="s">
        <v>127</v>
      </c>
      <c r="C3" s="93">
        <f>11.7%</f>
        <v>0.11699999999999999</v>
      </c>
      <c r="D3" s="74" t="s">
        <v>30</v>
      </c>
    </row>
    <row r="5" spans="2:8" ht="15" thickBot="1" x14ac:dyDescent="0.35">
      <c r="B5" s="2"/>
      <c r="C5" s="2"/>
      <c r="D5" s="2"/>
    </row>
    <row r="6" spans="2:8" x14ac:dyDescent="0.3">
      <c r="B6" s="204" t="s">
        <v>45</v>
      </c>
      <c r="C6" s="205"/>
      <c r="D6" s="206"/>
      <c r="F6" s="204" t="s">
        <v>84</v>
      </c>
      <c r="G6" s="205"/>
      <c r="H6" s="206"/>
    </row>
    <row r="7" spans="2:8" x14ac:dyDescent="0.3">
      <c r="B7" s="201" t="s">
        <v>128</v>
      </c>
      <c r="C7" s="202"/>
      <c r="D7" s="203"/>
      <c r="F7" s="201" t="s">
        <v>129</v>
      </c>
      <c r="G7" s="202"/>
      <c r="H7" s="203"/>
    </row>
    <row r="8" spans="2:8" x14ac:dyDescent="0.3">
      <c r="B8" s="201" t="s">
        <v>130</v>
      </c>
      <c r="C8" s="202"/>
      <c r="D8" s="203"/>
      <c r="F8" s="201" t="s">
        <v>131</v>
      </c>
      <c r="G8" s="202"/>
      <c r="H8" s="203"/>
    </row>
    <row r="9" spans="2:8" ht="17.399999999999999" x14ac:dyDescent="0.3">
      <c r="B9" s="50"/>
      <c r="C9" s="33"/>
      <c r="D9" s="12"/>
      <c r="F9" s="87"/>
      <c r="G9" s="2"/>
      <c r="H9" s="8"/>
    </row>
    <row r="10" spans="2:8" x14ac:dyDescent="0.3">
      <c r="B10" s="3"/>
      <c r="C10" s="25" t="s">
        <v>132</v>
      </c>
      <c r="D10" s="24" t="s">
        <v>133</v>
      </c>
      <c r="F10" s="84"/>
      <c r="G10" s="85"/>
      <c r="H10" s="86"/>
    </row>
    <row r="11" spans="2:8" x14ac:dyDescent="0.3">
      <c r="B11" s="17" t="s">
        <v>134</v>
      </c>
      <c r="C11" s="62">
        <v>15.1</v>
      </c>
      <c r="D11" s="11">
        <v>0.18</v>
      </c>
      <c r="F11" s="70"/>
      <c r="H11" s="71"/>
    </row>
    <row r="12" spans="2:8" x14ac:dyDescent="0.3">
      <c r="B12" s="17" t="s">
        <v>135</v>
      </c>
      <c r="C12" s="62">
        <v>10.199999999999999</v>
      </c>
      <c r="D12" s="11">
        <v>0.18</v>
      </c>
      <c r="F12" s="79" t="s">
        <v>136</v>
      </c>
      <c r="G12" s="88">
        <v>44927</v>
      </c>
      <c r="H12" s="8"/>
    </row>
    <row r="13" spans="2:8" x14ac:dyDescent="0.3">
      <c r="B13" s="17" t="s">
        <v>137</v>
      </c>
      <c r="C13" s="62">
        <v>7.4</v>
      </c>
      <c r="D13" s="11">
        <v>0.64</v>
      </c>
      <c r="F13" s="70"/>
      <c r="H13" s="71"/>
    </row>
    <row r="14" spans="2:8" x14ac:dyDescent="0.3">
      <c r="B14" s="70"/>
      <c r="D14" s="71"/>
      <c r="F14" s="54" t="s">
        <v>138</v>
      </c>
      <c r="G14" s="89">
        <f>60.72</f>
        <v>60.72</v>
      </c>
      <c r="H14" s="29" t="s">
        <v>139</v>
      </c>
    </row>
    <row r="15" spans="2:8" x14ac:dyDescent="0.3">
      <c r="B15" s="17" t="s">
        <v>140</v>
      </c>
      <c r="C15" s="39">
        <f>SUMPRODUCT(C11:C13,D11:D13)</f>
        <v>9.2900000000000009</v>
      </c>
      <c r="D15" s="8"/>
      <c r="F15" s="54" t="s">
        <v>141</v>
      </c>
      <c r="G15" s="90">
        <v>5.5999999999999999E-3</v>
      </c>
      <c r="H15" s="29" t="s">
        <v>142</v>
      </c>
    </row>
    <row r="16" spans="2:8" x14ac:dyDescent="0.3">
      <c r="B16" s="17" t="s">
        <v>143</v>
      </c>
      <c r="C16" s="75">
        <f>C15/100</f>
        <v>9.290000000000001E-2</v>
      </c>
      <c r="D16" s="8"/>
      <c r="F16" s="54" t="s">
        <v>144</v>
      </c>
      <c r="G16" s="89">
        <f>0.0111+0.0077</f>
        <v>1.8800000000000001E-2</v>
      </c>
      <c r="H16" s="29" t="s">
        <v>142</v>
      </c>
    </row>
    <row r="17" spans="2:8" ht="15" thickBot="1" x14ac:dyDescent="0.35">
      <c r="B17" s="76"/>
      <c r="C17" s="77"/>
      <c r="D17" s="78"/>
      <c r="F17" s="54" t="s">
        <v>145</v>
      </c>
      <c r="G17" s="89">
        <f>0.003+0.0004</f>
        <v>3.4000000000000002E-3</v>
      </c>
      <c r="H17" s="29" t="s">
        <v>142</v>
      </c>
    </row>
    <row r="18" spans="2:8" x14ac:dyDescent="0.3">
      <c r="F18" s="54" t="s">
        <v>146</v>
      </c>
      <c r="G18" s="89">
        <v>5.0000000000000001E-4</v>
      </c>
      <c r="H18" s="29" t="s">
        <v>142</v>
      </c>
    </row>
    <row r="19" spans="2:8" x14ac:dyDescent="0.3">
      <c r="B19" s="73" t="s">
        <v>113</v>
      </c>
      <c r="F19" s="54" t="s">
        <v>147</v>
      </c>
      <c r="G19" s="89">
        <v>1.0760000000000001</v>
      </c>
      <c r="H19" s="29"/>
    </row>
    <row r="20" spans="2:8" x14ac:dyDescent="0.3">
      <c r="B20" s="74" t="s">
        <v>148</v>
      </c>
      <c r="C20" s="72"/>
      <c r="F20" s="54" t="s">
        <v>149</v>
      </c>
      <c r="G20" s="89">
        <v>0.25</v>
      </c>
      <c r="H20" s="29" t="s">
        <v>139</v>
      </c>
    </row>
    <row r="21" spans="2:8" x14ac:dyDescent="0.3">
      <c r="B21" s="74" t="s">
        <v>150</v>
      </c>
      <c r="C21" s="2"/>
      <c r="F21" s="54" t="s">
        <v>151</v>
      </c>
      <c r="G21" s="69"/>
      <c r="H21" s="8"/>
    </row>
    <row r="22" spans="2:8" x14ac:dyDescent="0.3">
      <c r="B22" s="74" t="s">
        <v>152</v>
      </c>
      <c r="F22" s="83" t="s">
        <v>153</v>
      </c>
      <c r="G22" s="89">
        <v>0.42</v>
      </c>
      <c r="H22" s="29" t="s">
        <v>139</v>
      </c>
    </row>
    <row r="23" spans="2:8" x14ac:dyDescent="0.3">
      <c r="F23" s="80"/>
      <c r="G23" s="81"/>
      <c r="H23" s="28"/>
    </row>
    <row r="24" spans="2:8" x14ac:dyDescent="0.3">
      <c r="F24" s="9"/>
      <c r="G24" s="33"/>
      <c r="H24" s="8"/>
    </row>
    <row r="25" spans="2:8" x14ac:dyDescent="0.3">
      <c r="F25" s="54" t="s">
        <v>154</v>
      </c>
      <c r="G25" s="82">
        <f>SUM(G15:G18)+(G19)*C16</f>
        <v>0.12826040000000002</v>
      </c>
      <c r="H25" s="29" t="s">
        <v>142</v>
      </c>
    </row>
    <row r="26" spans="2:8" x14ac:dyDescent="0.3">
      <c r="F26" s="54" t="s">
        <v>155</v>
      </c>
      <c r="G26" s="82">
        <f>(1-C3)*G25</f>
        <v>0.11325393320000002</v>
      </c>
      <c r="H26" s="29" t="s">
        <v>142</v>
      </c>
    </row>
    <row r="27" spans="2:8" x14ac:dyDescent="0.3">
      <c r="F27" s="54" t="s">
        <v>156</v>
      </c>
      <c r="G27" s="91">
        <f>(G25-G15)*(1-C3)</f>
        <v>0.10830913320000003</v>
      </c>
      <c r="H27" s="29" t="s">
        <v>142</v>
      </c>
    </row>
    <row r="28" spans="2:8" ht="15" thickBot="1" x14ac:dyDescent="0.35">
      <c r="F28" s="76"/>
      <c r="G28" s="77"/>
      <c r="H28" s="78"/>
    </row>
    <row r="30" spans="2:8" x14ac:dyDescent="0.3">
      <c r="F30" s="95" t="s">
        <v>157</v>
      </c>
    </row>
    <row r="31" spans="2:8" x14ac:dyDescent="0.3">
      <c r="F31" s="44" t="s">
        <v>158</v>
      </c>
    </row>
    <row r="32" spans="2:8" x14ac:dyDescent="0.3">
      <c r="F32" s="94" t="s">
        <v>159</v>
      </c>
    </row>
  </sheetData>
  <mergeCells count="6">
    <mergeCell ref="B6:D6"/>
    <mergeCell ref="B7:D7"/>
    <mergeCell ref="B8:D8"/>
    <mergeCell ref="F6:H6"/>
    <mergeCell ref="F7:H7"/>
    <mergeCell ref="F8:H8"/>
  </mergeCells>
  <printOptions horizontalCentered="1"/>
  <pageMargins left="0.7" right="0.7" top="0.75" bottom="0.75" header="0.3" footer="0.3"/>
  <pageSetup scale="72" orientation="portrait" r:id="rId1"/>
  <colBreaks count="1" manualBreakCount="1">
    <brk id="5" max="31" man="1"/>
  </colBreaks>
  <customProperties>
    <customPr name="EpmWorksheetKeyString_GUID" r:id="rId2"/>
  </customProperties>
  <ignoredErrors>
    <ignoredError sqref="D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licant xmlns="c813d627-6812-41ba-b21c-8d274ce88239" xsi:nil="true"/>
    <EBnumber xmlns="c813d627-6812-41ba-b21c-8d274ce88239" xsi:nil="true"/>
    <CaseDescription xmlns="c813d627-6812-41ba-b21c-8d274ce882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8" ma:contentTypeDescription="Create a new document." ma:contentTypeScope="" ma:versionID="d38a0185a0202014d620fb48140057b2">
  <xsd:schema xmlns:xsd="http://www.w3.org/2001/XMLSchema" xmlns:xs="http://www.w3.org/2001/XMLSchema" xmlns:p="http://schemas.microsoft.com/office/2006/metadata/properties" xmlns:ns2="c813d627-6812-41ba-b21c-8d274ce88239" xmlns:ns3="e0893123-66fa-4b19-a433-47924ff5ec26" targetNamespace="http://schemas.microsoft.com/office/2006/metadata/properties" ma:root="true" ma:fieldsID="2c017d18e218596e49f5b8a979b2f4d5" ns2:_="" ns3:_="">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7E2E4A-F6F6-4B89-BCF0-FAD65AC512B6}">
  <ds:schemaRefs>
    <ds:schemaRef ds:uri="http://schemas.microsoft.com/office/2006/metadata/properties"/>
    <ds:schemaRef ds:uri="http://schemas.microsoft.com/office/infopath/2007/PartnerControls"/>
    <ds:schemaRef ds:uri="c813d627-6812-41ba-b21c-8d274ce88239"/>
  </ds:schemaRefs>
</ds:datastoreItem>
</file>

<file path=customXml/itemProps2.xml><?xml version="1.0" encoding="utf-8"?>
<ds:datastoreItem xmlns:ds="http://schemas.openxmlformats.org/officeDocument/2006/customXml" ds:itemID="{6889ECBA-65FD-4AE1-AEFB-C47D186CF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FAC7CF-65DA-4F83-8144-0B33254EE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Figure 1</vt:lpstr>
      <vt:lpstr>Table 1</vt:lpstr>
      <vt:lpstr>Summary</vt:lpstr>
      <vt:lpstr>Efficiency-Adjusted Conversion</vt:lpstr>
      <vt:lpstr>Energy Conversion</vt:lpstr>
      <vt:lpstr>Efficiency Factors</vt:lpstr>
      <vt:lpstr>Natural Gas Assumption</vt:lpstr>
      <vt:lpstr>Oil Assumptions</vt:lpstr>
      <vt:lpstr>Electricity Assumptions</vt:lpstr>
      <vt:lpstr>Propane Assumptions</vt:lpstr>
      <vt:lpstr>'Efficiency Factors'!Print_Area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Jenna Vanderveen</dc:creator>
  <cp:keywords/>
  <dc:description/>
  <cp:lastModifiedBy>Batul Rahimtoola</cp:lastModifiedBy>
  <cp:revision/>
  <dcterms:created xsi:type="dcterms:W3CDTF">2023-04-11T14:56:51Z</dcterms:created>
  <dcterms:modified xsi:type="dcterms:W3CDTF">2023-09-20T21:01:17Z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2023-04-11T14:56:52Z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e8cb24b5-eb70-4733-8db7-67073e599484</vt:lpwstr>
  </property>
  <property fmtid="{D5CDD505-2E9C-101B-9397-08002B2CF9AE}" pid="8" name="MSIP_Label_b1a6f161-e42b-4c47-8f69-f6a81e023e2d_ContentBits">
    <vt:lpwstr>0</vt:lpwstr>
  </property>
  <property fmtid="{D5CDD505-2E9C-101B-9397-08002B2CF9AE}" pid="9" name="_AdHocReviewCycleID">
    <vt:i4>2109580740</vt:i4>
  </property>
  <property fmtid="{D5CDD505-2E9C-101B-9397-08002B2CF9AE}" pid="10" name="_NewReviewCycle">
    <vt:lpwstr/>
  </property>
  <property fmtid="{D5CDD505-2E9C-101B-9397-08002B2CF9AE}" pid="11" name="_EmailSubject">
    <vt:lpwstr>EB-2022-0111 Bobcaygeon Community Expansion Project: OEB Staff Interrogatories</vt:lpwstr>
  </property>
  <property fmtid="{D5CDD505-2E9C-101B-9397-08002B2CF9AE}" pid="12" name="_AuthorEmail">
    <vt:lpwstr>Yukiko.Nishi@enbridge.com</vt:lpwstr>
  </property>
  <property fmtid="{D5CDD505-2E9C-101B-9397-08002B2CF9AE}" pid="13" name="_AuthorEmailDisplayName">
    <vt:lpwstr>Yukiko Nishi</vt:lpwstr>
  </property>
  <property fmtid="{D5CDD505-2E9C-101B-9397-08002B2CF9AE}" pid="14" name="MediaServiceImageTags">
    <vt:lpwstr/>
  </property>
  <property fmtid="{D5CDD505-2E9C-101B-9397-08002B2CF9AE}" pid="15" name="ContentTypeId">
    <vt:lpwstr>0x010100B03FF908193E414D9892E49E70D7829E</vt:lpwstr>
  </property>
  <property fmtid="{D5CDD505-2E9C-101B-9397-08002B2CF9AE}" pid="16" name="_PreviousAdHocReviewCycleID">
    <vt:i4>-283315344</vt:i4>
  </property>
  <property fmtid="{D5CDD505-2E9C-101B-9397-08002B2CF9AE}" pid="17" name="_ReviewingToolsShownOnce">
    <vt:lpwstr/>
  </property>
</Properties>
</file>