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XXXX - HONI - Renewable Generation Funding Request/Working Folder/Application and Evidence/PDF Folder - RRA/Excel - Live Folder/"/>
    </mc:Choice>
  </mc:AlternateContent>
  <xr:revisionPtr revIDLastSave="350" documentId="13_ncr:1_{4CDA4921-7190-4086-A97D-E051AB632787}" xr6:coauthVersionLast="47" xr6:coauthVersionMax="47" xr10:uidLastSave="{6394BDAE-5B3B-4646-ACD3-6FE3EBEF57EF}"/>
  <bookViews>
    <workbookView xWindow="-120" yWindow="-120" windowWidth="29040" windowHeight="15840" tabRatio="766" firstSheet="1" activeTab="1" xr2:uid="{00000000-000D-0000-FFFF-FFFF00000000}"/>
  </bookViews>
  <sheets>
    <sheet name="Summary" sheetId="6" state="hidden" r:id="rId1"/>
    <sheet name="1 - Renewable Gen Invst Summary" sheetId="11" r:id="rId2"/>
    <sheet name="2 - Fixed Asset Cont." sheetId="10" r:id="rId3"/>
    <sheet name="3 - Income Taxes &amp; UCC" sheetId="8" r:id="rId4"/>
    <sheet name="4 - Revenue Requirement " sheetId="9" r:id="rId5"/>
    <sheet name="Revenue Requirement" sheetId="1" state="hidden" r:id="rId6"/>
    <sheet name="Fixed Asset Continuity" sheetId="7" state="hidden" r:id="rId7"/>
  </sheets>
  <definedNames>
    <definedName name="_xlnm.Print_Area" localSheetId="4">'4 - Revenue Requirement '!$A$1:$X$39</definedName>
    <definedName name="_xlnm.Print_Area" localSheetId="5">'Revenue Requirement'!$A$1:$V$39</definedName>
    <definedName name="_xlnm.Print_Area" localSheetId="0">Summary!$A$1:$M$25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1" l="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B29" i="11"/>
  <c r="S7" i="11" l="1"/>
  <c r="C21" i="11" l="1"/>
  <c r="E10" i="9" l="1"/>
  <c r="C29" i="11"/>
  <c r="F24" i="9"/>
  <c r="D102" i="10" l="1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S21" i="11"/>
  <c r="S29" i="11" s="1"/>
  <c r="R21" i="11"/>
  <c r="R29" i="11" s="1"/>
  <c r="Q21" i="11"/>
  <c r="Q29" i="11" s="1"/>
  <c r="P21" i="11"/>
  <c r="P29" i="11" s="1"/>
  <c r="O21" i="11"/>
  <c r="O29" i="11" s="1"/>
  <c r="N21" i="11"/>
  <c r="M21" i="11"/>
  <c r="L21" i="11"/>
  <c r="K21" i="11"/>
  <c r="J21" i="11"/>
  <c r="I21" i="11"/>
  <c r="H21" i="11"/>
  <c r="G21" i="11"/>
  <c r="F21" i="11"/>
  <c r="E21" i="11"/>
  <c r="D21" i="11"/>
  <c r="S20" i="11"/>
  <c r="S28" i="11" s="1"/>
  <c r="R20" i="11"/>
  <c r="R28" i="11" s="1"/>
  <c r="Q20" i="11"/>
  <c r="Q28" i="11" s="1"/>
  <c r="P20" i="11"/>
  <c r="P28" i="11" s="1"/>
  <c r="O20" i="11"/>
  <c r="O28" i="11" s="1"/>
  <c r="N20" i="11"/>
  <c r="N28" i="11" s="1"/>
  <c r="M20" i="11"/>
  <c r="M28" i="11" s="1"/>
  <c r="L20" i="11"/>
  <c r="L28" i="11" s="1"/>
  <c r="K20" i="11"/>
  <c r="K28" i="11" s="1"/>
  <c r="J20" i="11"/>
  <c r="J28" i="11" s="1"/>
  <c r="I20" i="11"/>
  <c r="I28" i="11" s="1"/>
  <c r="H20" i="11"/>
  <c r="H28" i="11" s="1"/>
  <c r="G20" i="11"/>
  <c r="G28" i="11" s="1"/>
  <c r="F20" i="11"/>
  <c r="F28" i="11" s="1"/>
  <c r="E20" i="11"/>
  <c r="E28" i="11" s="1"/>
  <c r="D20" i="11"/>
  <c r="D28" i="11" s="1"/>
  <c r="C20" i="11"/>
  <c r="C28" i="11" s="1"/>
  <c r="B20" i="11"/>
  <c r="B28" i="11" s="1"/>
  <c r="G10" i="9" l="1"/>
  <c r="H24" i="9" s="1"/>
  <c r="D29" i="11"/>
  <c r="I10" i="9"/>
  <c r="J24" i="9" s="1"/>
  <c r="E29" i="11"/>
  <c r="K10" i="9"/>
  <c r="L24" i="9" s="1"/>
  <c r="F29" i="11"/>
  <c r="M10" i="9"/>
  <c r="I36" i="10" s="1"/>
  <c r="I38" i="10" s="1"/>
  <c r="I16" i="10" s="1"/>
  <c r="G29" i="11"/>
  <c r="O10" i="9"/>
  <c r="P24" i="9" s="1"/>
  <c r="H29" i="11"/>
  <c r="Q10" i="9"/>
  <c r="R24" i="9" s="1"/>
  <c r="I29" i="11"/>
  <c r="S10" i="9"/>
  <c r="T24" i="9" s="1"/>
  <c r="J29" i="11"/>
  <c r="U10" i="9"/>
  <c r="V24" i="9" s="1"/>
  <c r="K29" i="11"/>
  <c r="W10" i="9"/>
  <c r="X24" i="9" s="1"/>
  <c r="L29" i="11"/>
  <c r="Y10" i="9"/>
  <c r="Z24" i="9" s="1"/>
  <c r="M29" i="11"/>
  <c r="AA10" i="9"/>
  <c r="AB24" i="9" s="1"/>
  <c r="N29" i="11"/>
  <c r="N24" i="9"/>
  <c r="J36" i="10"/>
  <c r="J38" i="10" s="1"/>
  <c r="J16" i="10" s="1"/>
  <c r="E38" i="10"/>
  <c r="D38" i="10"/>
  <c r="P36" i="10"/>
  <c r="P38" i="10" s="1"/>
  <c r="P16" i="10" s="1"/>
  <c r="O36" i="10"/>
  <c r="O38" i="10" s="1"/>
  <c r="O16" i="10" s="1"/>
  <c r="N36" i="10"/>
  <c r="N38" i="10" s="1"/>
  <c r="N16" i="10" s="1"/>
  <c r="M36" i="10"/>
  <c r="M38" i="10" s="1"/>
  <c r="M16" i="10" s="1"/>
  <c r="L36" i="10"/>
  <c r="L38" i="10" s="1"/>
  <c r="L16" i="10" s="1"/>
  <c r="K36" i="10"/>
  <c r="K38" i="10" s="1"/>
  <c r="K16" i="10" s="1"/>
  <c r="H36" i="10"/>
  <c r="H38" i="10" s="1"/>
  <c r="H16" i="10" s="1"/>
  <c r="G36" i="10" l="1"/>
  <c r="G38" i="10" s="1"/>
  <c r="G16" i="10" s="1"/>
  <c r="F36" i="10"/>
  <c r="F38" i="10" s="1"/>
  <c r="F16" i="10" s="1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H85" i="10" l="1"/>
  <c r="G85" i="10"/>
  <c r="F85" i="10"/>
  <c r="E85" i="10"/>
  <c r="E104" i="10" s="1"/>
  <c r="D85" i="10"/>
  <c r="D104" i="10" s="1"/>
  <c r="F104" i="10" l="1"/>
  <c r="G104" i="10"/>
  <c r="H104" i="10"/>
  <c r="N11" i="9" l="1"/>
  <c r="D4" i="10"/>
  <c r="E53" i="10" l="1"/>
  <c r="F53" i="10"/>
  <c r="G53" i="10"/>
  <c r="H53" i="10"/>
  <c r="I53" i="10"/>
  <c r="J53" i="10"/>
  <c r="K53" i="10"/>
  <c r="L53" i="10"/>
  <c r="M53" i="10"/>
  <c r="N53" i="10"/>
  <c r="O53" i="10"/>
  <c r="P53" i="10"/>
  <c r="D53" i="10"/>
  <c r="H11" i="9"/>
  <c r="P5" i="10" l="1"/>
  <c r="P60" i="10"/>
  <c r="P89" i="10" s="1"/>
  <c r="P61" i="10"/>
  <c r="P96" i="10" s="1"/>
  <c r="P57" i="10"/>
  <c r="P86" i="10" s="1"/>
  <c r="P55" i="10"/>
  <c r="P84" i="10" s="1"/>
  <c r="P59" i="10"/>
  <c r="P88" i="10" s="1"/>
  <c r="P58" i="10"/>
  <c r="P87" i="10" s="1"/>
  <c r="P56" i="10"/>
  <c r="P85" i="10" s="1"/>
  <c r="H5" i="10"/>
  <c r="H61" i="10"/>
  <c r="H96" i="10" s="1"/>
  <c r="H60" i="10"/>
  <c r="H89" i="10" s="1"/>
  <c r="H58" i="10"/>
  <c r="H87" i="10" s="1"/>
  <c r="H57" i="10"/>
  <c r="H86" i="10" s="1"/>
  <c r="H59" i="10"/>
  <c r="H88" i="10" s="1"/>
  <c r="H55" i="10"/>
  <c r="H84" i="10" s="1"/>
  <c r="O5" i="10"/>
  <c r="O59" i="10"/>
  <c r="O88" i="10" s="1"/>
  <c r="O58" i="10"/>
  <c r="O87" i="10" s="1"/>
  <c r="O57" i="10"/>
  <c r="O86" i="10" s="1"/>
  <c r="O55" i="10"/>
  <c r="O84" i="10" s="1"/>
  <c r="O60" i="10"/>
  <c r="O89" i="10" s="1"/>
  <c r="O61" i="10"/>
  <c r="O96" i="10" s="1"/>
  <c r="O56" i="10"/>
  <c r="O85" i="10" s="1"/>
  <c r="G5" i="10"/>
  <c r="G58" i="10"/>
  <c r="G87" i="10" s="1"/>
  <c r="G57" i="10"/>
  <c r="G86" i="10" s="1"/>
  <c r="G60" i="10"/>
  <c r="G89" i="10" s="1"/>
  <c r="G59" i="10"/>
  <c r="G88" i="10" s="1"/>
  <c r="G61" i="10"/>
  <c r="G96" i="10" s="1"/>
  <c r="G55" i="10"/>
  <c r="G84" i="10" s="1"/>
  <c r="I5" i="10"/>
  <c r="I59" i="10"/>
  <c r="I88" i="10" s="1"/>
  <c r="I61" i="10"/>
  <c r="I96" i="10" s="1"/>
  <c r="I60" i="10"/>
  <c r="I89" i="10" s="1"/>
  <c r="I58" i="10"/>
  <c r="I87" i="10" s="1"/>
  <c r="I57" i="10"/>
  <c r="I86" i="10" s="1"/>
  <c r="I55" i="10"/>
  <c r="I84" i="10" s="1"/>
  <c r="I56" i="10"/>
  <c r="I85" i="10" s="1"/>
  <c r="I104" i="10" s="1"/>
  <c r="D5" i="10"/>
  <c r="D6" i="10" s="1"/>
  <c r="E4" i="10" s="1"/>
  <c r="D57" i="10"/>
  <c r="C56" i="10"/>
  <c r="D58" i="10"/>
  <c r="D55" i="10"/>
  <c r="D61" i="10"/>
  <c r="D60" i="10"/>
  <c r="D59" i="10"/>
  <c r="N5" i="10"/>
  <c r="N57" i="10"/>
  <c r="N86" i="10" s="1"/>
  <c r="N59" i="10"/>
  <c r="N88" i="10" s="1"/>
  <c r="N55" i="10"/>
  <c r="N84" i="10" s="1"/>
  <c r="N61" i="10"/>
  <c r="N96" i="10" s="1"/>
  <c r="N60" i="10"/>
  <c r="N89" i="10" s="1"/>
  <c r="N58" i="10"/>
  <c r="N87" i="10" s="1"/>
  <c r="N56" i="10"/>
  <c r="N85" i="10" s="1"/>
  <c r="F5" i="10"/>
  <c r="F58" i="10"/>
  <c r="F87" i="10" s="1"/>
  <c r="F61" i="10"/>
  <c r="F96" i="10" s="1"/>
  <c r="F60" i="10"/>
  <c r="F89" i="10" s="1"/>
  <c r="F59" i="10"/>
  <c r="F88" i="10" s="1"/>
  <c r="F57" i="10"/>
  <c r="F86" i="10" s="1"/>
  <c r="F55" i="10"/>
  <c r="F84" i="10" s="1"/>
  <c r="M5" i="10"/>
  <c r="M55" i="10"/>
  <c r="M84" i="10" s="1"/>
  <c r="M59" i="10"/>
  <c r="M88" i="10" s="1"/>
  <c r="M61" i="10"/>
  <c r="M96" i="10" s="1"/>
  <c r="M60" i="10"/>
  <c r="M89" i="10" s="1"/>
  <c r="M58" i="10"/>
  <c r="M87" i="10" s="1"/>
  <c r="M57" i="10"/>
  <c r="M86" i="10" s="1"/>
  <c r="M56" i="10"/>
  <c r="M85" i="10" s="1"/>
  <c r="E5" i="10"/>
  <c r="E58" i="10"/>
  <c r="E87" i="10" s="1"/>
  <c r="E60" i="10"/>
  <c r="E89" i="10" s="1"/>
  <c r="E59" i="10"/>
  <c r="E88" i="10" s="1"/>
  <c r="E61" i="10"/>
  <c r="E96" i="10" s="1"/>
  <c r="E55" i="10"/>
  <c r="E84" i="10" s="1"/>
  <c r="E57" i="10"/>
  <c r="E86" i="10" s="1"/>
  <c r="J5" i="10"/>
  <c r="J60" i="10"/>
  <c r="J89" i="10" s="1"/>
  <c r="J61" i="10"/>
  <c r="J96" i="10" s="1"/>
  <c r="J58" i="10"/>
  <c r="J87" i="10" s="1"/>
  <c r="J57" i="10"/>
  <c r="J86" i="10" s="1"/>
  <c r="J59" i="10"/>
  <c r="J88" i="10" s="1"/>
  <c r="J55" i="10"/>
  <c r="J84" i="10" s="1"/>
  <c r="J56" i="10"/>
  <c r="J85" i="10" s="1"/>
  <c r="L5" i="10"/>
  <c r="L61" i="10"/>
  <c r="L96" i="10" s="1"/>
  <c r="L55" i="10"/>
  <c r="L84" i="10" s="1"/>
  <c r="L60" i="10"/>
  <c r="L89" i="10" s="1"/>
  <c r="L57" i="10"/>
  <c r="L86" i="10" s="1"/>
  <c r="L59" i="10"/>
  <c r="L88" i="10" s="1"/>
  <c r="L58" i="10"/>
  <c r="L87" i="10" s="1"/>
  <c r="L56" i="10"/>
  <c r="L85" i="10" s="1"/>
  <c r="K5" i="10"/>
  <c r="K60" i="10"/>
  <c r="K89" i="10" s="1"/>
  <c r="K59" i="10"/>
  <c r="K88" i="10" s="1"/>
  <c r="K58" i="10"/>
  <c r="K87" i="10" s="1"/>
  <c r="K55" i="10"/>
  <c r="K84" i="10" s="1"/>
  <c r="K61" i="10"/>
  <c r="K96" i="10" s="1"/>
  <c r="K57" i="10"/>
  <c r="K86" i="10" s="1"/>
  <c r="K56" i="10"/>
  <c r="K85" i="10" s="1"/>
  <c r="K104" i="10" s="1"/>
  <c r="Z11" i="9"/>
  <c r="E6" i="10" l="1"/>
  <c r="F4" i="10" s="1"/>
  <c r="J104" i="10"/>
  <c r="P104" i="10"/>
  <c r="M97" i="10"/>
  <c r="M5" i="8" s="1"/>
  <c r="M6" i="8" s="1"/>
  <c r="N104" i="10"/>
  <c r="D88" i="10"/>
  <c r="D107" i="10" s="1"/>
  <c r="C59" i="10"/>
  <c r="G97" i="10"/>
  <c r="G5" i="8" s="1"/>
  <c r="G6" i="8" s="1"/>
  <c r="H97" i="10"/>
  <c r="H5" i="8" s="1"/>
  <c r="H6" i="8" s="1"/>
  <c r="L97" i="10"/>
  <c r="L5" i="8" s="1"/>
  <c r="L6" i="8" s="1"/>
  <c r="F97" i="10"/>
  <c r="F5" i="8" s="1"/>
  <c r="F6" i="8" s="1"/>
  <c r="D89" i="10"/>
  <c r="D108" i="10" s="1"/>
  <c r="C60" i="10"/>
  <c r="I97" i="10"/>
  <c r="I5" i="8" s="1"/>
  <c r="I6" i="8" s="1"/>
  <c r="P97" i="10"/>
  <c r="P5" i="8" s="1"/>
  <c r="P6" i="8" s="1"/>
  <c r="K97" i="10"/>
  <c r="K5" i="8" s="1"/>
  <c r="K6" i="8" s="1"/>
  <c r="M104" i="10"/>
  <c r="D96" i="10"/>
  <c r="D113" i="10" s="1"/>
  <c r="C61" i="10"/>
  <c r="O97" i="10"/>
  <c r="O5" i="8" s="1"/>
  <c r="O6" i="8" s="1"/>
  <c r="C57" i="10"/>
  <c r="D86" i="10"/>
  <c r="L105" i="10" s="1"/>
  <c r="D84" i="10"/>
  <c r="G103" i="10" s="1"/>
  <c r="C55" i="10"/>
  <c r="O104" i="10"/>
  <c r="L104" i="10"/>
  <c r="J97" i="10"/>
  <c r="J5" i="8" s="1"/>
  <c r="J6" i="8" s="1"/>
  <c r="E97" i="10"/>
  <c r="E5" i="8" s="1"/>
  <c r="E6" i="8" s="1"/>
  <c r="N97" i="10"/>
  <c r="N5" i="8" s="1"/>
  <c r="N6" i="8" s="1"/>
  <c r="C58" i="10"/>
  <c r="D87" i="10"/>
  <c r="D106" i="10" s="1"/>
  <c r="O107" i="10"/>
  <c r="F6" i="10"/>
  <c r="G4" i="10" s="1"/>
  <c r="G6" i="10" s="1"/>
  <c r="H4" i="10" s="1"/>
  <c r="H6" i="10" s="1"/>
  <c r="I4" i="10" s="1"/>
  <c r="I6" i="10" s="1"/>
  <c r="J4" i="10" s="1"/>
  <c r="J6" i="10" s="1"/>
  <c r="K4" i="10" s="1"/>
  <c r="K6" i="10" s="1"/>
  <c r="L4" i="10" s="1"/>
  <c r="L6" i="10" s="1"/>
  <c r="M4" i="10" s="1"/>
  <c r="M6" i="10" s="1"/>
  <c r="N4" i="10" s="1"/>
  <c r="N6" i="10" s="1"/>
  <c r="O4" i="10" s="1"/>
  <c r="O6" i="10" s="1"/>
  <c r="P4" i="10" s="1"/>
  <c r="P6" i="10" s="1"/>
  <c r="E103" i="10" l="1"/>
  <c r="N103" i="10"/>
  <c r="G107" i="10"/>
  <c r="O105" i="10"/>
  <c r="N107" i="10"/>
  <c r="G105" i="10"/>
  <c r="J105" i="10"/>
  <c r="H107" i="10"/>
  <c r="J107" i="10"/>
  <c r="J103" i="10"/>
  <c r="H108" i="10"/>
  <c r="M107" i="10"/>
  <c r="I103" i="10"/>
  <c r="K108" i="10"/>
  <c r="K107" i="10"/>
  <c r="P105" i="10"/>
  <c r="I107" i="10"/>
  <c r="M105" i="10"/>
  <c r="K103" i="10"/>
  <c r="G108" i="10"/>
  <c r="N108" i="10"/>
  <c r="M108" i="10"/>
  <c r="P108" i="10"/>
  <c r="M106" i="10"/>
  <c r="F105" i="10"/>
  <c r="F103" i="10"/>
  <c r="E108" i="10"/>
  <c r="M113" i="10"/>
  <c r="H105" i="10"/>
  <c r="I108" i="10"/>
  <c r="O108" i="10"/>
  <c r="H103" i="10"/>
  <c r="E113" i="10"/>
  <c r="G113" i="10"/>
  <c r="J108" i="10"/>
  <c r="O113" i="10"/>
  <c r="M103" i="10"/>
  <c r="E106" i="10"/>
  <c r="K105" i="10"/>
  <c r="I106" i="10"/>
  <c r="T5" i="8"/>
  <c r="T6" i="8" s="1"/>
  <c r="U5" i="8"/>
  <c r="U6" i="8" s="1"/>
  <c r="R5" i="8"/>
  <c r="R6" i="8" s="1"/>
  <c r="J106" i="10"/>
  <c r="J113" i="10"/>
  <c r="P106" i="10"/>
  <c r="S5" i="8"/>
  <c r="S6" i="8" s="1"/>
  <c r="H106" i="10"/>
  <c r="G106" i="10"/>
  <c r="L106" i="10"/>
  <c r="D103" i="10"/>
  <c r="D97" i="10"/>
  <c r="D5" i="8" s="1"/>
  <c r="D6" i="8" s="1"/>
  <c r="D7" i="8" s="1"/>
  <c r="D8" i="8" s="1"/>
  <c r="D9" i="8" s="1"/>
  <c r="E4" i="8" s="1"/>
  <c r="E7" i="8" s="1"/>
  <c r="E8" i="8" s="1"/>
  <c r="K106" i="10"/>
  <c r="O103" i="10"/>
  <c r="L103" i="10"/>
  <c r="F106" i="10"/>
  <c r="L108" i="10"/>
  <c r="K113" i="10"/>
  <c r="I113" i="10"/>
  <c r="N113" i="10"/>
  <c r="L113" i="10"/>
  <c r="H113" i="10"/>
  <c r="F108" i="10"/>
  <c r="P113" i="10"/>
  <c r="F107" i="10"/>
  <c r="E105" i="10"/>
  <c r="D105" i="10"/>
  <c r="I105" i="10"/>
  <c r="P103" i="10"/>
  <c r="N106" i="10"/>
  <c r="L107" i="10"/>
  <c r="N105" i="10"/>
  <c r="F113" i="10"/>
  <c r="O106" i="10"/>
  <c r="P107" i="10"/>
  <c r="E107" i="10"/>
  <c r="P11" i="9"/>
  <c r="L11" i="9"/>
  <c r="J11" i="9"/>
  <c r="F11" i="9"/>
  <c r="AB11" i="9"/>
  <c r="X11" i="9"/>
  <c r="V11" i="9"/>
  <c r="T11" i="9"/>
  <c r="R11" i="9"/>
  <c r="G114" i="10" l="1"/>
  <c r="N114" i="10"/>
  <c r="N10" i="10" s="1"/>
  <c r="K114" i="10"/>
  <c r="K10" i="10" s="1"/>
  <c r="M114" i="10"/>
  <c r="V25" i="9" s="1"/>
  <c r="I114" i="10"/>
  <c r="N25" i="9" s="1"/>
  <c r="H114" i="10"/>
  <c r="F114" i="10"/>
  <c r="H25" i="9" s="1"/>
  <c r="E114" i="10"/>
  <c r="F25" i="9" s="1"/>
  <c r="J114" i="10"/>
  <c r="J10" i="10" s="1"/>
  <c r="G10" i="10"/>
  <c r="J25" i="9"/>
  <c r="H10" i="10"/>
  <c r="L25" i="9"/>
  <c r="F10" i="10"/>
  <c r="D114" i="10"/>
  <c r="L114" i="10"/>
  <c r="P114" i="10"/>
  <c r="O114" i="10"/>
  <c r="E9" i="8"/>
  <c r="F4" i="8" s="1"/>
  <c r="F7" i="8" s="1"/>
  <c r="F8" i="8" s="1"/>
  <c r="X25" i="9" l="1"/>
  <c r="M10" i="10"/>
  <c r="E16" i="8"/>
  <c r="E17" i="8" s="1"/>
  <c r="P25" i="9"/>
  <c r="E10" i="10"/>
  <c r="I10" i="10"/>
  <c r="R25" i="9"/>
  <c r="L10" i="10"/>
  <c r="T25" i="9"/>
  <c r="P10" i="10"/>
  <c r="AB25" i="9"/>
  <c r="O10" i="10"/>
  <c r="Z25" i="9"/>
  <c r="D10" i="10"/>
  <c r="D11" i="10" s="1"/>
  <c r="D25" i="9"/>
  <c r="D16" i="8"/>
  <c r="D17" i="8" s="1"/>
  <c r="F9" i="8"/>
  <c r="G4" i="8" s="1"/>
  <c r="G7" i="8" s="1"/>
  <c r="G8" i="8" s="1"/>
  <c r="F16" i="8"/>
  <c r="F17" i="8" s="1"/>
  <c r="E9" i="10" l="1"/>
  <c r="E11" i="10" s="1"/>
  <c r="D13" i="10"/>
  <c r="D15" i="10" s="1"/>
  <c r="D17" i="10" s="1"/>
  <c r="D9" i="9" s="1"/>
  <c r="D12" i="9" s="1"/>
  <c r="G9" i="8"/>
  <c r="H4" i="8" s="1"/>
  <c r="H7" i="8" s="1"/>
  <c r="H8" i="8" s="1"/>
  <c r="G16" i="8"/>
  <c r="G17" i="8" s="1"/>
  <c r="D20" i="1"/>
  <c r="D21" i="1"/>
  <c r="D19" i="1"/>
  <c r="F21" i="1"/>
  <c r="F20" i="1"/>
  <c r="F19" i="1"/>
  <c r="J21" i="1"/>
  <c r="J20" i="1"/>
  <c r="J19" i="1"/>
  <c r="H21" i="1"/>
  <c r="H20" i="1"/>
  <c r="H19" i="1"/>
  <c r="L21" i="1"/>
  <c r="L20" i="1"/>
  <c r="L19" i="1"/>
  <c r="N21" i="1"/>
  <c r="N20" i="1"/>
  <c r="N19" i="1"/>
  <c r="P19" i="1"/>
  <c r="P21" i="1"/>
  <c r="P20" i="1"/>
  <c r="D11" i="1"/>
  <c r="D12" i="1" s="1"/>
  <c r="F11" i="1"/>
  <c r="F12" i="1" s="1"/>
  <c r="H11" i="1"/>
  <c r="H12" i="1" s="1"/>
  <c r="J11" i="1"/>
  <c r="J12" i="1" s="1"/>
  <c r="L11" i="1"/>
  <c r="L12" i="1" s="1"/>
  <c r="N11" i="1"/>
  <c r="N12" i="1" s="1"/>
  <c r="O10" i="1"/>
  <c r="P11" i="1" s="1"/>
  <c r="P12" i="1" s="1"/>
  <c r="D19" i="9" l="1"/>
  <c r="D21" i="9"/>
  <c r="D13" i="8" s="1"/>
  <c r="D14" i="8" s="1"/>
  <c r="D19" i="8" s="1"/>
  <c r="D26" i="9" s="1"/>
  <c r="D20" i="9"/>
  <c r="F9" i="10"/>
  <c r="F11" i="10" s="1"/>
  <c r="E13" i="10"/>
  <c r="E15" i="10" s="1"/>
  <c r="E17" i="10" s="1"/>
  <c r="F9" i="9" s="1"/>
  <c r="F12" i="9" s="1"/>
  <c r="H9" i="8"/>
  <c r="I4" i="8" s="1"/>
  <c r="I7" i="8" s="1"/>
  <c r="I8" i="8" s="1"/>
  <c r="H16" i="8"/>
  <c r="H17" i="8" s="1"/>
  <c r="D22" i="1"/>
  <c r="D28" i="1" s="1"/>
  <c r="F19" i="9" l="1"/>
  <c r="F21" i="9"/>
  <c r="E13" i="8" s="1"/>
  <c r="E14" i="8" s="1"/>
  <c r="E19" i="8" s="1"/>
  <c r="F26" i="9" s="1"/>
  <c r="F20" i="9"/>
  <c r="G9" i="10"/>
  <c r="G11" i="10" s="1"/>
  <c r="F13" i="10"/>
  <c r="F15" i="10" s="1"/>
  <c r="D22" i="9"/>
  <c r="D28" i="9" s="1"/>
  <c r="I9" i="8"/>
  <c r="J4" i="8" s="1"/>
  <c r="J7" i="8" s="1"/>
  <c r="J8" i="8" s="1"/>
  <c r="I16" i="8"/>
  <c r="I17" i="8" s="1"/>
  <c r="H6" i="7"/>
  <c r="G6" i="7"/>
  <c r="Y10" i="1"/>
  <c r="Z11" i="1" s="1"/>
  <c r="Z12" i="1" s="1"/>
  <c r="H48" i="7"/>
  <c r="G48" i="7"/>
  <c r="H33" i="7"/>
  <c r="G33" i="7"/>
  <c r="H16" i="7"/>
  <c r="H18" i="7" s="1"/>
  <c r="G14" i="7"/>
  <c r="H10" i="7"/>
  <c r="H12" i="7" s="1"/>
  <c r="H14" i="7" s="1"/>
  <c r="H5" i="7"/>
  <c r="H7" i="7" s="1"/>
  <c r="F11" i="7"/>
  <c r="F12" i="7" s="1"/>
  <c r="F48" i="7"/>
  <c r="F10" i="7"/>
  <c r="F7" i="7"/>
  <c r="F6" i="7"/>
  <c r="F33" i="7"/>
  <c r="F5" i="7"/>
  <c r="X25" i="1"/>
  <c r="X24" i="1"/>
  <c r="W10" i="1" s="1"/>
  <c r="X11" i="1" s="1"/>
  <c r="X12" i="1" s="1"/>
  <c r="D74" i="9" l="1"/>
  <c r="F22" i="9"/>
  <c r="F28" i="9" s="1"/>
  <c r="H9" i="9"/>
  <c r="H12" i="9" s="1"/>
  <c r="F17" i="10"/>
  <c r="H9" i="10"/>
  <c r="H11" i="10" s="1"/>
  <c r="G13" i="10"/>
  <c r="G15" i="10" s="1"/>
  <c r="J9" i="8"/>
  <c r="K4" i="8" s="1"/>
  <c r="K7" i="8" s="1"/>
  <c r="K8" i="8" s="1"/>
  <c r="J16" i="8"/>
  <c r="J17" i="8" s="1"/>
  <c r="Z20" i="1"/>
  <c r="Z19" i="1"/>
  <c r="Z21" i="1"/>
  <c r="X20" i="1"/>
  <c r="X21" i="1"/>
  <c r="F14" i="7"/>
  <c r="F16" i="7"/>
  <c r="F18" i="7" s="1"/>
  <c r="G16" i="7"/>
  <c r="G18" i="7" s="1"/>
  <c r="F74" i="9" l="1"/>
  <c r="G17" i="10"/>
  <c r="J9" i="9"/>
  <c r="J12" i="9" s="1"/>
  <c r="H13" i="10"/>
  <c r="H15" i="10" s="1"/>
  <c r="I9" i="10"/>
  <c r="I11" i="10" s="1"/>
  <c r="H20" i="9"/>
  <c r="H19" i="9"/>
  <c r="H21" i="9"/>
  <c r="F13" i="8" s="1"/>
  <c r="F14" i="8" s="1"/>
  <c r="F19" i="8" s="1"/>
  <c r="H26" i="9" s="1"/>
  <c r="K9" i="8"/>
  <c r="L4" i="8" s="1"/>
  <c r="L7" i="8" s="1"/>
  <c r="L8" i="8" s="1"/>
  <c r="K16" i="8"/>
  <c r="K17" i="8" s="1"/>
  <c r="AB24" i="1"/>
  <c r="AA10" i="1"/>
  <c r="AB11" i="1" s="1"/>
  <c r="AB12" i="1" s="1"/>
  <c r="E16" i="7"/>
  <c r="H22" i="9" l="1"/>
  <c r="H28" i="9" s="1"/>
  <c r="J9" i="10"/>
  <c r="J11" i="10" s="1"/>
  <c r="I13" i="10"/>
  <c r="I15" i="10" s="1"/>
  <c r="H17" i="10"/>
  <c r="L9" i="9"/>
  <c r="L12" i="9" s="1"/>
  <c r="J19" i="9"/>
  <c r="J20" i="9"/>
  <c r="J21" i="9"/>
  <c r="G13" i="8" s="1"/>
  <c r="G14" i="8" s="1"/>
  <c r="G19" i="8" s="1"/>
  <c r="J26" i="9" s="1"/>
  <c r="L9" i="8"/>
  <c r="M4" i="8" s="1"/>
  <c r="M7" i="8" s="1"/>
  <c r="M8" i="8" s="1"/>
  <c r="L16" i="8"/>
  <c r="L17" i="8" s="1"/>
  <c r="AB19" i="1"/>
  <c r="AB20" i="1"/>
  <c r="AB21" i="1"/>
  <c r="AB26" i="1" s="1"/>
  <c r="C14" i="7"/>
  <c r="H74" i="9" l="1"/>
  <c r="I17" i="10"/>
  <c r="N9" i="9"/>
  <c r="N12" i="9" s="1"/>
  <c r="J22" i="9"/>
  <c r="J28" i="9" s="1"/>
  <c r="L19" i="9"/>
  <c r="L21" i="9"/>
  <c r="H13" i="8" s="1"/>
  <c r="H14" i="8" s="1"/>
  <c r="H19" i="8" s="1"/>
  <c r="L26" i="9" s="1"/>
  <c r="L20" i="9"/>
  <c r="K9" i="10"/>
  <c r="K11" i="10" s="1"/>
  <c r="J13" i="10"/>
  <c r="J15" i="10" s="1"/>
  <c r="M9" i="8"/>
  <c r="N4" i="8" s="1"/>
  <c r="N7" i="8" s="1"/>
  <c r="N8" i="8" s="1"/>
  <c r="M16" i="8"/>
  <c r="M17" i="8" s="1"/>
  <c r="AB22" i="1"/>
  <c r="AB28" i="1" s="1"/>
  <c r="C48" i="7"/>
  <c r="J74" i="9" l="1"/>
  <c r="L9" i="10"/>
  <c r="L11" i="10" s="1"/>
  <c r="K13" i="10"/>
  <c r="K15" i="10" s="1"/>
  <c r="L22" i="9"/>
  <c r="L28" i="9" s="1"/>
  <c r="N21" i="9"/>
  <c r="I13" i="8" s="1"/>
  <c r="I14" i="8" s="1"/>
  <c r="I19" i="8" s="1"/>
  <c r="N26" i="9" s="1"/>
  <c r="N19" i="9"/>
  <c r="N20" i="9"/>
  <c r="J17" i="10"/>
  <c r="P9" i="9"/>
  <c r="P12" i="9" s="1"/>
  <c r="N9" i="8"/>
  <c r="O4" i="8" s="1"/>
  <c r="O7" i="8" s="1"/>
  <c r="O8" i="8" s="1"/>
  <c r="N16" i="8"/>
  <c r="N17" i="8" s="1"/>
  <c r="S10" i="1"/>
  <c r="L74" i="9" l="1"/>
  <c r="N22" i="9"/>
  <c r="N28" i="9" s="1"/>
  <c r="K17" i="10"/>
  <c r="R9" i="9"/>
  <c r="R12" i="9" s="1"/>
  <c r="P19" i="9"/>
  <c r="P20" i="9"/>
  <c r="P21" i="9"/>
  <c r="J13" i="8" s="1"/>
  <c r="J14" i="8" s="1"/>
  <c r="J19" i="8" s="1"/>
  <c r="P26" i="9" s="1"/>
  <c r="M9" i="10"/>
  <c r="M11" i="10" s="1"/>
  <c r="L13" i="10"/>
  <c r="L15" i="10" s="1"/>
  <c r="O9" i="8"/>
  <c r="P4" i="8" s="1"/>
  <c r="P7" i="8" s="1"/>
  <c r="P8" i="8" s="1"/>
  <c r="O16" i="8"/>
  <c r="O17" i="8" s="1"/>
  <c r="D48" i="7"/>
  <c r="D11" i="7" s="1"/>
  <c r="D12" i="7" s="1"/>
  <c r="C11" i="7"/>
  <c r="C12" i="7" s="1"/>
  <c r="E48" i="7"/>
  <c r="E11" i="7" s="1"/>
  <c r="E12" i="7" s="1"/>
  <c r="C33" i="7"/>
  <c r="D33" i="7"/>
  <c r="E33" i="7"/>
  <c r="N74" i="9" l="1"/>
  <c r="P22" i="9"/>
  <c r="P28" i="9" s="1"/>
  <c r="R19" i="9"/>
  <c r="R20" i="9"/>
  <c r="R21" i="9"/>
  <c r="K13" i="8" s="1"/>
  <c r="K14" i="8" s="1"/>
  <c r="K19" i="8" s="1"/>
  <c r="R26" i="9" s="1"/>
  <c r="N9" i="10"/>
  <c r="N11" i="10" s="1"/>
  <c r="M13" i="10"/>
  <c r="M15" i="10" s="1"/>
  <c r="L17" i="10"/>
  <c r="T9" i="9"/>
  <c r="T12" i="9" s="1"/>
  <c r="P9" i="8"/>
  <c r="Q4" i="8" s="1"/>
  <c r="P16" i="8"/>
  <c r="P17" i="8" s="1"/>
  <c r="C6" i="7"/>
  <c r="C7" i="7" s="1"/>
  <c r="E6" i="7"/>
  <c r="E7" i="7" s="1"/>
  <c r="E14" i="7" s="1"/>
  <c r="D6" i="7"/>
  <c r="D7" i="7" s="1"/>
  <c r="D14" i="7" s="1"/>
  <c r="D16" i="7" s="1"/>
  <c r="D18" i="7" s="1"/>
  <c r="Q10" i="1"/>
  <c r="R11" i="1" s="1"/>
  <c r="U10" i="1"/>
  <c r="V11" i="1" s="1"/>
  <c r="P74" i="9" l="1"/>
  <c r="R22" i="9"/>
  <c r="R28" i="9" s="1"/>
  <c r="M17" i="10"/>
  <c r="V9" i="9"/>
  <c r="V12" i="9" s="1"/>
  <c r="O9" i="10"/>
  <c r="O11" i="10" s="1"/>
  <c r="N13" i="10"/>
  <c r="N15" i="10" s="1"/>
  <c r="T19" i="9"/>
  <c r="T20" i="9"/>
  <c r="T21" i="9"/>
  <c r="L13" i="8" s="1"/>
  <c r="L14" i="8" s="1"/>
  <c r="L19" i="8" s="1"/>
  <c r="T26" i="9" s="1"/>
  <c r="E18" i="7"/>
  <c r="C16" i="7"/>
  <c r="C18" i="7" s="1"/>
  <c r="R74" i="9" l="1"/>
  <c r="T22" i="9"/>
  <c r="T28" i="9" s="1"/>
  <c r="P9" i="10"/>
  <c r="P11" i="10" s="1"/>
  <c r="O13" i="10"/>
  <c r="O15" i="10" s="1"/>
  <c r="N17" i="10"/>
  <c r="X9" i="9"/>
  <c r="X12" i="9" s="1"/>
  <c r="V19" i="9"/>
  <c r="V21" i="9"/>
  <c r="M13" i="8" s="1"/>
  <c r="M14" i="8" s="1"/>
  <c r="M19" i="8" s="1"/>
  <c r="V26" i="9" s="1"/>
  <c r="V20" i="9"/>
  <c r="R12" i="1"/>
  <c r="C19" i="6"/>
  <c r="D19" i="6"/>
  <c r="E19" i="6"/>
  <c r="F19" i="6"/>
  <c r="G19" i="6"/>
  <c r="T74" i="9" l="1"/>
  <c r="V22" i="9"/>
  <c r="V28" i="9" s="1"/>
  <c r="X21" i="9"/>
  <c r="N13" i="8" s="1"/>
  <c r="N14" i="8" s="1"/>
  <c r="N19" i="8" s="1"/>
  <c r="X26" i="9" s="1"/>
  <c r="X20" i="9"/>
  <c r="X19" i="9"/>
  <c r="O17" i="10"/>
  <c r="Z9" i="9"/>
  <c r="Z12" i="9" s="1"/>
  <c r="P13" i="10"/>
  <c r="P15" i="10" s="1"/>
  <c r="J22" i="1"/>
  <c r="J28" i="1" s="1"/>
  <c r="N22" i="1"/>
  <c r="N28" i="1" s="1"/>
  <c r="P22" i="1"/>
  <c r="P28" i="1" s="1"/>
  <c r="R20" i="1"/>
  <c r="R19" i="1"/>
  <c r="R21" i="1"/>
  <c r="T11" i="1"/>
  <c r="T12" i="1" s="1"/>
  <c r="X22" i="9" l="1"/>
  <c r="X28" i="9" s="1"/>
  <c r="P17" i="10"/>
  <c r="AB9" i="9"/>
  <c r="AB12" i="9" s="1"/>
  <c r="Z21" i="9"/>
  <c r="O13" i="8" s="1"/>
  <c r="O14" i="8" s="1"/>
  <c r="O19" i="8" s="1"/>
  <c r="Z26" i="9" s="1"/>
  <c r="Z20" i="9"/>
  <c r="Z19" i="9"/>
  <c r="V74" i="9"/>
  <c r="F22" i="1"/>
  <c r="F28" i="1" s="1"/>
  <c r="L22" i="1"/>
  <c r="L28" i="1" s="1"/>
  <c r="H22" i="1"/>
  <c r="H28" i="1" s="1"/>
  <c r="R22" i="1"/>
  <c r="R28" i="1" s="1"/>
  <c r="T19" i="1"/>
  <c r="T20" i="1"/>
  <c r="T21" i="1"/>
  <c r="V12" i="1"/>
  <c r="X74" i="9" l="1"/>
  <c r="Z22" i="9"/>
  <c r="Z28" i="9" s="1"/>
  <c r="AB21" i="9"/>
  <c r="P13" i="8" s="1"/>
  <c r="P14" i="8" s="1"/>
  <c r="P19" i="8" s="1"/>
  <c r="AB26" i="9" s="1"/>
  <c r="AB19" i="9"/>
  <c r="AB20" i="9"/>
  <c r="X19" i="1"/>
  <c r="X26" i="1"/>
  <c r="V20" i="1"/>
  <c r="V21" i="1"/>
  <c r="V19" i="1"/>
  <c r="T22" i="1"/>
  <c r="T28" i="1" s="1"/>
  <c r="AB22" i="9" l="1"/>
  <c r="AB28" i="9" s="1"/>
  <c r="Z74" i="9"/>
  <c r="X22" i="1"/>
  <c r="X28" i="1" s="1"/>
  <c r="Z22" i="1"/>
  <c r="Z28" i="1" s="1"/>
  <c r="V22" i="1"/>
  <c r="AB74" i="9" l="1"/>
  <c r="AB77" i="9" s="1"/>
  <c r="V28" i="1"/>
  <c r="H18" i="6" s="1"/>
  <c r="H19" i="6" s="1"/>
  <c r="M19" i="6" l="1"/>
  <c r="K19" i="6"/>
  <c r="J19" i="6"/>
  <c r="I19" i="6"/>
  <c r="L19" i="6"/>
  <c r="Q5" i="8" l="1"/>
  <c r="Q6" i="8" l="1"/>
  <c r="Q7" i="8" s="1"/>
  <c r="Q8" i="8" s="1"/>
  <c r="Q16" i="8" l="1"/>
  <c r="Q17" i="8" s="1"/>
  <c r="Q9" i="8"/>
  <c r="R4" i="8" s="1"/>
  <c r="R7" i="8" l="1"/>
  <c r="R8" i="8" s="1"/>
  <c r="R16" i="8" s="1"/>
  <c r="R17" i="8" s="1"/>
  <c r="Q13" i="8" l="1"/>
  <c r="Q14" i="8" s="1"/>
  <c r="Q19" i="8" s="1"/>
  <c r="R9" i="8"/>
  <c r="S4" i="8" s="1"/>
  <c r="R13" i="8" l="1"/>
  <c r="R14" i="8" s="1"/>
  <c r="R19" i="8" s="1"/>
  <c r="S7" i="8"/>
  <c r="S8" i="8" s="1"/>
  <c r="S16" i="8" s="1"/>
  <c r="S17" i="8" s="1"/>
  <c r="S13" i="8" l="1"/>
  <c r="S14" i="8" s="1"/>
  <c r="S19" i="8" s="1"/>
  <c r="S9" i="8"/>
  <c r="T4" i="8" s="1"/>
  <c r="T7" i="8" l="1"/>
  <c r="T8" i="8" s="1"/>
  <c r="T16" i="8" s="1"/>
  <c r="T17" i="8" s="1"/>
  <c r="U13" i="8" l="1"/>
  <c r="U14" i="8" s="1"/>
  <c r="T13" i="8"/>
  <c r="T14" i="8" s="1"/>
  <c r="T19" i="8" s="1"/>
  <c r="T9" i="8"/>
  <c r="U4" i="8" s="1"/>
  <c r="U7" i="8" l="1"/>
  <c r="U8" i="8" s="1"/>
  <c r="U16" i="8" s="1"/>
  <c r="U17" i="8" s="1"/>
  <c r="U19" i="8" s="1"/>
  <c r="U9" i="8" l="1"/>
</calcChain>
</file>

<file path=xl/sharedStrings.xml><?xml version="1.0" encoding="utf-8"?>
<sst xmlns="http://schemas.openxmlformats.org/spreadsheetml/2006/main" count="250" uniqueCount="117">
  <si>
    <t>Hydro One Distribution</t>
  </si>
  <si>
    <t xml:space="preserve">Renewable Generation Connection Rate Protection </t>
  </si>
  <si>
    <t>Compensation Amounts under Ontario Regulation 330/09</t>
  </si>
  <si>
    <t>Summary of Revenue Requirement for Recovery in 2022-2027</t>
  </si>
  <si>
    <t>RGCP Eligible Investments ($M)</t>
  </si>
  <si>
    <t>Board Approved RR Basis (1)</t>
  </si>
  <si>
    <t>Proposed for Recoveries</t>
  </si>
  <si>
    <t>2010 RGCP Investment</t>
  </si>
  <si>
    <t>2011 RGCP Investment</t>
  </si>
  <si>
    <t>2012 RGCP Investment</t>
  </si>
  <si>
    <t>2013 RGCP Investment</t>
  </si>
  <si>
    <t>2014 RGCP Investment</t>
  </si>
  <si>
    <t>2022 RGCP Investment (2)</t>
  </si>
  <si>
    <t>NOTES:</t>
  </si>
  <si>
    <t>Historical period based on actuals</t>
  </si>
  <si>
    <t>(1)</t>
  </si>
  <si>
    <t>No funding was received from 2015 - 2021.</t>
  </si>
  <si>
    <t>(2)</t>
  </si>
  <si>
    <t>Proposed Revenue Requirement for 2022 to 2027, which is based on the 2020 actual revenue requirement. Note that future actual revenue requirement may vary.</t>
  </si>
  <si>
    <t xml:space="preserve">Renewable Generation Investment Summary </t>
  </si>
  <si>
    <t/>
  </si>
  <si>
    <t>Total Expansion &amp; REI Investments</t>
  </si>
  <si>
    <t>In-Service Additions</t>
  </si>
  <si>
    <t>Incremental OM&amp;A (Start-Up)</t>
  </si>
  <si>
    <t>Incremental OM&amp;A (Ongoing)</t>
  </si>
  <si>
    <r>
      <t>Direct Benefit Assumption - Expansion</t>
    </r>
    <r>
      <rPr>
        <vertAlign val="superscript"/>
        <sz val="10"/>
        <rFont val="Arial"/>
        <family val="2"/>
      </rPr>
      <t>1</t>
    </r>
  </si>
  <si>
    <t>Total Expansion &amp; REI Investments- Provincial Portion (82%)</t>
  </si>
  <si>
    <t>Total Provincial Portion</t>
  </si>
  <si>
    <t>Notes:</t>
  </si>
  <si>
    <t>1 - As described in Exhibit A-04-01, Section 2.2.2, Hydro One discovered that it had incorrectly applied a direct benefit percentage of 18.2% for Expansion &amp; REI projects.</t>
  </si>
  <si>
    <t xml:space="preserve">2 - Forecast Period amounts are based on the approved capital expenditures from Hydro One's 2023-2027 Joint Rate Application (EB-2021-0110). </t>
  </si>
  <si>
    <t>Rate Base Calculations</t>
  </si>
  <si>
    <t>Gross Fixed Assets</t>
  </si>
  <si>
    <t>Opening</t>
  </si>
  <si>
    <t>Additions</t>
  </si>
  <si>
    <t>Ending</t>
  </si>
  <si>
    <t>Depreciation</t>
  </si>
  <si>
    <t>NBV</t>
  </si>
  <si>
    <t>Rate Base (average)</t>
  </si>
  <si>
    <t>Working Capital</t>
  </si>
  <si>
    <t>Total Rate Base</t>
  </si>
  <si>
    <t>Capital Structure</t>
  </si>
  <si>
    <t>Long-Term Debt</t>
  </si>
  <si>
    <t>Short-Term Debt</t>
  </si>
  <si>
    <t>Common Equity</t>
  </si>
  <si>
    <t>% Return on Rate Base</t>
  </si>
  <si>
    <t>$ Return on Rate Base</t>
  </si>
  <si>
    <t>OM&amp;A</t>
  </si>
  <si>
    <t>Working Capital %</t>
  </si>
  <si>
    <t>Working Capital Component</t>
  </si>
  <si>
    <t>Allocation</t>
  </si>
  <si>
    <t>DC219 (GEP)</t>
  </si>
  <si>
    <t>Fixed Assets</t>
  </si>
  <si>
    <t>DC203 (GEP)</t>
  </si>
  <si>
    <t>Total Capex</t>
  </si>
  <si>
    <t>Dep Rate</t>
  </si>
  <si>
    <t>Total 1808</t>
  </si>
  <si>
    <t>Total 1815</t>
  </si>
  <si>
    <t>Total 1820</t>
  </si>
  <si>
    <t>Total 1830</t>
  </si>
  <si>
    <t>Total 1835</t>
  </si>
  <si>
    <t>Total 1850</t>
  </si>
  <si>
    <t>Total 1860</t>
  </si>
  <si>
    <t>Total 1920</t>
  </si>
  <si>
    <t>Total 1925</t>
  </si>
  <si>
    <t>Total 1955</t>
  </si>
  <si>
    <t>Total 1960</t>
  </si>
  <si>
    <t>Total 1970</t>
  </si>
  <si>
    <t>Total 1975</t>
  </si>
  <si>
    <t>Total 1980</t>
  </si>
  <si>
    <t>Total</t>
  </si>
  <si>
    <t>Depreciation Expense from Additions</t>
  </si>
  <si>
    <t>Depreciation Expense</t>
  </si>
  <si>
    <t>Income Tax</t>
  </si>
  <si>
    <t>Class 47 - 8%</t>
  </si>
  <si>
    <t>Opening UCC</t>
  </si>
  <si>
    <t>Half year rule</t>
  </si>
  <si>
    <t>Eligible UCC</t>
  </si>
  <si>
    <t>CCA Claim</t>
  </si>
  <si>
    <t>Ending UCC</t>
  </si>
  <si>
    <t>Income Tax Rate</t>
  </si>
  <si>
    <t>Return on Equity</t>
  </si>
  <si>
    <t>Gross Up</t>
  </si>
  <si>
    <t>Timing Differences</t>
  </si>
  <si>
    <t>Total Tax</t>
  </si>
  <si>
    <t>Renewable Generation Connection Rate Protection ($M)</t>
  </si>
  <si>
    <t>Net Fixed Assets</t>
  </si>
  <si>
    <t>WCA</t>
  </si>
  <si>
    <t>Rate Base</t>
  </si>
  <si>
    <t>Deemed ST Debt</t>
  </si>
  <si>
    <t>Deemed LT Debt</t>
  </si>
  <si>
    <t>Deemed Equity</t>
  </si>
  <si>
    <t>Capital Tax</t>
  </si>
  <si>
    <t>ST Interest</t>
  </si>
  <si>
    <t>LT Interest</t>
  </si>
  <si>
    <t>ROE</t>
  </si>
  <si>
    <t>OM&amp;A (1)</t>
  </si>
  <si>
    <t>Depreciation (2)</t>
  </si>
  <si>
    <t>Income tax (3)</t>
  </si>
  <si>
    <t>Provincial Rate Protection - Revenue Requirement ($M)</t>
  </si>
  <si>
    <t>Monthly RGCRP amounts</t>
  </si>
  <si>
    <t xml:space="preserve">OM&amp;A is allocated to the provincial ratepayers and Hydro One customers based on an 81.8% and 18.2% revenue split </t>
  </si>
  <si>
    <t>Depreciation rates are applied by asset class</t>
  </si>
  <si>
    <t>(3)</t>
  </si>
  <si>
    <t>See Income tax &amp; UCC tab</t>
  </si>
  <si>
    <t>Updated Model</t>
  </si>
  <si>
    <t>OM&amp;A is allocated to the provincial ratepayers and Hydro One customers based on an 81.8% and 18.2% revenue split for Expansion investments and a 95% and 5% revenue split for REI Investments</t>
  </si>
  <si>
    <t>Difference relates to REI/Expansion % correction</t>
  </si>
  <si>
    <t>OM&amp;A is allocated to the provincial ratepayers and Hydro One customers based on an 81.8% and 18.2% revenue split</t>
  </si>
  <si>
    <t>*</t>
  </si>
  <si>
    <t>2021 revenue requirement figures, which informs 2022 RGCRP, is based on 2020 actuals.</t>
  </si>
  <si>
    <t>Rate Base Calculations ($M)</t>
  </si>
  <si>
    <t>Total In-Service Additions</t>
  </si>
  <si>
    <t>Depreciation Expense ($M)</t>
  </si>
  <si>
    <t>Historical Model</t>
  </si>
  <si>
    <t>Variance in revenue requirement between the historical model and the updated model</t>
  </si>
  <si>
    <t>See Income Taxes &amp; UCC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</si>
</sst>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_-;\-&quot;$&quot;* #,##0.0_-;_-&quot;$&quot;* &quot;-&quot;??_-;_-@_-"/>
    <numFmt numFmtId="167" formatCode="_-&quot;$&quot;* #,##0_-;\-&quot;$&quot;* #,##0_-;_-&quot;$&quot;* &quot;-&quot;??_-;_-@_-"/>
    <numFmt numFmtId="168" formatCode="0.0%"/>
    <numFmt numFmtId="169" formatCode="_-* #,##0.0_-;\-* #,##0.0_-;_-* &quot;-&quot;??_-;_-@_-"/>
    <numFmt numFmtId="170" formatCode="&quot;$&quot;#,##0"/>
    <numFmt numFmtId="171" formatCode="&quot;$&quot;#,##0.0"/>
    <numFmt numFmtId="172" formatCode="_-&quot;$&quot;* #,##0.0_-;\-&quot;$&quot;* #,##0.0_-;_-&quot;$&quot;* &quot;-&quot;_-;_-@_-"/>
    <numFmt numFmtId="173" formatCode="#,##0.0_);\(#,##0.0\)"/>
    <numFmt numFmtId="174" formatCode="0.0"/>
    <numFmt numFmtId="175" formatCode="_-&quot;$&quot;* #,##0.00000_-;\-&quot;$&quot;* #,##0.00000_-;_-&quot;$&quot;* &quot;-&quot;??_-;_-@_-"/>
    <numFmt numFmtId="176" formatCode="_-&quot;$&quot;* #,##0.0000_-;\-&quot;$&quot;* #,##0.0000_-;_-&quot;$&quot;* &quot;-&quot;??_-;_-@_-"/>
    <numFmt numFmtId="177" formatCode="_-&quot;$&quot;* #,##0.000000_-;\-&quot;$&quot;* #,##0.000000_-;_-&quot;$&quot;* &quot;-&quot;??_-;_-@_-"/>
    <numFmt numFmtId="178" formatCode="_(* #,##0.000000_);_(* \(#,##0.000000\);_(* &quot;-&quot;??_);_(@_)"/>
    <numFmt numFmtId="179" formatCode="_(* #,##0.00000000_);_(* \(#,##0.00000000\);_(* &quot;-&quot;??_);_(@_)"/>
    <numFmt numFmtId="180" formatCode="_-* #,##0.0000000_-;\-* #,##0.0000000_-;_-* &quot;-&quot;??_-;_-@_-"/>
    <numFmt numFmtId="181" formatCode="_(* #,##0.000_);_(* \(#,##0.000\);_(* &quot;-&quot;??_);_(@_)"/>
    <numFmt numFmtId="182" formatCode="_-&quot;$&quot;* #,##0.000_-;\-&quot;$&quot;* #,##0.000_-;_-&quot;$&quot;* &quot;-&quot;??_-;_-@_-"/>
    <numFmt numFmtId="183" formatCode="_-* #,##0.0000_-;\-* #,##0.0000_-;_-* &quot;-&quot;??_-;_-@_-"/>
    <numFmt numFmtId="184" formatCode="_-* #,##0.000000_-;\-* #,##0.000000_-;_-* &quot;-&quot;??_-;_-@_-"/>
    <numFmt numFmtId="185" formatCode="_-&quot;$&quot;* #,##0.00000000_-;\-&quot;$&quot;* #,##0.00000000_-;_-&quot;$&quot;* &quot;-&quot;??_-;_-@_-"/>
  </numFmts>
  <fonts count="5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i/>
      <sz val="11"/>
      <color rgb="FFFF0000"/>
      <name val="Calibri"/>
      <family val="2"/>
      <scheme val="minor"/>
    </font>
    <font>
      <u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9" fillId="0" borderId="0"/>
    <xf numFmtId="0" fontId="27" fillId="0" borderId="0"/>
    <xf numFmtId="0" fontId="9" fillId="0" borderId="0"/>
    <xf numFmtId="0" fontId="26" fillId="0" borderId="0"/>
    <xf numFmtId="0" fontId="9" fillId="23" borderId="7" applyNumberFormat="0" applyFont="0" applyAlignment="0" applyProtection="0"/>
    <xf numFmtId="0" fontId="18" fillId="20" borderId="8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</cellStyleXfs>
  <cellXfs count="203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170" fontId="0" fillId="0" borderId="0" xfId="0" applyNumberFormat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 indent="1"/>
    </xf>
    <xf numFmtId="173" fontId="30" fillId="0" borderId="0" xfId="0" applyNumberFormat="1" applyFont="1"/>
    <xf numFmtId="173" fontId="30" fillId="0" borderId="11" xfId="0" applyNumberFormat="1" applyFont="1" applyBorder="1"/>
    <xf numFmtId="169" fontId="30" fillId="0" borderId="0" xfId="28" applyNumberFormat="1" applyFont="1" applyFill="1"/>
    <xf numFmtId="169" fontId="30" fillId="0" borderId="11" xfId="28" applyNumberFormat="1" applyFont="1" applyFill="1" applyBorder="1"/>
    <xf numFmtId="0" fontId="31" fillId="0" borderId="0" xfId="0" applyFont="1" applyAlignment="1">
      <alignment horizontal="center"/>
    </xf>
    <xf numFmtId="10" fontId="30" fillId="0" borderId="0" xfId="50" applyNumberFormat="1" applyFont="1" applyFill="1" applyAlignment="1">
      <alignment horizontal="center"/>
    </xf>
    <xf numFmtId="164" fontId="30" fillId="0" borderId="0" xfId="32" applyFont="1" applyFill="1"/>
    <xf numFmtId="0" fontId="29" fillId="0" borderId="11" xfId="0" applyFont="1" applyBorder="1"/>
    <xf numFmtId="164" fontId="29" fillId="0" borderId="11" xfId="32" applyFont="1" applyBorder="1"/>
    <xf numFmtId="173" fontId="30" fillId="0" borderId="0" xfId="0" applyNumberFormat="1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13" xfId="0" applyFont="1" applyBorder="1"/>
    <xf numFmtId="0" fontId="32" fillId="0" borderId="14" xfId="0" applyFont="1" applyBorder="1"/>
    <xf numFmtId="0" fontId="33" fillId="24" borderId="14" xfId="0" applyFont="1" applyFill="1" applyBorder="1" applyAlignment="1">
      <alignment horizontal="center" wrapText="1"/>
    </xf>
    <xf numFmtId="0" fontId="33" fillId="0" borderId="14" xfId="0" applyFont="1" applyBorder="1" applyAlignment="1">
      <alignment horizontal="center"/>
    </xf>
    <xf numFmtId="166" fontId="32" fillId="24" borderId="0" xfId="32" applyNumberFormat="1" applyFont="1" applyFill="1" applyBorder="1"/>
    <xf numFmtId="170" fontId="32" fillId="0" borderId="0" xfId="0" applyNumberFormat="1" applyFont="1"/>
    <xf numFmtId="170" fontId="33" fillId="0" borderId="0" xfId="0" applyNumberFormat="1" applyFont="1" applyAlignment="1">
      <alignment horizontal="right"/>
    </xf>
    <xf numFmtId="170" fontId="33" fillId="0" borderId="0" xfId="0" applyNumberFormat="1" applyFont="1"/>
    <xf numFmtId="171" fontId="33" fillId="0" borderId="0" xfId="0" applyNumberFormat="1" applyFont="1"/>
    <xf numFmtId="171" fontId="32" fillId="24" borderId="11" xfId="0" applyNumberFormat="1" applyFont="1" applyFill="1" applyBorder="1"/>
    <xf numFmtId="171" fontId="33" fillId="0" borderId="11" xfId="0" applyNumberFormat="1" applyFont="1" applyBorder="1"/>
    <xf numFmtId="0" fontId="36" fillId="0" borderId="0" xfId="0" applyFont="1"/>
    <xf numFmtId="49" fontId="36" fillId="0" borderId="0" xfId="0" applyNumberFormat="1" applyFont="1"/>
    <xf numFmtId="0" fontId="37" fillId="0" borderId="0" xfId="0" applyFont="1"/>
    <xf numFmtId="0" fontId="36" fillId="0" borderId="0" xfId="0" applyFont="1" applyAlignment="1">
      <alignment vertical="center"/>
    </xf>
    <xf numFmtId="9" fontId="36" fillId="0" borderId="0" xfId="0" applyNumberFormat="1" applyFont="1" applyAlignment="1">
      <alignment horizontal="center"/>
    </xf>
    <xf numFmtId="166" fontId="36" fillId="0" borderId="0" xfId="32" applyNumberFormat="1" applyFont="1"/>
    <xf numFmtId="166" fontId="36" fillId="0" borderId="0" xfId="0" applyNumberFormat="1" applyFont="1"/>
    <xf numFmtId="172" fontId="36" fillId="0" borderId="0" xfId="0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166" fontId="36" fillId="0" borderId="10" xfId="0" applyNumberFormat="1" applyFont="1" applyBorder="1"/>
    <xf numFmtId="9" fontId="38" fillId="25" borderId="0" xfId="0" applyNumberFormat="1" applyFont="1" applyFill="1" applyAlignment="1">
      <alignment horizontal="center"/>
    </xf>
    <xf numFmtId="167" fontId="36" fillId="0" borderId="0" xfId="0" applyNumberFormat="1" applyFont="1"/>
    <xf numFmtId="164" fontId="36" fillId="0" borderId="0" xfId="32" applyFont="1"/>
    <xf numFmtId="0" fontId="38" fillId="0" borderId="0" xfId="0" applyFont="1"/>
    <xf numFmtId="10" fontId="38" fillId="25" borderId="0" xfId="0" applyNumberFormat="1" applyFont="1" applyFill="1" applyAlignment="1">
      <alignment horizontal="center"/>
    </xf>
    <xf numFmtId="166" fontId="36" fillId="0" borderId="11" xfId="0" applyNumberFormat="1" applyFont="1" applyBorder="1"/>
    <xf numFmtId="166" fontId="37" fillId="25" borderId="0" xfId="0" applyNumberFormat="1" applyFont="1" applyFill="1"/>
    <xf numFmtId="166" fontId="36" fillId="25" borderId="0" xfId="0" applyNumberFormat="1" applyFont="1" applyFill="1"/>
    <xf numFmtId="166" fontId="36" fillId="25" borderId="0" xfId="32" applyNumberFormat="1" applyFont="1" applyFill="1"/>
    <xf numFmtId="9" fontId="36" fillId="24" borderId="0" xfId="0" applyNumberFormat="1" applyFont="1" applyFill="1" applyAlignment="1">
      <alignment horizontal="left"/>
    </xf>
    <xf numFmtId="166" fontId="37" fillId="0" borderId="0" xfId="0" applyNumberFormat="1" applyFont="1"/>
    <xf numFmtId="165" fontId="37" fillId="0" borderId="0" xfId="28" applyFont="1" applyBorder="1"/>
    <xf numFmtId="165" fontId="37" fillId="0" borderId="0" xfId="28" applyFont="1"/>
    <xf numFmtId="174" fontId="23" fillId="0" borderId="0" xfId="0" applyNumberFormat="1" applyFont="1"/>
    <xf numFmtId="165" fontId="30" fillId="0" borderId="0" xfId="28" applyFont="1"/>
    <xf numFmtId="165" fontId="9" fillId="0" borderId="0" xfId="28" applyFont="1"/>
    <xf numFmtId="165" fontId="30" fillId="0" borderId="11" xfId="28" applyFont="1" applyBorder="1"/>
    <xf numFmtId="165" fontId="9" fillId="0" borderId="11" xfId="28" applyFont="1" applyBorder="1"/>
    <xf numFmtId="165" fontId="30" fillId="0" borderId="0" xfId="28" applyFont="1" applyFill="1"/>
    <xf numFmtId="165" fontId="30" fillId="0" borderId="11" xfId="28" applyFont="1" applyFill="1" applyBorder="1"/>
    <xf numFmtId="165" fontId="29" fillId="0" borderId="11" xfId="28" applyFont="1" applyBorder="1"/>
    <xf numFmtId="175" fontId="36" fillId="0" borderId="0" xfId="0" applyNumberFormat="1" applyFont="1"/>
    <xf numFmtId="165" fontId="36" fillId="0" borderId="0" xfId="28" applyFont="1"/>
    <xf numFmtId="177" fontId="37" fillId="26" borderId="12" xfId="0" applyNumberFormat="1" applyFont="1" applyFill="1" applyBorder="1"/>
    <xf numFmtId="177" fontId="37" fillId="0" borderId="0" xfId="0" applyNumberFormat="1" applyFont="1"/>
    <xf numFmtId="177" fontId="24" fillId="0" borderId="0" xfId="0" applyNumberFormat="1" applyFont="1"/>
    <xf numFmtId="0" fontId="28" fillId="0" borderId="0" xfId="57" applyFont="1"/>
    <xf numFmtId="0" fontId="28" fillId="0" borderId="0" xfId="28" applyNumberFormat="1" applyFont="1"/>
    <xf numFmtId="167" fontId="0" fillId="0" borderId="0" xfId="32" applyNumberFormat="1" applyFont="1" applyFill="1" applyBorder="1" applyProtection="1"/>
    <xf numFmtId="0" fontId="2" fillId="0" borderId="0" xfId="0" applyFont="1"/>
    <xf numFmtId="165" fontId="9" fillId="0" borderId="0" xfId="28" applyFont="1" applyFill="1"/>
    <xf numFmtId="43" fontId="9" fillId="0" borderId="0" xfId="0" applyNumberFormat="1" applyFont="1"/>
    <xf numFmtId="176" fontId="2" fillId="0" borderId="0" xfId="32" applyNumberFormat="1" applyFont="1"/>
    <xf numFmtId="0" fontId="45" fillId="0" borderId="0" xfId="0" applyFont="1"/>
    <xf numFmtId="176" fontId="25" fillId="0" borderId="0" xfId="32" applyNumberFormat="1" applyFont="1"/>
    <xf numFmtId="0" fontId="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4" fontId="2" fillId="0" borderId="0" xfId="32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5" fillId="0" borderId="0" xfId="0" applyNumberFormat="1" applyFont="1"/>
    <xf numFmtId="164" fontId="2" fillId="0" borderId="10" xfId="0" applyNumberFormat="1" applyFont="1" applyBorder="1"/>
    <xf numFmtId="9" fontId="47" fillId="25" borderId="0" xfId="0" applyNumberFormat="1" applyFont="1" applyFill="1" applyAlignment="1">
      <alignment horizontal="center"/>
    </xf>
    <xf numFmtId="164" fontId="2" fillId="0" borderId="0" xfId="28" applyNumberFormat="1" applyFont="1"/>
    <xf numFmtId="164" fontId="47" fillId="0" borderId="0" xfId="0" applyNumberFormat="1" applyFont="1"/>
    <xf numFmtId="164" fontId="2" fillId="0" borderId="11" xfId="0" applyNumberFormat="1" applyFont="1" applyBorder="1"/>
    <xf numFmtId="164" fontId="2" fillId="0" borderId="11" xfId="28" applyNumberFormat="1" applyFont="1" applyBorder="1"/>
    <xf numFmtId="164" fontId="25" fillId="25" borderId="0" xfId="32" applyFont="1" applyFill="1"/>
    <xf numFmtId="164" fontId="2" fillId="25" borderId="0" xfId="0" applyNumberFormat="1" applyFont="1" applyFill="1"/>
    <xf numFmtId="164" fontId="2" fillId="25" borderId="0" xfId="32" applyFont="1" applyFill="1"/>
    <xf numFmtId="164" fontId="2" fillId="25" borderId="0" xfId="28" applyNumberFormat="1" applyFont="1" applyFill="1"/>
    <xf numFmtId="164" fontId="25" fillId="0" borderId="0" xfId="0" applyNumberFormat="1" applyFont="1"/>
    <xf numFmtId="164" fontId="46" fillId="0" borderId="0" xfId="0" applyNumberFormat="1" applyFont="1"/>
    <xf numFmtId="0" fontId="46" fillId="0" borderId="0" xfId="0" applyFont="1"/>
    <xf numFmtId="164" fontId="25" fillId="0" borderId="0" xfId="28" applyNumberFormat="1" applyFont="1" applyBorder="1"/>
    <xf numFmtId="164" fontId="25" fillId="0" borderId="0" xfId="28" applyNumberFormat="1" applyFont="1"/>
    <xf numFmtId="49" fontId="2" fillId="0" borderId="0" xfId="0" applyNumberFormat="1" applyFont="1"/>
    <xf numFmtId="176" fontId="45" fillId="0" borderId="0" xfId="32" applyNumberFormat="1" applyFont="1"/>
    <xf numFmtId="0" fontId="9" fillId="0" borderId="0" xfId="57"/>
    <xf numFmtId="0" fontId="9" fillId="0" borderId="0" xfId="0" applyFont="1"/>
    <xf numFmtId="43" fontId="9" fillId="0" borderId="0" xfId="57" applyNumberFormat="1"/>
    <xf numFmtId="0" fontId="9" fillId="0" borderId="0" xfId="57" applyAlignment="1">
      <alignment horizontal="left" indent="1"/>
    </xf>
    <xf numFmtId="0" fontId="9" fillId="0" borderId="0" xfId="57" applyAlignment="1">
      <alignment horizontal="right"/>
    </xf>
    <xf numFmtId="0" fontId="28" fillId="0" borderId="0" xfId="0" applyFont="1"/>
    <xf numFmtId="165" fontId="28" fillId="0" borderId="0" xfId="28" applyFont="1"/>
    <xf numFmtId="179" fontId="9" fillId="0" borderId="0" xfId="0" applyNumberFormat="1" applyFont="1"/>
    <xf numFmtId="169" fontId="9" fillId="0" borderId="0" xfId="28" applyNumberFormat="1" applyFont="1"/>
    <xf numFmtId="0" fontId="40" fillId="0" borderId="0" xfId="0" applyFont="1"/>
    <xf numFmtId="168" fontId="9" fillId="0" borderId="0" xfId="50" applyNumberFormat="1" applyFont="1"/>
    <xf numFmtId="178" fontId="9" fillId="0" borderId="0" xfId="0" applyNumberFormat="1" applyFont="1"/>
    <xf numFmtId="180" fontId="9" fillId="0" borderId="0" xfId="28" applyNumberFormat="1" applyFont="1"/>
    <xf numFmtId="44" fontId="0" fillId="0" borderId="0" xfId="0" applyNumberFormat="1"/>
    <xf numFmtId="182" fontId="2" fillId="0" borderId="0" xfId="0" applyNumberFormat="1" applyFont="1"/>
    <xf numFmtId="175" fontId="2" fillId="0" borderId="0" xfId="0" applyNumberFormat="1" applyFont="1"/>
    <xf numFmtId="169" fontId="28" fillId="0" borderId="0" xfId="28" applyNumberFormat="1" applyFont="1"/>
    <xf numFmtId="169" fontId="9" fillId="0" borderId="11" xfId="28" applyNumberFormat="1" applyFont="1" applyBorder="1"/>
    <xf numFmtId="173" fontId="9" fillId="0" borderId="0" xfId="28" applyNumberFormat="1" applyFont="1"/>
    <xf numFmtId="9" fontId="47" fillId="25" borderId="0" xfId="50" applyFont="1" applyFill="1" applyAlignment="1">
      <alignment horizontal="center"/>
    </xf>
    <xf numFmtId="9" fontId="2" fillId="0" borderId="0" xfId="50" applyFont="1" applyAlignment="1">
      <alignment horizontal="center"/>
    </xf>
    <xf numFmtId="168" fontId="2" fillId="0" borderId="0" xfId="50" applyNumberFormat="1" applyFont="1" applyAlignment="1">
      <alignment horizontal="center"/>
    </xf>
    <xf numFmtId="168" fontId="2" fillId="0" borderId="0" xfId="50" applyNumberFormat="1" applyFont="1"/>
    <xf numFmtId="180" fontId="9" fillId="0" borderId="11" xfId="28" applyNumberFormat="1" applyFont="1" applyBorder="1"/>
    <xf numFmtId="183" fontId="9" fillId="0" borderId="0" xfId="28" applyNumberFormat="1" applyFont="1"/>
    <xf numFmtId="184" fontId="9" fillId="0" borderId="0" xfId="28" applyNumberFormat="1" applyFont="1"/>
    <xf numFmtId="0" fontId="40" fillId="0" borderId="0" xfId="57" applyFont="1"/>
    <xf numFmtId="0" fontId="40" fillId="0" borderId="0" xfId="57" applyFont="1" applyAlignment="1">
      <alignment horizontal="center"/>
    </xf>
    <xf numFmtId="0" fontId="9" fillId="0" borderId="0" xfId="57" applyAlignment="1">
      <alignment horizontal="left"/>
    </xf>
    <xf numFmtId="10" fontId="9" fillId="0" borderId="0" xfId="59" applyNumberFormat="1" applyFont="1" applyAlignment="1">
      <alignment horizontal="center"/>
    </xf>
    <xf numFmtId="184" fontId="9" fillId="0" borderId="0" xfId="0" applyNumberFormat="1" applyFont="1"/>
    <xf numFmtId="0" fontId="49" fillId="0" borderId="0" xfId="0" applyFont="1"/>
    <xf numFmtId="175" fontId="25" fillId="0" borderId="0" xfId="0" applyNumberFormat="1" applyFont="1"/>
    <xf numFmtId="184" fontId="9" fillId="0" borderId="0" xfId="28" applyNumberFormat="1" applyFont="1" applyFill="1"/>
    <xf numFmtId="185" fontId="2" fillId="0" borderId="0" xfId="0" applyNumberFormat="1" applyFont="1"/>
    <xf numFmtId="185" fontId="25" fillId="0" borderId="0" xfId="0" applyNumberFormat="1" applyFont="1"/>
    <xf numFmtId="184" fontId="2" fillId="0" borderId="0" xfId="28" applyNumberFormat="1" applyFont="1"/>
    <xf numFmtId="184" fontId="25" fillId="0" borderId="0" xfId="28" applyNumberFormat="1" applyFont="1"/>
    <xf numFmtId="0" fontId="42" fillId="0" borderId="0" xfId="44" applyFont="1"/>
    <xf numFmtId="0" fontId="39" fillId="0" borderId="0" xfId="44" applyFont="1"/>
    <xf numFmtId="0" fontId="40" fillId="0" borderId="0" xfId="44" applyFont="1"/>
    <xf numFmtId="0" fontId="28" fillId="0" borderId="21" xfId="44" applyFont="1" applyBorder="1" applyAlignment="1">
      <alignment horizontal="center"/>
    </xf>
    <xf numFmtId="0" fontId="9" fillId="0" borderId="0" xfId="44"/>
    <xf numFmtId="0" fontId="48" fillId="0" borderId="0" xfId="0" applyFont="1"/>
    <xf numFmtId="0" fontId="41" fillId="0" borderId="0" xfId="44" applyFont="1" applyAlignment="1">
      <alignment horizontal="center"/>
    </xf>
    <xf numFmtId="0" fontId="28" fillId="0" borderId="0" xfId="44" applyFont="1" applyAlignment="1">
      <alignment horizontal="center"/>
    </xf>
    <xf numFmtId="2" fontId="0" fillId="0" borderId="0" xfId="0" applyNumberFormat="1"/>
    <xf numFmtId="181" fontId="0" fillId="0" borderId="0" xfId="28" applyNumberFormat="1" applyFont="1" applyFill="1"/>
    <xf numFmtId="10" fontId="0" fillId="0" borderId="0" xfId="50" applyNumberFormat="1" applyFont="1" applyFill="1"/>
    <xf numFmtId="0" fontId="28" fillId="0" borderId="0" xfId="44" applyFont="1"/>
    <xf numFmtId="0" fontId="44" fillId="0" borderId="0" xfId="0" applyFont="1"/>
    <xf numFmtId="168" fontId="9" fillId="0" borderId="0" xfId="50" applyNumberFormat="1" applyFont="1" applyFill="1"/>
    <xf numFmtId="10" fontId="9" fillId="0" borderId="0" xfId="59" applyNumberFormat="1" applyFont="1" applyFill="1" applyAlignment="1">
      <alignment horizontal="center"/>
    </xf>
    <xf numFmtId="166" fontId="0" fillId="0" borderId="0" xfId="0" applyNumberFormat="1"/>
    <xf numFmtId="164" fontId="2" fillId="0" borderId="0" xfId="32" applyFont="1" applyFill="1"/>
    <xf numFmtId="164" fontId="2" fillId="0" borderId="10" xfId="32" applyFont="1" applyBorder="1"/>
    <xf numFmtId="164" fontId="2" fillId="0" borderId="11" xfId="32" applyFont="1" applyBorder="1"/>
    <xf numFmtId="164" fontId="25" fillId="0" borderId="0" xfId="28" applyNumberFormat="1" applyFont="1" applyFill="1"/>
    <xf numFmtId="0" fontId="25" fillId="27" borderId="0" xfId="0" applyFont="1" applyFill="1"/>
    <xf numFmtId="166" fontId="2" fillId="0" borderId="0" xfId="0" applyNumberFormat="1" applyFont="1"/>
    <xf numFmtId="166" fontId="2" fillId="0" borderId="0" xfId="28" applyNumberFormat="1" applyFont="1"/>
    <xf numFmtId="169" fontId="2" fillId="0" borderId="0" xfId="28" applyNumberFormat="1" applyFont="1"/>
    <xf numFmtId="164" fontId="2" fillId="0" borderId="10" xfId="28" applyNumberFormat="1" applyFont="1" applyBorder="1"/>
    <xf numFmtId="165" fontId="25" fillId="26" borderId="12" xfId="28" applyFont="1" applyFill="1" applyBorder="1"/>
    <xf numFmtId="165" fontId="25" fillId="0" borderId="0" xfId="28" applyFont="1"/>
    <xf numFmtId="165" fontId="46" fillId="0" borderId="0" xfId="28" applyFont="1"/>
    <xf numFmtId="164" fontId="25" fillId="25" borderId="0" xfId="0" applyNumberFormat="1" applyFont="1" applyFill="1"/>
    <xf numFmtId="164" fontId="25" fillId="25" borderId="0" xfId="28" applyNumberFormat="1" applyFont="1" applyFill="1"/>
    <xf numFmtId="164" fontId="25" fillId="26" borderId="12" xfId="0" applyNumberFormat="1" applyFont="1" applyFill="1" applyBorder="1"/>
    <xf numFmtId="164" fontId="25" fillId="26" borderId="12" xfId="32" applyFont="1" applyFill="1" applyBorder="1"/>
    <xf numFmtId="164" fontId="25" fillId="0" borderId="0" xfId="32" applyFont="1"/>
    <xf numFmtId="164" fontId="45" fillId="27" borderId="0" xfId="0" applyNumberFormat="1" applyFont="1" applyFill="1"/>
    <xf numFmtId="2" fontId="9" fillId="0" borderId="0" xfId="57" applyNumberFormat="1" applyAlignment="1">
      <alignment horizontal="center"/>
    </xf>
    <xf numFmtId="2" fontId="9" fillId="0" borderId="0" xfId="57" applyNumberFormat="1"/>
    <xf numFmtId="2" fontId="9" fillId="0" borderId="0" xfId="28" applyNumberFormat="1" applyFont="1" applyFill="1"/>
    <xf numFmtId="2" fontId="9" fillId="0" borderId="11" xfId="57" applyNumberFormat="1" applyBorder="1"/>
    <xf numFmtId="2" fontId="9" fillId="0" borderId="0" xfId="28" applyNumberFormat="1" applyFont="1"/>
    <xf numFmtId="2" fontId="9" fillId="0" borderId="11" xfId="28" applyNumberFormat="1" applyFont="1" applyBorder="1"/>
    <xf numFmtId="164" fontId="9" fillId="0" borderId="0" xfId="32" applyFont="1" applyFill="1"/>
    <xf numFmtId="164" fontId="9" fillId="0" borderId="0" xfId="32" applyFont="1" applyFill="1" applyBorder="1" applyAlignment="1" applyProtection="1">
      <alignment horizontal="center"/>
      <protection locked="0"/>
    </xf>
    <xf numFmtId="164" fontId="9" fillId="0" borderId="0" xfId="44" applyNumberFormat="1"/>
    <xf numFmtId="164" fontId="9" fillId="0" borderId="0" xfId="28" applyNumberFormat="1" applyFont="1" applyFill="1" applyAlignment="1">
      <alignment horizontal="center" vertical="center"/>
    </xf>
    <xf numFmtId="164" fontId="39" fillId="0" borderId="0" xfId="44" applyNumberFormat="1" applyFont="1"/>
    <xf numFmtId="164" fontId="9" fillId="0" borderId="0" xfId="50" applyNumberFormat="1" applyFont="1" applyFill="1" applyAlignment="1">
      <alignment horizontal="center" vertical="center"/>
    </xf>
    <xf numFmtId="164" fontId="28" fillId="0" borderId="0" xfId="44" applyNumberFormat="1" applyFont="1" applyAlignment="1">
      <alignment horizontal="center"/>
    </xf>
    <xf numFmtId="10" fontId="9" fillId="0" borderId="0" xfId="50" applyNumberFormat="1" applyFont="1" applyFill="1" applyAlignment="1">
      <alignment horizontal="center" vertical="center"/>
    </xf>
    <xf numFmtId="164" fontId="2" fillId="26" borderId="0" xfId="0" applyNumberFormat="1" applyFont="1" applyFill="1"/>
    <xf numFmtId="168" fontId="9" fillId="0" borderId="0" xfId="59" applyNumberFormat="1" applyFont="1" applyFill="1" applyAlignment="1">
      <alignment horizontal="center"/>
    </xf>
    <xf numFmtId="165" fontId="9" fillId="0" borderId="0" xfId="57" applyNumberFormat="1"/>
    <xf numFmtId="0" fontId="35" fillId="24" borderId="13" xfId="0" applyFont="1" applyFill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9" fillId="0" borderId="0" xfId="44" applyFont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</cellXfs>
  <cellStyles count="6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urrency" xfId="32" builtinId="4"/>
    <cellStyle name="Currency 2" xfId="33" xr:uid="{00000000-0005-0000-0000-000020000000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- Style1 11 2 2" xfId="57" xr:uid="{995CCE7B-D044-4EE3-B632-38765048EF22}"/>
    <cellStyle name="Normal 2" xfId="44" xr:uid="{00000000-0005-0000-0000-00002C000000}"/>
    <cellStyle name="Normal 2 2" xfId="45" xr:uid="{00000000-0005-0000-0000-00002D000000}"/>
    <cellStyle name="Normal 3" xfId="46" xr:uid="{00000000-0005-0000-0000-00002E000000}"/>
    <cellStyle name="Normal 4" xfId="47" xr:uid="{00000000-0005-0000-0000-00002F000000}"/>
    <cellStyle name="Normal 4 2" xfId="58" xr:uid="{98DFD3A2-F662-4394-B920-EAE0C483BB91}"/>
    <cellStyle name="Normal 5" xfId="60" xr:uid="{4E691096-4727-49FF-8BE7-597AD603C724}"/>
    <cellStyle name="Note" xfId="48" builtinId="10" customBuiltin="1"/>
    <cellStyle name="Output" xfId="49" builtinId="21" customBuiltin="1"/>
    <cellStyle name="Percent" xfId="50" builtinId="5"/>
    <cellStyle name="Percent 10 2 2" xfId="59" xr:uid="{22A3600E-B69D-4FF3-8F36-20D9263DB174}"/>
    <cellStyle name="Percent 2" xfId="51" xr:uid="{00000000-0005-0000-0000-000033000000}"/>
    <cellStyle name="Percent 3" xfId="52" xr:uid="{00000000-0005-0000-0000-000034000000}"/>
    <cellStyle name="Percent 4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18</xdr:col>
      <xdr:colOff>253264</xdr:colOff>
      <xdr:row>46</xdr:row>
      <xdr:rowOff>132882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858E3-5ED6-D460-F7BF-3DC0AD44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8464" y="7878536"/>
          <a:ext cx="11695238" cy="1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zoomScaleNormal="100" zoomScaleSheetLayoutView="100" workbookViewId="0">
      <selection activeCell="H18" sqref="H18"/>
    </sheetView>
  </sheetViews>
  <sheetFormatPr defaultRowHeight="15" x14ac:dyDescent="0.2"/>
  <cols>
    <col min="1" max="1" width="2.77734375" customWidth="1"/>
    <col min="2" max="2" width="26.77734375" customWidth="1"/>
    <col min="3" max="7" width="11.77734375" customWidth="1"/>
    <col min="8" max="12" width="9.5546875" customWidth="1"/>
    <col min="13" max="13" width="10.109375" customWidth="1"/>
    <col min="14" max="14" width="14.109375" customWidth="1"/>
  </cols>
  <sheetData>
    <row r="2" spans="2:15" ht="15.75" x14ac:dyDescent="0.25">
      <c r="B2" s="21" t="s">
        <v>0</v>
      </c>
      <c r="C2" s="21"/>
      <c r="D2" s="21"/>
      <c r="E2" s="21"/>
      <c r="F2" s="20"/>
      <c r="G2" s="20"/>
      <c r="H2" s="20"/>
      <c r="I2" s="20"/>
      <c r="J2" s="20"/>
      <c r="K2" s="20"/>
      <c r="L2" s="20"/>
      <c r="M2" s="20"/>
    </row>
    <row r="3" spans="2:15" ht="15.75" x14ac:dyDescent="0.25">
      <c r="B3" s="21" t="s">
        <v>1</v>
      </c>
      <c r="C3" s="21"/>
      <c r="D3" s="21"/>
      <c r="E3" s="21"/>
      <c r="F3" s="20"/>
      <c r="G3" s="20"/>
      <c r="H3" s="20"/>
      <c r="I3" s="20"/>
      <c r="J3" s="20"/>
      <c r="K3" s="20"/>
      <c r="L3" s="20"/>
      <c r="M3" s="20"/>
    </row>
    <row r="4" spans="2:15" ht="15.75" x14ac:dyDescent="0.25">
      <c r="B4" s="21" t="s">
        <v>2</v>
      </c>
      <c r="C4" s="21"/>
      <c r="D4" s="21"/>
      <c r="E4" s="21"/>
      <c r="F4" s="20"/>
      <c r="G4" s="20"/>
      <c r="H4" s="20"/>
      <c r="I4" s="20"/>
      <c r="J4" s="20"/>
      <c r="K4" s="20"/>
      <c r="L4" s="20"/>
      <c r="M4" s="20"/>
    </row>
    <row r="5" spans="2:15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5" ht="15.75" x14ac:dyDescent="0.25">
      <c r="B6" s="21" t="s">
        <v>3</v>
      </c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</row>
    <row r="7" spans="2:15" ht="15.75" x14ac:dyDescent="0.25">
      <c r="B7" s="21" t="s">
        <v>4</v>
      </c>
      <c r="C7" s="21"/>
      <c r="D7" s="21"/>
      <c r="E7" s="21"/>
      <c r="F7" s="20"/>
      <c r="G7" s="20"/>
      <c r="H7" s="20"/>
      <c r="I7" s="20"/>
      <c r="J7" s="20"/>
      <c r="K7" s="20"/>
      <c r="L7" s="20"/>
      <c r="M7" s="20"/>
    </row>
    <row r="8" spans="2:15" ht="15.75" x14ac:dyDescent="0.25">
      <c r="B8" s="21"/>
      <c r="C8" s="21"/>
      <c r="D8" s="21"/>
      <c r="E8" s="21"/>
      <c r="F8" s="20"/>
      <c r="G8" s="20"/>
      <c r="H8" s="20"/>
      <c r="I8" s="20"/>
      <c r="J8" s="20"/>
      <c r="K8" s="20"/>
      <c r="L8" s="20"/>
      <c r="M8" s="20"/>
    </row>
    <row r="9" spans="2:15" ht="16.5" thickBot="1" x14ac:dyDescent="0.3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2:15" ht="15.75" x14ac:dyDescent="0.25">
      <c r="B10" s="22"/>
      <c r="C10" s="190" t="s">
        <v>5</v>
      </c>
      <c r="D10" s="190"/>
      <c r="E10" s="190"/>
      <c r="F10" s="190"/>
      <c r="G10" s="190"/>
      <c r="H10" s="191" t="s">
        <v>6</v>
      </c>
      <c r="I10" s="191"/>
      <c r="J10" s="191"/>
      <c r="K10" s="191"/>
      <c r="L10" s="191"/>
      <c r="M10" s="191"/>
    </row>
    <row r="11" spans="2:15" ht="16.5" thickBot="1" x14ac:dyDescent="0.3">
      <c r="B11" s="23"/>
      <c r="C11" s="24">
        <v>2010</v>
      </c>
      <c r="D11" s="24">
        <v>2011</v>
      </c>
      <c r="E11" s="24">
        <v>2012</v>
      </c>
      <c r="F11" s="24">
        <v>2013</v>
      </c>
      <c r="G11" s="24">
        <v>2014</v>
      </c>
      <c r="H11" s="25">
        <v>2022</v>
      </c>
      <c r="I11" s="25">
        <v>2023</v>
      </c>
      <c r="J11" s="25">
        <v>2024</v>
      </c>
      <c r="K11" s="25">
        <v>2025</v>
      </c>
      <c r="L11" s="25">
        <v>2026</v>
      </c>
      <c r="M11" s="25">
        <v>2027</v>
      </c>
      <c r="N11" s="5"/>
      <c r="O11" s="5"/>
    </row>
    <row r="12" spans="2:15" ht="19.5" customHeight="1" x14ac:dyDescent="0.25">
      <c r="B12" s="20" t="s">
        <v>7</v>
      </c>
      <c r="C12" s="26">
        <v>3.7</v>
      </c>
      <c r="D12" s="26"/>
      <c r="E12" s="26"/>
      <c r="F12" s="26"/>
      <c r="G12" s="26"/>
      <c r="H12" s="27"/>
      <c r="I12" s="27"/>
      <c r="J12" s="27"/>
      <c r="K12" s="27"/>
      <c r="L12" s="27"/>
      <c r="M12" s="27"/>
    </row>
    <row r="13" spans="2:15" ht="19.5" customHeight="1" x14ac:dyDescent="0.25">
      <c r="B13" s="20" t="s">
        <v>8</v>
      </c>
      <c r="C13" s="26"/>
      <c r="D13" s="26">
        <v>19.700123999999999</v>
      </c>
      <c r="E13" s="26"/>
      <c r="F13" s="26"/>
      <c r="G13" s="26"/>
      <c r="H13" s="27"/>
      <c r="I13" s="27"/>
      <c r="J13" s="27"/>
      <c r="K13" s="27"/>
      <c r="L13" s="27"/>
      <c r="M13" s="27"/>
    </row>
    <row r="14" spans="2:15" ht="19.5" customHeight="1" x14ac:dyDescent="0.25">
      <c r="B14" s="20" t="s">
        <v>9</v>
      </c>
      <c r="C14" s="26"/>
      <c r="D14" s="26"/>
      <c r="E14" s="26">
        <v>19.700123999999999</v>
      </c>
      <c r="F14" s="26"/>
      <c r="G14" s="26"/>
      <c r="H14" s="27"/>
      <c r="I14" s="27"/>
      <c r="J14" s="27"/>
      <c r="K14" s="27"/>
      <c r="L14" s="27"/>
      <c r="M14" s="27"/>
    </row>
    <row r="15" spans="2:15" ht="19.5" customHeight="1" x14ac:dyDescent="0.25">
      <c r="B15" s="20" t="s">
        <v>10</v>
      </c>
      <c r="C15" s="26"/>
      <c r="D15" s="26"/>
      <c r="E15" s="26"/>
      <c r="F15" s="26">
        <v>19.700123999999999</v>
      </c>
      <c r="G15" s="26"/>
      <c r="H15" s="27"/>
      <c r="I15" s="27"/>
      <c r="J15" s="27"/>
      <c r="K15" s="27"/>
      <c r="L15" s="27"/>
      <c r="M15" s="27"/>
    </row>
    <row r="16" spans="2:15" ht="19.5" customHeight="1" x14ac:dyDescent="0.25">
      <c r="B16" s="20" t="s">
        <v>11</v>
      </c>
      <c r="C16" s="26"/>
      <c r="D16" s="26"/>
      <c r="E16" s="26"/>
      <c r="F16" s="26"/>
      <c r="G16" s="26">
        <v>19.700123999999999</v>
      </c>
      <c r="H16" s="28"/>
      <c r="I16" s="29"/>
      <c r="J16" s="29"/>
      <c r="K16" s="29"/>
      <c r="L16" s="29"/>
      <c r="M16" s="29"/>
    </row>
    <row r="17" spans="1:13" ht="19.5" customHeight="1" x14ac:dyDescent="0.25">
      <c r="B17" s="20"/>
      <c r="C17" s="26"/>
      <c r="D17" s="26"/>
      <c r="E17" s="26"/>
      <c r="F17" s="26"/>
      <c r="G17" s="26"/>
      <c r="H17" s="28"/>
      <c r="I17" s="29"/>
      <c r="J17" s="29"/>
      <c r="K17" s="29"/>
      <c r="L17" s="29"/>
      <c r="M17" s="29"/>
    </row>
    <row r="18" spans="1:13" ht="19.5" customHeight="1" x14ac:dyDescent="0.25">
      <c r="B18" s="20" t="s">
        <v>12</v>
      </c>
      <c r="C18" s="26"/>
      <c r="D18" s="26"/>
      <c r="E18" s="26"/>
      <c r="F18" s="26"/>
      <c r="G18" s="26"/>
      <c r="H18" s="30">
        <f>'Revenue Requirement'!V28</f>
        <v>9.8874212719836958</v>
      </c>
      <c r="I18" s="29"/>
      <c r="J18" s="29"/>
      <c r="K18" s="29"/>
      <c r="L18" s="29"/>
      <c r="M18" s="29"/>
    </row>
    <row r="19" spans="1:13" ht="19.5" customHeight="1" x14ac:dyDescent="0.25">
      <c r="B19" s="20"/>
      <c r="C19" s="31">
        <f>SUM(C12:C18)</f>
        <v>3.7</v>
      </c>
      <c r="D19" s="31">
        <f>SUM(D12:D18)</f>
        <v>19.700123999999999</v>
      </c>
      <c r="E19" s="31">
        <f>SUM(E12:E18)</f>
        <v>19.700123999999999</v>
      </c>
      <c r="F19" s="31">
        <f>SUM(F12:F18)</f>
        <v>19.700123999999999</v>
      </c>
      <c r="G19" s="31">
        <f>SUM(G12:G18)</f>
        <v>19.700123999999999</v>
      </c>
      <c r="H19" s="32">
        <f>H18</f>
        <v>9.8874212719836958</v>
      </c>
      <c r="I19" s="32">
        <f>H19</f>
        <v>9.8874212719836958</v>
      </c>
      <c r="J19" s="32">
        <f>H19</f>
        <v>9.8874212719836958</v>
      </c>
      <c r="K19" s="32">
        <f>H19</f>
        <v>9.8874212719836958</v>
      </c>
      <c r="L19" s="32">
        <f>H19</f>
        <v>9.8874212719836958</v>
      </c>
      <c r="M19" s="32">
        <f>H19</f>
        <v>9.8874212719836958</v>
      </c>
    </row>
    <row r="20" spans="1:13" ht="15.7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7"/>
    </row>
    <row r="21" spans="1:13" ht="15.75" x14ac:dyDescent="0.25">
      <c r="A21" s="33" t="s">
        <v>13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s="1" customFormat="1" ht="16.5" customHeight="1" x14ac:dyDescent="0.25">
      <c r="A22" s="52" t="s">
        <v>14</v>
      </c>
      <c r="B22" s="52"/>
      <c r="C22" s="33"/>
      <c r="D22" s="33"/>
      <c r="E22" s="33"/>
      <c r="F22" s="33"/>
      <c r="G22" s="33"/>
      <c r="H22" s="33"/>
    </row>
    <row r="23" spans="1:13" ht="15.75" x14ac:dyDescent="0.25">
      <c r="A23" s="34" t="s">
        <v>15</v>
      </c>
      <c r="B23" s="33" t="s">
        <v>16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5.75" x14ac:dyDescent="0.25">
      <c r="A24" s="34" t="s">
        <v>17</v>
      </c>
      <c r="B24" s="33" t="s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7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30" spans="1:13" x14ac:dyDescent="0.2">
      <c r="H30" s="6"/>
    </row>
  </sheetData>
  <mergeCells count="2">
    <mergeCell ref="C10:G10"/>
    <mergeCell ref="H10:M10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9983-2E41-4D05-A1A9-70A2C0EDC810}">
  <dimension ref="A2:AA57"/>
  <sheetViews>
    <sheetView showGridLines="0" tabSelected="1" zoomScale="85" zoomScaleNormal="85" workbookViewId="0">
      <selection activeCell="A34" sqref="A34"/>
    </sheetView>
  </sheetViews>
  <sheetFormatPr defaultRowHeight="15" x14ac:dyDescent="0.2"/>
  <cols>
    <col min="1" max="1" width="47.21875" customWidth="1"/>
    <col min="2" max="2" width="13.5546875" customWidth="1"/>
    <col min="3" max="3" width="11.21875" customWidth="1"/>
    <col min="4" max="4" width="11.88671875" customWidth="1"/>
    <col min="5" max="19" width="11.21875" customWidth="1"/>
    <col min="22" max="22" width="12.77734375" bestFit="1" customWidth="1"/>
  </cols>
  <sheetData>
    <row r="2" spans="1:27" ht="18" x14ac:dyDescent="0.25">
      <c r="A2" s="192" t="s">
        <v>19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27" ht="18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27" ht="15.75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5"/>
      <c r="L4" s="145"/>
      <c r="M4" s="145"/>
      <c r="N4" s="145"/>
      <c r="O4" s="145"/>
      <c r="P4" s="71"/>
      <c r="Q4" s="71"/>
      <c r="R4" s="71"/>
      <c r="S4" s="71"/>
      <c r="Z4" s="144"/>
    </row>
    <row r="5" spans="1:27" ht="18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3"/>
      <c r="L5" s="143"/>
      <c r="M5" s="143"/>
      <c r="N5" s="143"/>
      <c r="O5" s="146" t="s">
        <v>20</v>
      </c>
      <c r="P5" s="146" t="s">
        <v>20</v>
      </c>
      <c r="Q5" s="146" t="s">
        <v>20</v>
      </c>
      <c r="R5" s="146" t="s">
        <v>20</v>
      </c>
      <c r="S5" s="146" t="s">
        <v>20</v>
      </c>
      <c r="W5" s="147"/>
      <c r="Z5" s="144"/>
    </row>
    <row r="6" spans="1:27" x14ac:dyDescent="0.2">
      <c r="A6" s="141" t="s">
        <v>21</v>
      </c>
      <c r="B6" s="142">
        <v>2010</v>
      </c>
      <c r="C6" s="142">
        <v>2011</v>
      </c>
      <c r="D6" s="142">
        <v>2012</v>
      </c>
      <c r="E6" s="142">
        <v>2013</v>
      </c>
      <c r="F6" s="142">
        <v>2014</v>
      </c>
      <c r="G6" s="142">
        <v>2015</v>
      </c>
      <c r="H6" s="142">
        <v>2016</v>
      </c>
      <c r="I6" s="142">
        <v>2017</v>
      </c>
      <c r="J6" s="142">
        <v>2018</v>
      </c>
      <c r="K6" s="142">
        <v>2019</v>
      </c>
      <c r="L6" s="142">
        <v>2020</v>
      </c>
      <c r="M6" s="142">
        <v>2021</v>
      </c>
      <c r="N6" s="142">
        <v>2022</v>
      </c>
      <c r="O6" s="142">
        <v>2023</v>
      </c>
      <c r="P6" s="142">
        <v>2024</v>
      </c>
      <c r="Q6" s="142">
        <v>2025</v>
      </c>
      <c r="R6" s="142">
        <v>2026</v>
      </c>
      <c r="S6" s="142">
        <v>2027</v>
      </c>
    </row>
    <row r="7" spans="1:27" x14ac:dyDescent="0.2">
      <c r="A7" s="143" t="s">
        <v>22</v>
      </c>
      <c r="B7" s="179">
        <v>0.52873862955990214</v>
      </c>
      <c r="C7" s="179">
        <v>4.6135146951598598</v>
      </c>
      <c r="D7" s="179">
        <v>3.4390667231241929</v>
      </c>
      <c r="E7" s="179">
        <v>1.5034480514816186</v>
      </c>
      <c r="F7" s="179">
        <v>24.693388753056233</v>
      </c>
      <c r="G7" s="179">
        <v>17.652849800000002</v>
      </c>
      <c r="H7" s="179">
        <v>16.449737300000002</v>
      </c>
      <c r="I7" s="179">
        <v>4.5499381100000003</v>
      </c>
      <c r="J7" s="179">
        <v>5.401435750000001</v>
      </c>
      <c r="K7" s="179">
        <v>5.4342160300000053</v>
      </c>
      <c r="L7" s="179">
        <v>0.79593007000000071</v>
      </c>
      <c r="M7" s="179">
        <v>0.17993080999999997</v>
      </c>
      <c r="N7" s="179">
        <v>0.65868479000000002</v>
      </c>
      <c r="O7" s="180">
        <v>2.5324607196286202</v>
      </c>
      <c r="P7" s="180">
        <v>2.5324607196286202</v>
      </c>
      <c r="Q7" s="180">
        <v>1.4800230000000001</v>
      </c>
      <c r="R7" s="180">
        <v>1.4801530000000001</v>
      </c>
      <c r="S7" s="180">
        <f>1.480287</f>
        <v>1.4802869999999999</v>
      </c>
      <c r="T7" s="154"/>
    </row>
    <row r="8" spans="1:27" x14ac:dyDescent="0.2">
      <c r="A8" s="143" t="s">
        <v>23</v>
      </c>
      <c r="B8" s="179"/>
      <c r="C8" s="179">
        <v>4.9707520000000001</v>
      </c>
      <c r="D8" s="179">
        <v>4.7931949143068815</v>
      </c>
      <c r="E8" s="179">
        <v>2.3827896472412649</v>
      </c>
      <c r="F8" s="179">
        <v>1.5601527395709278</v>
      </c>
      <c r="G8" s="179">
        <v>2.4920810000000002</v>
      </c>
      <c r="H8" s="179">
        <v>2.5118189800000001</v>
      </c>
      <c r="I8" s="179">
        <v>3.1865520000000003</v>
      </c>
      <c r="J8" s="179">
        <v>1.8419311399999998</v>
      </c>
      <c r="K8" s="179">
        <v>2.0692840000000001</v>
      </c>
      <c r="L8" s="179">
        <v>2.0172791000000001</v>
      </c>
      <c r="M8" s="179">
        <v>2.4597231000000002</v>
      </c>
      <c r="N8" s="179">
        <v>2.1960820999999999</v>
      </c>
      <c r="O8" s="180">
        <v>1.5202610000000001</v>
      </c>
      <c r="P8" s="180">
        <v>1.569669</v>
      </c>
      <c r="Q8" s="180">
        <v>1.6206830000000001</v>
      </c>
      <c r="R8" s="180">
        <v>1.6733560000000001</v>
      </c>
      <c r="S8" s="180">
        <v>1.7277400000000001</v>
      </c>
      <c r="T8" s="154"/>
    </row>
    <row r="9" spans="1:27" x14ac:dyDescent="0.2">
      <c r="A9" s="143" t="s">
        <v>24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80"/>
      <c r="P9" s="180"/>
      <c r="Q9" s="180"/>
      <c r="R9" s="180"/>
      <c r="S9" s="180"/>
      <c r="W9" s="148"/>
      <c r="X9" s="148"/>
      <c r="Y9" s="148"/>
      <c r="Z9" s="148"/>
      <c r="AA9" s="148"/>
    </row>
    <row r="10" spans="1:27" x14ac:dyDescent="0.2">
      <c r="A10" s="143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X10" s="149"/>
      <c r="Y10" s="149"/>
      <c r="Z10" s="149"/>
      <c r="AA10" s="149"/>
    </row>
    <row r="11" spans="1:27" x14ac:dyDescent="0.2">
      <c r="A11" s="143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</row>
    <row r="12" spans="1:27" ht="18" x14ac:dyDescent="0.25">
      <c r="A12" s="143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3"/>
      <c r="P12" s="183"/>
      <c r="Q12" s="183"/>
      <c r="R12" s="183"/>
      <c r="S12" s="183"/>
    </row>
    <row r="13" spans="1:27" ht="17.25" customHeight="1" x14ac:dyDescent="0.25">
      <c r="A13" s="143" t="s">
        <v>25</v>
      </c>
      <c r="B13" s="186">
        <v>0.182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</row>
    <row r="14" spans="1:27" ht="18" x14ac:dyDescent="0.25">
      <c r="A14" s="143"/>
      <c r="B14" s="184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</row>
    <row r="15" spans="1:27" ht="18" x14ac:dyDescent="0.25">
      <c r="A15" s="143"/>
      <c r="B15" s="184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27" ht="18" x14ac:dyDescent="0.25">
      <c r="A16" s="139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</row>
    <row r="17" spans="1:27" ht="15.75" x14ac:dyDescent="0.25">
      <c r="A17" s="143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Z17" s="144"/>
    </row>
    <row r="18" spans="1:27" ht="18" x14ac:dyDescent="0.25">
      <c r="A18" s="140"/>
      <c r="B18" s="183"/>
      <c r="C18" s="183"/>
      <c r="D18" s="183"/>
      <c r="E18" s="183"/>
      <c r="F18" s="183"/>
      <c r="G18" s="183"/>
      <c r="H18" s="183"/>
      <c r="I18" s="183"/>
      <c r="J18" s="183"/>
      <c r="K18" s="181"/>
      <c r="L18" s="181"/>
      <c r="M18" s="181"/>
      <c r="N18" s="181"/>
      <c r="O18" s="185" t="s">
        <v>20</v>
      </c>
      <c r="P18" s="185" t="s">
        <v>20</v>
      </c>
      <c r="Q18" s="185" t="s">
        <v>20</v>
      </c>
      <c r="R18" s="185" t="s">
        <v>20</v>
      </c>
      <c r="S18" s="185" t="s">
        <v>20</v>
      </c>
      <c r="W18" s="147"/>
      <c r="Z18" s="144"/>
    </row>
    <row r="19" spans="1:27" x14ac:dyDescent="0.2">
      <c r="A19" s="141" t="s">
        <v>26</v>
      </c>
      <c r="B19" s="142">
        <v>2010</v>
      </c>
      <c r="C19" s="142">
        <v>2011</v>
      </c>
      <c r="D19" s="142">
        <v>2012</v>
      </c>
      <c r="E19" s="142">
        <v>2013</v>
      </c>
      <c r="F19" s="142">
        <v>2014</v>
      </c>
      <c r="G19" s="142">
        <v>2015</v>
      </c>
      <c r="H19" s="142">
        <v>2016</v>
      </c>
      <c r="I19" s="142">
        <v>2017</v>
      </c>
      <c r="J19" s="142">
        <v>2018</v>
      </c>
      <c r="K19" s="142">
        <v>2019</v>
      </c>
      <c r="L19" s="142">
        <v>2020</v>
      </c>
      <c r="M19" s="142">
        <v>2021</v>
      </c>
      <c r="N19" s="142">
        <v>2022</v>
      </c>
      <c r="O19" s="142">
        <v>2023</v>
      </c>
      <c r="P19" s="142">
        <v>2024</v>
      </c>
      <c r="Q19" s="142">
        <v>2025</v>
      </c>
      <c r="R19" s="142">
        <v>2026</v>
      </c>
      <c r="S19" s="142">
        <v>2027</v>
      </c>
    </row>
    <row r="20" spans="1:27" x14ac:dyDescent="0.2">
      <c r="A20" s="143" t="s">
        <v>22</v>
      </c>
      <c r="B20" s="179">
        <f t="shared" ref="B20:S20" si="0">81.8%*B7</f>
        <v>0.43250819897999992</v>
      </c>
      <c r="C20" s="179">
        <f t="shared" si="0"/>
        <v>3.7738550206407653</v>
      </c>
      <c r="D20" s="179">
        <f t="shared" si="0"/>
        <v>2.8131565795155895</v>
      </c>
      <c r="E20" s="179">
        <f t="shared" si="0"/>
        <v>1.229820506111964</v>
      </c>
      <c r="F20" s="179">
        <f t="shared" si="0"/>
        <v>20.199191999999996</v>
      </c>
      <c r="G20" s="179">
        <f t="shared" si="0"/>
        <v>14.4400311364</v>
      </c>
      <c r="H20" s="179">
        <f t="shared" si="0"/>
        <v>13.455885111400001</v>
      </c>
      <c r="I20" s="179">
        <f t="shared" si="0"/>
        <v>3.72184937398</v>
      </c>
      <c r="J20" s="179">
        <f t="shared" si="0"/>
        <v>4.4183744435000003</v>
      </c>
      <c r="K20" s="179">
        <f t="shared" si="0"/>
        <v>4.4451887125400038</v>
      </c>
      <c r="L20" s="179">
        <f t="shared" si="0"/>
        <v>0.6510707972600005</v>
      </c>
      <c r="M20" s="179">
        <f t="shared" si="0"/>
        <v>0.14718340257999996</v>
      </c>
      <c r="N20" s="179">
        <f t="shared" si="0"/>
        <v>0.53880415821999994</v>
      </c>
      <c r="O20" s="179">
        <f t="shared" si="0"/>
        <v>2.071552868656211</v>
      </c>
      <c r="P20" s="179">
        <f t="shared" si="0"/>
        <v>2.071552868656211</v>
      </c>
      <c r="Q20" s="179">
        <f t="shared" si="0"/>
        <v>1.2106588140000001</v>
      </c>
      <c r="R20" s="179">
        <f t="shared" si="0"/>
        <v>1.210765154</v>
      </c>
      <c r="S20" s="179">
        <f t="shared" si="0"/>
        <v>1.2108747659999999</v>
      </c>
    </row>
    <row r="21" spans="1:27" x14ac:dyDescent="0.2">
      <c r="A21" s="143" t="s">
        <v>23</v>
      </c>
      <c r="B21" s="179">
        <v>0</v>
      </c>
      <c r="C21" s="179">
        <f>C8*89.04%</f>
        <v>4.4259575808000005</v>
      </c>
      <c r="D21" s="179">
        <f t="shared" ref="D21:S21" si="1">81.8%*D8</f>
        <v>3.9208334399030287</v>
      </c>
      <c r="E21" s="179">
        <f t="shared" si="1"/>
        <v>1.9491219314433545</v>
      </c>
      <c r="F21" s="179">
        <f t="shared" si="1"/>
        <v>1.2762049409690188</v>
      </c>
      <c r="G21" s="179">
        <f t="shared" si="1"/>
        <v>2.038522258</v>
      </c>
      <c r="H21" s="179">
        <f t="shared" si="1"/>
        <v>2.05466792564</v>
      </c>
      <c r="I21" s="179">
        <f t="shared" si="1"/>
        <v>2.6065995360000001</v>
      </c>
      <c r="J21" s="179">
        <f t="shared" si="1"/>
        <v>1.5066996725199997</v>
      </c>
      <c r="K21" s="179">
        <f t="shared" si="1"/>
        <v>1.6926743120000001</v>
      </c>
      <c r="L21" s="179">
        <f t="shared" si="1"/>
        <v>1.6501343038</v>
      </c>
      <c r="M21" s="179">
        <f t="shared" si="1"/>
        <v>2.0120534958</v>
      </c>
      <c r="N21" s="179">
        <f t="shared" si="1"/>
        <v>1.7963951577999999</v>
      </c>
      <c r="O21" s="179">
        <f t="shared" si="1"/>
        <v>1.2435734979999999</v>
      </c>
      <c r="P21" s="179">
        <f t="shared" si="1"/>
        <v>1.2839892419999999</v>
      </c>
      <c r="Q21" s="179">
        <f t="shared" si="1"/>
        <v>1.3257186940000001</v>
      </c>
      <c r="R21" s="179">
        <f t="shared" si="1"/>
        <v>1.3688052079999999</v>
      </c>
      <c r="S21" s="179">
        <f t="shared" si="1"/>
        <v>1.4132913199999999</v>
      </c>
    </row>
    <row r="22" spans="1:27" x14ac:dyDescent="0.2">
      <c r="A22" s="143" t="s">
        <v>24</v>
      </c>
      <c r="B22" s="179">
        <v>0</v>
      </c>
      <c r="C22" s="179">
        <v>0</v>
      </c>
      <c r="D22" s="179">
        <v>0</v>
      </c>
      <c r="E22" s="179">
        <v>0</v>
      </c>
      <c r="F22" s="179">
        <v>0</v>
      </c>
      <c r="G22" s="179">
        <v>0</v>
      </c>
      <c r="H22" s="179">
        <v>0</v>
      </c>
      <c r="I22" s="179">
        <v>0</v>
      </c>
      <c r="J22" s="179">
        <v>0</v>
      </c>
      <c r="K22" s="179">
        <v>0</v>
      </c>
      <c r="L22" s="179">
        <v>0</v>
      </c>
      <c r="M22" s="179">
        <v>0</v>
      </c>
      <c r="N22" s="179">
        <v>0</v>
      </c>
      <c r="O22" s="180">
        <v>0</v>
      </c>
      <c r="P22" s="180">
        <v>0</v>
      </c>
      <c r="Q22" s="180">
        <v>0</v>
      </c>
      <c r="R22" s="180">
        <v>0</v>
      </c>
      <c r="S22" s="180">
        <v>0</v>
      </c>
      <c r="W22" s="148"/>
      <c r="X22" s="148"/>
      <c r="Y22" s="148"/>
      <c r="Z22" s="148"/>
      <c r="AA22" s="148"/>
    </row>
    <row r="23" spans="1:27" x14ac:dyDescent="0.2">
      <c r="A23" s="143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X23" s="149"/>
      <c r="Y23" s="149"/>
      <c r="Z23" s="149"/>
      <c r="AA23" s="149"/>
    </row>
    <row r="24" spans="1:27" x14ac:dyDescent="0.2">
      <c r="A24" s="143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</row>
    <row r="25" spans="1:27" x14ac:dyDescent="0.2">
      <c r="A25" s="143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</row>
    <row r="26" spans="1:27" x14ac:dyDescent="0.2">
      <c r="A26" s="143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</row>
    <row r="27" spans="1:27" x14ac:dyDescent="0.2">
      <c r="A27" s="141" t="s">
        <v>27</v>
      </c>
      <c r="B27" s="142">
        <v>2010</v>
      </c>
      <c r="C27" s="142">
        <v>2011</v>
      </c>
      <c r="D27" s="142">
        <v>2012</v>
      </c>
      <c r="E27" s="142">
        <v>2013</v>
      </c>
      <c r="F27" s="142">
        <v>2014</v>
      </c>
      <c r="G27" s="142">
        <v>2015</v>
      </c>
      <c r="H27" s="142">
        <v>2016</v>
      </c>
      <c r="I27" s="142">
        <v>2017</v>
      </c>
      <c r="J27" s="142">
        <v>2018</v>
      </c>
      <c r="K27" s="142">
        <v>2019</v>
      </c>
      <c r="L27" s="142">
        <v>2020</v>
      </c>
      <c r="M27" s="142">
        <v>2021</v>
      </c>
      <c r="N27" s="142">
        <v>2022</v>
      </c>
      <c r="O27" s="142">
        <v>2023</v>
      </c>
      <c r="P27" s="142">
        <v>2024</v>
      </c>
      <c r="Q27" s="142">
        <v>2025</v>
      </c>
      <c r="R27" s="142">
        <v>2026</v>
      </c>
      <c r="S27" s="142">
        <v>2027</v>
      </c>
    </row>
    <row r="28" spans="1:27" x14ac:dyDescent="0.2">
      <c r="A28" s="143" t="s">
        <v>22</v>
      </c>
      <c r="B28" s="179">
        <f>B20</f>
        <v>0.43250819897999992</v>
      </c>
      <c r="C28" s="179">
        <f t="shared" ref="C28:S28" si="2">C20</f>
        <v>3.7738550206407653</v>
      </c>
      <c r="D28" s="179">
        <f t="shared" si="2"/>
        <v>2.8131565795155895</v>
      </c>
      <c r="E28" s="179">
        <f t="shared" si="2"/>
        <v>1.229820506111964</v>
      </c>
      <c r="F28" s="179">
        <f t="shared" si="2"/>
        <v>20.199191999999996</v>
      </c>
      <c r="G28" s="179">
        <f t="shared" si="2"/>
        <v>14.4400311364</v>
      </c>
      <c r="H28" s="179">
        <f t="shared" si="2"/>
        <v>13.455885111400001</v>
      </c>
      <c r="I28" s="179">
        <f t="shared" si="2"/>
        <v>3.72184937398</v>
      </c>
      <c r="J28" s="179">
        <f t="shared" si="2"/>
        <v>4.4183744435000003</v>
      </c>
      <c r="K28" s="179">
        <f t="shared" si="2"/>
        <v>4.4451887125400038</v>
      </c>
      <c r="L28" s="179">
        <f t="shared" si="2"/>
        <v>0.6510707972600005</v>
      </c>
      <c r="M28" s="179">
        <f t="shared" si="2"/>
        <v>0.14718340257999996</v>
      </c>
      <c r="N28" s="179">
        <f t="shared" si="2"/>
        <v>0.53880415821999994</v>
      </c>
      <c r="O28" s="179">
        <f t="shared" si="2"/>
        <v>2.071552868656211</v>
      </c>
      <c r="P28" s="179">
        <f t="shared" si="2"/>
        <v>2.071552868656211</v>
      </c>
      <c r="Q28" s="179">
        <f t="shared" si="2"/>
        <v>1.2106588140000001</v>
      </c>
      <c r="R28" s="179">
        <f t="shared" si="2"/>
        <v>1.210765154</v>
      </c>
      <c r="S28" s="179">
        <f t="shared" si="2"/>
        <v>1.2108747659999999</v>
      </c>
    </row>
    <row r="29" spans="1:27" x14ac:dyDescent="0.2">
      <c r="A29" s="143" t="s">
        <v>23</v>
      </c>
      <c r="B29" s="179">
        <f>B21</f>
        <v>0</v>
      </c>
      <c r="C29" s="179">
        <f>C21</f>
        <v>4.4259575808000005</v>
      </c>
      <c r="D29" s="179">
        <f t="shared" ref="D29:S29" si="3">D21</f>
        <v>3.9208334399030287</v>
      </c>
      <c r="E29" s="179">
        <f t="shared" si="3"/>
        <v>1.9491219314433545</v>
      </c>
      <c r="F29" s="179">
        <f t="shared" si="3"/>
        <v>1.2762049409690188</v>
      </c>
      <c r="G29" s="179">
        <f t="shared" si="3"/>
        <v>2.038522258</v>
      </c>
      <c r="H29" s="179">
        <f t="shared" si="3"/>
        <v>2.05466792564</v>
      </c>
      <c r="I29" s="179">
        <f t="shared" si="3"/>
        <v>2.6065995360000001</v>
      </c>
      <c r="J29" s="179">
        <f t="shared" si="3"/>
        <v>1.5066996725199997</v>
      </c>
      <c r="K29" s="179">
        <f t="shared" si="3"/>
        <v>1.6926743120000001</v>
      </c>
      <c r="L29" s="179">
        <f t="shared" si="3"/>
        <v>1.6501343038</v>
      </c>
      <c r="M29" s="179">
        <f t="shared" si="3"/>
        <v>2.0120534958</v>
      </c>
      <c r="N29" s="179">
        <f t="shared" si="3"/>
        <v>1.7963951577999999</v>
      </c>
      <c r="O29" s="179">
        <f t="shared" si="3"/>
        <v>1.2435734979999999</v>
      </c>
      <c r="P29" s="179">
        <f t="shared" si="3"/>
        <v>1.2839892419999999</v>
      </c>
      <c r="Q29" s="179">
        <f t="shared" si="3"/>
        <v>1.3257186940000001</v>
      </c>
      <c r="R29" s="179">
        <f t="shared" si="3"/>
        <v>1.3688052079999999</v>
      </c>
      <c r="S29" s="179">
        <f t="shared" si="3"/>
        <v>1.4132913199999999</v>
      </c>
    </row>
    <row r="30" spans="1:27" x14ac:dyDescent="0.2">
      <c r="A30" s="143" t="s">
        <v>24</v>
      </c>
      <c r="B30" s="179">
        <f>B22</f>
        <v>0</v>
      </c>
      <c r="C30" s="179">
        <f t="shared" ref="C30:S30" si="4">C22</f>
        <v>0</v>
      </c>
      <c r="D30" s="179">
        <f t="shared" si="4"/>
        <v>0</v>
      </c>
      <c r="E30" s="179">
        <f t="shared" si="4"/>
        <v>0</v>
      </c>
      <c r="F30" s="179">
        <f t="shared" si="4"/>
        <v>0</v>
      </c>
      <c r="G30" s="179">
        <f t="shared" si="4"/>
        <v>0</v>
      </c>
      <c r="H30" s="179">
        <f t="shared" si="4"/>
        <v>0</v>
      </c>
      <c r="I30" s="179">
        <f t="shared" si="4"/>
        <v>0</v>
      </c>
      <c r="J30" s="179">
        <f t="shared" si="4"/>
        <v>0</v>
      </c>
      <c r="K30" s="179">
        <f t="shared" si="4"/>
        <v>0</v>
      </c>
      <c r="L30" s="179">
        <f t="shared" si="4"/>
        <v>0</v>
      </c>
      <c r="M30" s="179">
        <f t="shared" si="4"/>
        <v>0</v>
      </c>
      <c r="N30" s="179">
        <f t="shared" si="4"/>
        <v>0</v>
      </c>
      <c r="O30" s="179">
        <f t="shared" si="4"/>
        <v>0</v>
      </c>
      <c r="P30" s="179">
        <f t="shared" si="4"/>
        <v>0</v>
      </c>
      <c r="Q30" s="179">
        <f t="shared" si="4"/>
        <v>0</v>
      </c>
      <c r="R30" s="179">
        <f t="shared" si="4"/>
        <v>0</v>
      </c>
      <c r="S30" s="179">
        <f t="shared" si="4"/>
        <v>0</v>
      </c>
    </row>
    <row r="33" spans="1:19" x14ac:dyDescent="0.2">
      <c r="A33" s="150" t="s">
        <v>28</v>
      </c>
    </row>
    <row r="34" spans="1:19" x14ac:dyDescent="0.2">
      <c r="A34" s="143" t="s">
        <v>29</v>
      </c>
    </row>
    <row r="35" spans="1:19" x14ac:dyDescent="0.2">
      <c r="A35" s="143" t="s">
        <v>30</v>
      </c>
    </row>
    <row r="39" spans="1:19" x14ac:dyDescent="0.2">
      <c r="A39" s="151"/>
    </row>
    <row r="42" spans="1:19" x14ac:dyDescent="0.2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</row>
    <row r="44" spans="1:19" x14ac:dyDescent="0.2">
      <c r="A44" s="72"/>
    </row>
    <row r="45" spans="1:19" x14ac:dyDescent="0.2"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</row>
    <row r="56" spans="15:15" x14ac:dyDescent="0.2">
      <c r="O56" s="114"/>
    </row>
    <row r="57" spans="15:15" x14ac:dyDescent="0.2">
      <c r="O57" s="114"/>
    </row>
  </sheetData>
  <mergeCells count="1">
    <mergeCell ref="A2: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E121-6840-4FB9-B1F6-C405C92DDB3B}">
  <dimension ref="A1:Z119"/>
  <sheetViews>
    <sheetView showGridLines="0" zoomScale="90" zoomScaleNormal="90" workbookViewId="0">
      <selection activeCell="J87" sqref="J87"/>
    </sheetView>
  </sheetViews>
  <sheetFormatPr defaultColWidth="8.77734375" defaultRowHeight="12.75" x14ac:dyDescent="0.2"/>
  <cols>
    <col min="1" max="1" width="14.44140625" style="102" customWidth="1"/>
    <col min="2" max="2" width="8.77734375" style="102"/>
    <col min="3" max="3" width="6.21875" style="102" customWidth="1"/>
    <col min="4" max="4" width="13.77734375" style="102" bestFit="1" customWidth="1"/>
    <col min="5" max="5" width="13.33203125" style="102" bestFit="1" customWidth="1"/>
    <col min="6" max="6" width="14.109375" style="102" bestFit="1" customWidth="1"/>
    <col min="7" max="8" width="13.77734375" style="102" bestFit="1" customWidth="1"/>
    <col min="9" max="10" width="13.33203125" style="102" bestFit="1" customWidth="1"/>
    <col min="11" max="11" width="13.109375" style="102" bestFit="1" customWidth="1"/>
    <col min="12" max="12" width="13.77734375" style="102" bestFit="1" customWidth="1"/>
    <col min="13" max="13" width="13.33203125" style="102" bestFit="1" customWidth="1"/>
    <col min="14" max="15" width="13.77734375" style="102" bestFit="1" customWidth="1"/>
    <col min="16" max="16" width="14.109375" style="102" bestFit="1" customWidth="1"/>
    <col min="17" max="16384" width="8.77734375" style="102"/>
  </cols>
  <sheetData>
    <row r="1" spans="1:26" x14ac:dyDescent="0.2">
      <c r="A1" s="69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74"/>
    </row>
    <row r="2" spans="1:26" x14ac:dyDescent="0.2">
      <c r="A2" s="69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3"/>
    </row>
    <row r="3" spans="1:26" x14ac:dyDescent="0.2">
      <c r="A3" s="69" t="s">
        <v>32</v>
      </c>
      <c r="B3" s="101"/>
      <c r="C3" s="70"/>
      <c r="D3" s="70">
        <v>2010</v>
      </c>
      <c r="E3" s="70">
        <v>2011</v>
      </c>
      <c r="F3" s="70">
        <v>2012</v>
      </c>
      <c r="G3" s="70">
        <v>2013</v>
      </c>
      <c r="H3" s="70">
        <v>2014</v>
      </c>
      <c r="I3" s="70">
        <v>2015</v>
      </c>
      <c r="J3" s="70">
        <v>2016</v>
      </c>
      <c r="K3" s="70">
        <v>2017</v>
      </c>
      <c r="L3" s="70">
        <v>2018</v>
      </c>
      <c r="M3" s="70">
        <v>2019</v>
      </c>
      <c r="N3" s="70">
        <v>2020</v>
      </c>
      <c r="O3" s="70">
        <v>2021</v>
      </c>
      <c r="P3" s="70">
        <v>2022</v>
      </c>
      <c r="Q3" s="58"/>
    </row>
    <row r="4" spans="1:26" x14ac:dyDescent="0.2">
      <c r="A4" s="104" t="s">
        <v>33</v>
      </c>
      <c r="B4" s="101"/>
      <c r="C4" s="58"/>
      <c r="D4" s="177">
        <f>C6</f>
        <v>0</v>
      </c>
      <c r="E4" s="177">
        <f>D6</f>
        <v>0.43250819897999992</v>
      </c>
      <c r="F4" s="177">
        <f>E6</f>
        <v>4.2063632196207656</v>
      </c>
      <c r="G4" s="177">
        <f>F6</f>
        <v>7.0195197991363552</v>
      </c>
      <c r="H4" s="177">
        <f t="shared" ref="H4:P4" si="0">G6</f>
        <v>8.2493403052483192</v>
      </c>
      <c r="I4" s="177">
        <f t="shared" si="0"/>
        <v>28.448532305248314</v>
      </c>
      <c r="J4" s="177">
        <f t="shared" si="0"/>
        <v>42.888563441648316</v>
      </c>
      <c r="K4" s="177">
        <f t="shared" si="0"/>
        <v>56.344448553048316</v>
      </c>
      <c r="L4" s="177">
        <f t="shared" si="0"/>
        <v>60.066297927028316</v>
      </c>
      <c r="M4" s="177">
        <f t="shared" si="0"/>
        <v>64.484672370528315</v>
      </c>
      <c r="N4" s="177">
        <f t="shared" si="0"/>
        <v>68.929861083068317</v>
      </c>
      <c r="O4" s="177">
        <f t="shared" si="0"/>
        <v>69.580931880328322</v>
      </c>
      <c r="P4" s="177">
        <f t="shared" si="0"/>
        <v>69.72811528290832</v>
      </c>
      <c r="Q4" s="58"/>
    </row>
    <row r="5" spans="1:26" x14ac:dyDescent="0.2">
      <c r="A5" s="104" t="s">
        <v>34</v>
      </c>
      <c r="B5" s="105"/>
      <c r="C5" s="73"/>
      <c r="D5" s="175">
        <f>D53</f>
        <v>0.43250819897999992</v>
      </c>
      <c r="E5" s="175">
        <f t="shared" ref="E5:P5" si="1">E53</f>
        <v>3.7738550206407653</v>
      </c>
      <c r="F5" s="175">
        <f t="shared" si="1"/>
        <v>2.8131565795155895</v>
      </c>
      <c r="G5" s="175">
        <f t="shared" si="1"/>
        <v>1.229820506111964</v>
      </c>
      <c r="H5" s="175">
        <f t="shared" si="1"/>
        <v>20.199191999999996</v>
      </c>
      <c r="I5" s="175">
        <f t="shared" si="1"/>
        <v>14.4400311364</v>
      </c>
      <c r="J5" s="175">
        <f t="shared" si="1"/>
        <v>13.455885111400001</v>
      </c>
      <c r="K5" s="175">
        <f t="shared" si="1"/>
        <v>3.72184937398</v>
      </c>
      <c r="L5" s="175">
        <f t="shared" si="1"/>
        <v>4.4183744435000003</v>
      </c>
      <c r="M5" s="175">
        <f t="shared" si="1"/>
        <v>4.4451887125400038</v>
      </c>
      <c r="N5" s="175">
        <f t="shared" si="1"/>
        <v>0.6510707972600005</v>
      </c>
      <c r="O5" s="175">
        <f t="shared" si="1"/>
        <v>0.14718340257999996</v>
      </c>
      <c r="P5" s="175">
        <f t="shared" si="1"/>
        <v>0.53880415821999994</v>
      </c>
      <c r="Q5" s="58"/>
    </row>
    <row r="6" spans="1:26" x14ac:dyDescent="0.2">
      <c r="A6" s="104" t="s">
        <v>35</v>
      </c>
      <c r="B6" s="101"/>
      <c r="C6" s="60"/>
      <c r="D6" s="178">
        <f>SUM(D4:D5)</f>
        <v>0.43250819897999992</v>
      </c>
      <c r="E6" s="178">
        <f>SUM(E4:E5)</f>
        <v>4.2063632196207656</v>
      </c>
      <c r="F6" s="178">
        <f t="shared" ref="F6:P6" si="2">SUM(F4:F5)</f>
        <v>7.0195197991363552</v>
      </c>
      <c r="G6" s="178">
        <f t="shared" si="2"/>
        <v>8.2493403052483192</v>
      </c>
      <c r="H6" s="178">
        <f t="shared" si="2"/>
        <v>28.448532305248314</v>
      </c>
      <c r="I6" s="178">
        <f t="shared" si="2"/>
        <v>42.888563441648316</v>
      </c>
      <c r="J6" s="178">
        <f t="shared" si="2"/>
        <v>56.344448553048316</v>
      </c>
      <c r="K6" s="178">
        <f t="shared" si="2"/>
        <v>60.066297927028316</v>
      </c>
      <c r="L6" s="178">
        <f t="shared" si="2"/>
        <v>64.484672370528315</v>
      </c>
      <c r="M6" s="178">
        <f t="shared" si="2"/>
        <v>68.929861083068317</v>
      </c>
      <c r="N6" s="178">
        <f t="shared" si="2"/>
        <v>69.580931880328322</v>
      </c>
      <c r="O6" s="178">
        <f t="shared" si="2"/>
        <v>69.72811528290832</v>
      </c>
      <c r="P6" s="178">
        <f t="shared" si="2"/>
        <v>70.266919441128323</v>
      </c>
      <c r="Q6" s="58"/>
    </row>
    <row r="7" spans="1:26" x14ac:dyDescent="0.2">
      <c r="A7" s="69"/>
      <c r="B7" s="101"/>
      <c r="C7" s="5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58"/>
    </row>
    <row r="8" spans="1:26" x14ac:dyDescent="0.2">
      <c r="A8" s="69" t="s">
        <v>36</v>
      </c>
      <c r="B8" s="101"/>
      <c r="C8" s="58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58"/>
    </row>
    <row r="9" spans="1:26" x14ac:dyDescent="0.2">
      <c r="A9" s="104" t="s">
        <v>33</v>
      </c>
      <c r="B9" s="101"/>
      <c r="C9" s="58"/>
      <c r="D9" s="177">
        <v>0</v>
      </c>
      <c r="E9" s="177">
        <f>D11</f>
        <v>1.2915357555586034E-2</v>
      </c>
      <c r="F9" s="177">
        <f t="shared" ref="F9:P9" si="3">E11</f>
        <v>0.15143916627623411</v>
      </c>
      <c r="G9" s="177">
        <f t="shared" si="3"/>
        <v>0.48666123468177247</v>
      </c>
      <c r="H9" s="177">
        <f t="shared" si="3"/>
        <v>0.94261279393410891</v>
      </c>
      <c r="I9" s="177">
        <f t="shared" si="3"/>
        <v>2.0384675023805228</v>
      </c>
      <c r="J9" s="177">
        <f t="shared" si="3"/>
        <v>3.9498454626791157</v>
      </c>
      <c r="K9" s="177">
        <f t="shared" si="3"/>
        <v>7.1136279526579855</v>
      </c>
      <c r="L9" s="177">
        <f t="shared" si="3"/>
        <v>10.749394656503384</v>
      </c>
      <c r="M9" s="177">
        <f t="shared" si="3"/>
        <v>14.607787802560049</v>
      </c>
      <c r="N9" s="177">
        <f t="shared" si="3"/>
        <v>18.863242656635443</v>
      </c>
      <c r="O9" s="177">
        <f t="shared" si="3"/>
        <v>23.286522992108633</v>
      </c>
      <c r="P9" s="177">
        <f t="shared" si="3"/>
        <v>27.296530528669713</v>
      </c>
      <c r="Q9" s="58"/>
    </row>
    <row r="10" spans="1:26" x14ac:dyDescent="0.2">
      <c r="A10" s="104" t="s">
        <v>34</v>
      </c>
      <c r="B10" s="101"/>
      <c r="C10" s="58"/>
      <c r="D10" s="177">
        <f>D114</f>
        <v>1.2915357555586034E-2</v>
      </c>
      <c r="E10" s="177">
        <f>E114</f>
        <v>0.13852380872064807</v>
      </c>
      <c r="F10" s="177">
        <f t="shared" ref="F10:P10" si="4">F114</f>
        <v>0.33522206840553836</v>
      </c>
      <c r="G10" s="177">
        <f t="shared" si="4"/>
        <v>0.45595155925233649</v>
      </c>
      <c r="H10" s="177">
        <f t="shared" si="4"/>
        <v>1.0958547084464141</v>
      </c>
      <c r="I10" s="177">
        <f t="shared" si="4"/>
        <v>1.911377960298593</v>
      </c>
      <c r="J10" s="177">
        <f t="shared" si="4"/>
        <v>3.1637824899788702</v>
      </c>
      <c r="K10" s="177">
        <f t="shared" si="4"/>
        <v>3.6357667038453974</v>
      </c>
      <c r="L10" s="177">
        <f t="shared" si="4"/>
        <v>3.8583931460566649</v>
      </c>
      <c r="M10" s="177">
        <f t="shared" si="4"/>
        <v>4.2554548540753956</v>
      </c>
      <c r="N10" s="177">
        <f t="shared" si="4"/>
        <v>4.4232803354731907</v>
      </c>
      <c r="O10" s="177">
        <f t="shared" si="4"/>
        <v>4.0100075365610781</v>
      </c>
      <c r="P10" s="177">
        <f t="shared" si="4"/>
        <v>4.1267673436058825</v>
      </c>
      <c r="Q10" s="58"/>
    </row>
    <row r="11" spans="1:26" x14ac:dyDescent="0.2">
      <c r="A11" s="104" t="s">
        <v>35</v>
      </c>
      <c r="B11" s="101"/>
      <c r="C11" s="60"/>
      <c r="D11" s="178">
        <f t="shared" ref="D11:P11" si="5">SUM(D9:D10)</f>
        <v>1.2915357555586034E-2</v>
      </c>
      <c r="E11" s="178">
        <f t="shared" si="5"/>
        <v>0.15143916627623411</v>
      </c>
      <c r="F11" s="178">
        <f t="shared" si="5"/>
        <v>0.48666123468177247</v>
      </c>
      <c r="G11" s="178">
        <f t="shared" si="5"/>
        <v>0.94261279393410891</v>
      </c>
      <c r="H11" s="178">
        <f t="shared" si="5"/>
        <v>2.0384675023805228</v>
      </c>
      <c r="I11" s="178">
        <f t="shared" si="5"/>
        <v>3.9498454626791157</v>
      </c>
      <c r="J11" s="178">
        <f t="shared" si="5"/>
        <v>7.1136279526579855</v>
      </c>
      <c r="K11" s="178">
        <f t="shared" si="5"/>
        <v>10.749394656503384</v>
      </c>
      <c r="L11" s="178">
        <f t="shared" si="5"/>
        <v>14.607787802560049</v>
      </c>
      <c r="M11" s="178">
        <f t="shared" si="5"/>
        <v>18.863242656635443</v>
      </c>
      <c r="N11" s="178">
        <f t="shared" si="5"/>
        <v>23.286522992108633</v>
      </c>
      <c r="O11" s="178">
        <f t="shared" si="5"/>
        <v>27.296530528669713</v>
      </c>
      <c r="P11" s="178">
        <f t="shared" si="5"/>
        <v>31.423297872275597</v>
      </c>
      <c r="Q11" s="58"/>
    </row>
    <row r="12" spans="1:26" x14ac:dyDescent="0.2">
      <c r="A12" s="69"/>
      <c r="B12" s="101"/>
      <c r="C12" s="58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58"/>
    </row>
    <row r="13" spans="1:26" x14ac:dyDescent="0.2">
      <c r="A13" s="69" t="s">
        <v>37</v>
      </c>
      <c r="B13" s="101"/>
      <c r="C13" s="58"/>
      <c r="D13" s="177">
        <f>D6-D11</f>
        <v>0.41959284142441389</v>
      </c>
      <c r="E13" s="177">
        <f t="shared" ref="E13:O13" si="6">E6-E11</f>
        <v>4.0549240533445312</v>
      </c>
      <c r="F13" s="177">
        <f t="shared" si="6"/>
        <v>6.5328585644545827</v>
      </c>
      <c r="G13" s="177">
        <f t="shared" si="6"/>
        <v>7.3067275113142101</v>
      </c>
      <c r="H13" s="177">
        <f t="shared" si="6"/>
        <v>26.41006480286779</v>
      </c>
      <c r="I13" s="177">
        <f t="shared" si="6"/>
        <v>38.938717978969201</v>
      </c>
      <c r="J13" s="177">
        <f t="shared" si="6"/>
        <v>49.230820600390331</v>
      </c>
      <c r="K13" s="177">
        <f t="shared" si="6"/>
        <v>49.316903270524932</v>
      </c>
      <c r="L13" s="177">
        <f t="shared" si="6"/>
        <v>49.876884567968268</v>
      </c>
      <c r="M13" s="177">
        <f t="shared" si="6"/>
        <v>50.066618426432875</v>
      </c>
      <c r="N13" s="177">
        <f t="shared" si="6"/>
        <v>46.294408888219692</v>
      </c>
      <c r="O13" s="177">
        <f t="shared" si="6"/>
        <v>42.431584754238607</v>
      </c>
      <c r="P13" s="177">
        <f>P6-P11</f>
        <v>38.843621568852726</v>
      </c>
      <c r="Q13" s="58"/>
    </row>
    <row r="14" spans="1:26" x14ac:dyDescent="0.2">
      <c r="A14" s="69"/>
      <c r="B14" s="101"/>
      <c r="C14" s="58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58"/>
    </row>
    <row r="15" spans="1:26" x14ac:dyDescent="0.2">
      <c r="A15" s="101" t="s">
        <v>38</v>
      </c>
      <c r="B15" s="101"/>
      <c r="C15" s="58"/>
      <c r="D15" s="177">
        <f>(D13+C13)/2</f>
        <v>0.20979642071220694</v>
      </c>
      <c r="E15" s="177">
        <f>(E13+D13)/2</f>
        <v>2.2372584473844723</v>
      </c>
      <c r="F15" s="177">
        <f t="shared" ref="F15:P15" si="7">(F13+E13)/2</f>
        <v>5.2938913088995569</v>
      </c>
      <c r="G15" s="177">
        <f t="shared" si="7"/>
        <v>6.9197930378843964</v>
      </c>
      <c r="H15" s="177">
        <f t="shared" si="7"/>
        <v>16.858396157091001</v>
      </c>
      <c r="I15" s="177">
        <f t="shared" si="7"/>
        <v>32.674391390918494</v>
      </c>
      <c r="J15" s="177">
        <f t="shared" si="7"/>
        <v>44.08476928967977</v>
      </c>
      <c r="K15" s="177">
        <f t="shared" si="7"/>
        <v>49.273861935457631</v>
      </c>
      <c r="L15" s="177">
        <f t="shared" si="7"/>
        <v>49.596893919246597</v>
      </c>
      <c r="M15" s="177">
        <f t="shared" si="7"/>
        <v>49.971751497200572</v>
      </c>
      <c r="N15" s="177">
        <f t="shared" si="7"/>
        <v>48.180513657326287</v>
      </c>
      <c r="O15" s="177">
        <f t="shared" si="7"/>
        <v>44.362996821229146</v>
      </c>
      <c r="P15" s="177">
        <f t="shared" si="7"/>
        <v>40.63760316154567</v>
      </c>
      <c r="Q15" s="126"/>
      <c r="R15" s="131"/>
      <c r="S15" s="131"/>
      <c r="T15" s="131"/>
      <c r="U15" s="131"/>
      <c r="V15" s="131"/>
      <c r="W15" s="131"/>
      <c r="X15" s="131"/>
      <c r="Y15" s="131"/>
      <c r="Z15" s="131"/>
    </row>
    <row r="16" spans="1:26" x14ac:dyDescent="0.2">
      <c r="A16" s="101" t="s">
        <v>39</v>
      </c>
      <c r="B16" s="101"/>
      <c r="C16" s="58"/>
      <c r="D16" s="177">
        <v>0</v>
      </c>
      <c r="E16" s="177">
        <v>0</v>
      </c>
      <c r="F16" s="177">
        <f>F38</f>
        <v>0.4493514452931614</v>
      </c>
      <c r="G16" s="177">
        <f>G38</f>
        <v>0.17343833571718759</v>
      </c>
      <c r="H16" s="177">
        <f t="shared" ref="H16:P16" si="8">H38</f>
        <v>9.6619020667525535E-2</v>
      </c>
      <c r="I16" s="177">
        <f t="shared" si="8"/>
        <v>0.15096758331612237</v>
      </c>
      <c r="J16" s="177">
        <f t="shared" si="8"/>
        <v>0.14050152530995261</v>
      </c>
      <c r="K16" s="177">
        <f t="shared" si="8"/>
        <v>0.2011477037746385</v>
      </c>
      <c r="L16" s="177">
        <f t="shared" si="8"/>
        <v>0.11605549004699076</v>
      </c>
      <c r="M16" s="177">
        <f t="shared" si="8"/>
        <v>0.1316535829136446</v>
      </c>
      <c r="N16" s="177">
        <f t="shared" si="8"/>
        <v>0.1282768687002348</v>
      </c>
      <c r="O16" s="177">
        <f t="shared" si="8"/>
        <v>0.15590689762037591</v>
      </c>
      <c r="P16" s="177">
        <f t="shared" si="8"/>
        <v>0.11011902317314</v>
      </c>
      <c r="Q16" s="126"/>
      <c r="R16" s="131"/>
      <c r="S16" s="131"/>
      <c r="T16" s="131"/>
      <c r="U16" s="131"/>
      <c r="V16" s="131"/>
      <c r="W16" s="131"/>
      <c r="X16" s="131"/>
      <c r="Y16" s="131"/>
      <c r="Z16" s="131"/>
    </row>
    <row r="17" spans="1:26" x14ac:dyDescent="0.2">
      <c r="A17" s="69" t="s">
        <v>40</v>
      </c>
      <c r="B17" s="101"/>
      <c r="C17" s="58"/>
      <c r="D17" s="178">
        <f t="shared" ref="D17:P17" si="9">SUM(D15:D16)</f>
        <v>0.20979642071220694</v>
      </c>
      <c r="E17" s="178">
        <f t="shared" si="9"/>
        <v>2.2372584473844723</v>
      </c>
      <c r="F17" s="178">
        <f t="shared" si="9"/>
        <v>5.7432427541927185</v>
      </c>
      <c r="G17" s="178">
        <f t="shared" si="9"/>
        <v>7.0932313736015837</v>
      </c>
      <c r="H17" s="178">
        <f t="shared" si="9"/>
        <v>16.955015177758526</v>
      </c>
      <c r="I17" s="178">
        <f t="shared" si="9"/>
        <v>32.825358974234618</v>
      </c>
      <c r="J17" s="178">
        <f t="shared" si="9"/>
        <v>44.22527081498972</v>
      </c>
      <c r="K17" s="178">
        <f t="shared" si="9"/>
        <v>49.475009639232269</v>
      </c>
      <c r="L17" s="178">
        <f t="shared" si="9"/>
        <v>49.712949409293586</v>
      </c>
      <c r="M17" s="178">
        <f t="shared" si="9"/>
        <v>50.103405080114214</v>
      </c>
      <c r="N17" s="178">
        <f t="shared" si="9"/>
        <v>48.30879052602652</v>
      </c>
      <c r="O17" s="178">
        <f t="shared" si="9"/>
        <v>44.518903718849522</v>
      </c>
      <c r="P17" s="178">
        <f t="shared" si="9"/>
        <v>40.74772218471881</v>
      </c>
      <c r="Q17" s="126"/>
      <c r="R17" s="131"/>
      <c r="S17" s="131"/>
      <c r="T17" s="131"/>
      <c r="U17" s="131"/>
      <c r="V17" s="131"/>
      <c r="W17" s="131"/>
      <c r="X17" s="131"/>
      <c r="Y17" s="131"/>
      <c r="Z17" s="131"/>
    </row>
    <row r="18" spans="1:26" x14ac:dyDescent="0.2">
      <c r="C18" s="58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31"/>
      <c r="S18" s="131"/>
      <c r="T18" s="131"/>
      <c r="U18" s="131"/>
      <c r="V18" s="131"/>
      <c r="W18" s="131"/>
      <c r="X18" s="131"/>
      <c r="Y18" s="131"/>
      <c r="Z18" s="131"/>
    </row>
    <row r="19" spans="1:26" x14ac:dyDescent="0.2">
      <c r="A19" s="102" t="s">
        <v>41</v>
      </c>
      <c r="C19" s="58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31"/>
      <c r="S19" s="131"/>
      <c r="T19" s="131"/>
      <c r="U19" s="131"/>
      <c r="V19" s="131"/>
      <c r="W19" s="131"/>
      <c r="X19" s="131"/>
      <c r="Y19" s="131"/>
      <c r="Z19" s="131"/>
    </row>
    <row r="20" spans="1:26" x14ac:dyDescent="0.2">
      <c r="A20" s="102" t="s">
        <v>42</v>
      </c>
      <c r="C20" s="58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31"/>
      <c r="S20" s="131"/>
      <c r="T20" s="131"/>
      <c r="U20" s="131"/>
      <c r="V20" s="131"/>
      <c r="W20" s="131"/>
      <c r="X20" s="131"/>
      <c r="Y20" s="131"/>
      <c r="Z20" s="131"/>
    </row>
    <row r="21" spans="1:26" x14ac:dyDescent="0.2">
      <c r="A21" s="102" t="s">
        <v>43</v>
      </c>
      <c r="C21" s="5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31"/>
      <c r="S21" s="131"/>
      <c r="T21" s="131"/>
      <c r="U21" s="131"/>
      <c r="V21" s="131"/>
      <c r="W21" s="131"/>
      <c r="X21" s="131"/>
      <c r="Y21" s="131"/>
      <c r="Z21" s="131"/>
    </row>
    <row r="22" spans="1:26" x14ac:dyDescent="0.2">
      <c r="A22" s="102" t="s">
        <v>44</v>
      </c>
      <c r="C22" s="58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x14ac:dyDescent="0.2">
      <c r="C23" s="58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26" x14ac:dyDescent="0.2">
      <c r="A24" s="102" t="s">
        <v>45</v>
      </c>
      <c r="C24" s="58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26" x14ac:dyDescent="0.2">
      <c r="A25" s="102" t="s">
        <v>42</v>
      </c>
      <c r="C25" s="58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31"/>
      <c r="S25" s="131"/>
      <c r="T25" s="131"/>
      <c r="U25" s="131"/>
      <c r="V25" s="131"/>
      <c r="W25" s="131"/>
      <c r="X25" s="131"/>
      <c r="Y25" s="131"/>
      <c r="Z25" s="131"/>
    </row>
    <row r="26" spans="1:26" x14ac:dyDescent="0.2">
      <c r="A26" s="102" t="s">
        <v>43</v>
      </c>
      <c r="C26" s="58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31"/>
      <c r="S26" s="131"/>
      <c r="T26" s="131"/>
      <c r="U26" s="131"/>
      <c r="V26" s="131"/>
      <c r="W26" s="131"/>
      <c r="X26" s="131"/>
      <c r="Y26" s="131"/>
      <c r="Z26" s="131"/>
    </row>
    <row r="27" spans="1:26" x14ac:dyDescent="0.2">
      <c r="A27" s="102" t="s">
        <v>44</v>
      </c>
      <c r="C27" s="58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31"/>
      <c r="S27" s="131"/>
      <c r="T27" s="131"/>
      <c r="U27" s="131"/>
      <c r="V27" s="131"/>
      <c r="W27" s="131"/>
      <c r="X27" s="131"/>
      <c r="Y27" s="131"/>
      <c r="Z27" s="131"/>
    </row>
    <row r="28" spans="1:26" x14ac:dyDescent="0.2">
      <c r="C28" s="5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1"/>
      <c r="S28" s="131"/>
      <c r="T28" s="131"/>
      <c r="U28" s="131"/>
      <c r="V28" s="131"/>
      <c r="W28" s="131"/>
      <c r="X28" s="131"/>
      <c r="Y28" s="131"/>
      <c r="Z28" s="131"/>
    </row>
    <row r="29" spans="1:26" x14ac:dyDescent="0.2">
      <c r="A29" s="102" t="s">
        <v>46</v>
      </c>
      <c r="C29" s="58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1"/>
      <c r="S29" s="131"/>
      <c r="T29" s="131"/>
      <c r="U29" s="131"/>
      <c r="V29" s="131"/>
      <c r="W29" s="131"/>
      <c r="X29" s="131"/>
      <c r="Y29" s="131"/>
      <c r="Z29" s="131"/>
    </row>
    <row r="30" spans="1:26" x14ac:dyDescent="0.2">
      <c r="A30" s="102" t="s">
        <v>42</v>
      </c>
      <c r="C30" s="58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1"/>
      <c r="S30" s="131"/>
      <c r="T30" s="131"/>
      <c r="U30" s="131"/>
      <c r="V30" s="131"/>
      <c r="W30" s="131"/>
      <c r="X30" s="131"/>
      <c r="Y30" s="131"/>
      <c r="Z30" s="131"/>
    </row>
    <row r="31" spans="1:26" x14ac:dyDescent="0.2">
      <c r="A31" s="102" t="s">
        <v>43</v>
      </c>
      <c r="C31" s="58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1"/>
      <c r="S31" s="131"/>
      <c r="T31" s="131"/>
      <c r="U31" s="131"/>
      <c r="V31" s="131"/>
      <c r="W31" s="131"/>
      <c r="X31" s="131"/>
      <c r="Y31" s="131"/>
      <c r="Z31" s="131"/>
    </row>
    <row r="32" spans="1:26" x14ac:dyDescent="0.2">
      <c r="A32" s="102" t="s">
        <v>44</v>
      </c>
      <c r="C32" s="58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1"/>
      <c r="S32" s="131"/>
      <c r="T32" s="131"/>
      <c r="U32" s="131"/>
      <c r="V32" s="131"/>
      <c r="W32" s="131"/>
      <c r="X32" s="131"/>
      <c r="Y32" s="131"/>
      <c r="Z32" s="131"/>
    </row>
    <row r="33" spans="1:26" x14ac:dyDescent="0.2">
      <c r="C33" s="58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1"/>
      <c r="S33" s="131"/>
      <c r="T33" s="131"/>
      <c r="U33" s="131"/>
      <c r="V33" s="131"/>
      <c r="W33" s="131"/>
      <c r="X33" s="131"/>
      <c r="Y33" s="131"/>
      <c r="Z33" s="131"/>
    </row>
    <row r="34" spans="1:26" x14ac:dyDescent="0.2">
      <c r="A34" s="132" t="s">
        <v>39</v>
      </c>
      <c r="C34" s="58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1"/>
      <c r="S34" s="131"/>
      <c r="T34" s="131"/>
      <c r="U34" s="131"/>
      <c r="V34" s="131"/>
      <c r="W34" s="131"/>
      <c r="X34" s="131"/>
      <c r="Y34" s="131"/>
      <c r="Z34" s="131"/>
    </row>
    <row r="35" spans="1:26" x14ac:dyDescent="0.2">
      <c r="C35" s="58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1"/>
      <c r="S35" s="131"/>
      <c r="T35" s="131"/>
      <c r="U35" s="131"/>
      <c r="V35" s="131"/>
      <c r="W35" s="131"/>
      <c r="X35" s="131"/>
      <c r="Y35" s="131"/>
      <c r="Z35" s="131"/>
    </row>
    <row r="36" spans="1:26" x14ac:dyDescent="0.2">
      <c r="A36" s="102" t="s">
        <v>47</v>
      </c>
      <c r="C36" s="58"/>
      <c r="D36" s="175"/>
      <c r="E36" s="175"/>
      <c r="F36" s="175">
        <f>'4 - Revenue Requirement '!G10</f>
        <v>3.9208334399030287</v>
      </c>
      <c r="G36" s="175">
        <f>'4 - Revenue Requirement '!I10</f>
        <v>1.9491219314433545</v>
      </c>
      <c r="H36" s="175">
        <f>'4 - Revenue Requirement '!$K$10</f>
        <v>1.2762049409690188</v>
      </c>
      <c r="I36" s="174">
        <f>'4 - Revenue Requirement '!$M$10</f>
        <v>2.038522258</v>
      </c>
      <c r="J36" s="174">
        <f>'4 - Revenue Requirement '!$O$10</f>
        <v>2.05466792564</v>
      </c>
      <c r="K36" s="175">
        <f>'4 - Revenue Requirement '!$Q$10</f>
        <v>2.6065995360000001</v>
      </c>
      <c r="L36" s="175">
        <f>'4 - Revenue Requirement '!$S$10</f>
        <v>1.5066996725199997</v>
      </c>
      <c r="M36" s="175">
        <f>'4 - Revenue Requirement '!$U$10</f>
        <v>1.6926743120000001</v>
      </c>
      <c r="N36" s="175">
        <f>'4 - Revenue Requirement '!$W$10</f>
        <v>1.6501343038</v>
      </c>
      <c r="O36" s="175">
        <f>'4 - Revenue Requirement '!$Y$10</f>
        <v>2.0120534958</v>
      </c>
      <c r="P36" s="175">
        <f>'4 - Revenue Requirement '!$AA$10</f>
        <v>1.7963951577999999</v>
      </c>
      <c r="Q36" s="134"/>
      <c r="R36" s="131"/>
      <c r="S36" s="131"/>
      <c r="T36" s="131"/>
      <c r="U36" s="131"/>
      <c r="V36" s="131"/>
      <c r="W36" s="131"/>
      <c r="X36" s="131"/>
      <c r="Y36" s="131"/>
      <c r="Z36" s="131"/>
    </row>
    <row r="37" spans="1:26" x14ac:dyDescent="0.2">
      <c r="A37" s="102" t="s">
        <v>48</v>
      </c>
      <c r="C37" s="58"/>
      <c r="D37" s="152">
        <v>0.11715626258061443</v>
      </c>
      <c r="E37" s="152">
        <v>0.11460610407981904</v>
      </c>
      <c r="F37" s="152">
        <v>0.11460610407981904</v>
      </c>
      <c r="G37" s="152">
        <v>8.8982804471731458E-2</v>
      </c>
      <c r="H37" s="152">
        <v>7.5708076003970795E-2</v>
      </c>
      <c r="I37" s="152">
        <v>7.4057363231460172E-2</v>
      </c>
      <c r="J37" s="152">
        <v>6.838162194320932E-2</v>
      </c>
      <c r="K37" s="152">
        <v>7.7168625635264637E-2</v>
      </c>
      <c r="L37" s="152">
        <v>7.7026292740134811E-2</v>
      </c>
      <c r="M37" s="152">
        <v>7.7778449156050394E-2</v>
      </c>
      <c r="N37" s="152">
        <v>7.7737229269662075E-2</v>
      </c>
      <c r="O37" s="152">
        <v>7.7486457465380035E-2</v>
      </c>
      <c r="P37" s="152">
        <v>6.13E-2</v>
      </c>
      <c r="Q37" s="134"/>
      <c r="R37" s="131"/>
      <c r="S37" s="131"/>
      <c r="T37" s="131"/>
      <c r="U37" s="131"/>
      <c r="V37" s="131"/>
      <c r="W37" s="131"/>
      <c r="X37" s="131"/>
      <c r="Y37" s="131"/>
      <c r="Z37" s="131"/>
    </row>
    <row r="38" spans="1:26" x14ac:dyDescent="0.2">
      <c r="A38" s="102" t="s">
        <v>49</v>
      </c>
      <c r="C38" s="58"/>
      <c r="D38" s="176">
        <f t="shared" ref="D38:P38" si="10">+D36*D37</f>
        <v>0</v>
      </c>
      <c r="E38" s="176">
        <f t="shared" si="10"/>
        <v>0</v>
      </c>
      <c r="F38" s="176">
        <f t="shared" si="10"/>
        <v>0.4493514452931614</v>
      </c>
      <c r="G38" s="176">
        <f t="shared" si="10"/>
        <v>0.17343833571718759</v>
      </c>
      <c r="H38" s="176">
        <f t="shared" si="10"/>
        <v>9.6619020667525535E-2</v>
      </c>
      <c r="I38" s="176">
        <f t="shared" si="10"/>
        <v>0.15096758331612237</v>
      </c>
      <c r="J38" s="176">
        <f t="shared" si="10"/>
        <v>0.14050152530995261</v>
      </c>
      <c r="K38" s="176">
        <f t="shared" si="10"/>
        <v>0.2011477037746385</v>
      </c>
      <c r="L38" s="176">
        <f t="shared" si="10"/>
        <v>0.11605549004699076</v>
      </c>
      <c r="M38" s="176">
        <f t="shared" si="10"/>
        <v>0.1316535829136446</v>
      </c>
      <c r="N38" s="176">
        <f t="shared" si="10"/>
        <v>0.1282768687002348</v>
      </c>
      <c r="O38" s="176">
        <f t="shared" si="10"/>
        <v>0.15590689762037591</v>
      </c>
      <c r="P38" s="176">
        <f t="shared" si="10"/>
        <v>0.11011902317314</v>
      </c>
      <c r="Q38" s="134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6" x14ac:dyDescent="0.2">
      <c r="C39" s="58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1"/>
      <c r="S39" s="131"/>
      <c r="T39" s="131"/>
      <c r="U39" s="131"/>
      <c r="V39" s="131"/>
      <c r="W39" s="131"/>
      <c r="X39" s="131"/>
      <c r="Y39" s="131"/>
      <c r="Z39" s="131"/>
    </row>
    <row r="40" spans="1:26" x14ac:dyDescent="0.2">
      <c r="C40" s="58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1"/>
      <c r="S40" s="131"/>
      <c r="T40" s="131"/>
      <c r="U40" s="131"/>
      <c r="V40" s="131"/>
      <c r="W40" s="131"/>
      <c r="X40" s="131"/>
      <c r="Y40" s="131"/>
      <c r="Z40" s="131"/>
    </row>
    <row r="41" spans="1:26" x14ac:dyDescent="0.2">
      <c r="C41" s="58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1"/>
      <c r="S41" s="131"/>
      <c r="T41" s="131"/>
      <c r="U41" s="131"/>
      <c r="V41" s="131"/>
      <c r="W41" s="131"/>
      <c r="X41" s="131"/>
      <c r="Y41" s="131"/>
      <c r="Z41" s="131"/>
    </row>
    <row r="42" spans="1:26" x14ac:dyDescent="0.2"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spans="1:26" x14ac:dyDescent="0.2"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spans="1:26" x14ac:dyDescent="0.2">
      <c r="A44" s="101"/>
      <c r="B44" s="127" t="s">
        <v>50</v>
      </c>
      <c r="C44" s="128"/>
      <c r="D44" s="128">
        <v>2010</v>
      </c>
      <c r="E44" s="128">
        <v>2011</v>
      </c>
      <c r="F44" s="128">
        <v>2012</v>
      </c>
      <c r="G44" s="128">
        <v>2013</v>
      </c>
      <c r="H44" s="128">
        <v>2014</v>
      </c>
      <c r="I44" s="128">
        <v>2015</v>
      </c>
      <c r="J44" s="128">
        <v>2016</v>
      </c>
      <c r="K44" s="128">
        <v>2017</v>
      </c>
      <c r="L44" s="128">
        <v>2018</v>
      </c>
      <c r="M44" s="128">
        <v>2019</v>
      </c>
      <c r="N44" s="128">
        <v>2020</v>
      </c>
      <c r="O44" s="128">
        <v>2021</v>
      </c>
      <c r="P44" s="128">
        <v>2022</v>
      </c>
    </row>
    <row r="45" spans="1:26" x14ac:dyDescent="0.2">
      <c r="A45" s="127" t="s">
        <v>51</v>
      </c>
      <c r="B45" s="127"/>
      <c r="C45" s="12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</row>
    <row r="46" spans="1:26" x14ac:dyDescent="0.2">
      <c r="A46" s="101" t="s">
        <v>52</v>
      </c>
      <c r="B46" s="101"/>
      <c r="C46" s="101"/>
      <c r="D46" s="173">
        <v>0</v>
      </c>
      <c r="E46" s="173">
        <v>0</v>
      </c>
      <c r="F46" s="173">
        <v>0</v>
      </c>
      <c r="G46" s="173">
        <v>0</v>
      </c>
      <c r="H46" s="173">
        <v>0</v>
      </c>
      <c r="I46" s="173">
        <v>0</v>
      </c>
      <c r="J46" s="173">
        <v>0</v>
      </c>
      <c r="K46" s="173">
        <v>0</v>
      </c>
      <c r="L46" s="173">
        <v>0</v>
      </c>
      <c r="M46" s="173">
        <v>0</v>
      </c>
      <c r="N46" s="173">
        <v>0</v>
      </c>
      <c r="O46" s="173">
        <v>0</v>
      </c>
      <c r="P46" s="173">
        <v>0</v>
      </c>
    </row>
    <row r="47" spans="1:26" x14ac:dyDescent="0.2">
      <c r="A47" s="101"/>
      <c r="B47" s="101"/>
      <c r="C47" s="101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</row>
    <row r="48" spans="1:26" x14ac:dyDescent="0.2">
      <c r="A48" s="129">
        <v>1808</v>
      </c>
      <c r="B48" s="130">
        <v>8.0000000000000004E-4</v>
      </c>
      <c r="C48" s="130"/>
      <c r="D48" s="173">
        <v>0</v>
      </c>
      <c r="E48" s="173">
        <v>0</v>
      </c>
      <c r="F48" s="173">
        <v>0</v>
      </c>
      <c r="G48" s="173">
        <v>0</v>
      </c>
      <c r="H48" s="173">
        <v>0</v>
      </c>
      <c r="I48" s="173">
        <v>0</v>
      </c>
      <c r="J48" s="173">
        <v>0</v>
      </c>
      <c r="K48" s="173">
        <v>0</v>
      </c>
      <c r="L48" s="173">
        <v>0</v>
      </c>
      <c r="M48" s="173">
        <v>0</v>
      </c>
      <c r="N48" s="173">
        <v>0</v>
      </c>
      <c r="O48" s="173">
        <v>0</v>
      </c>
      <c r="P48" s="173">
        <v>0</v>
      </c>
    </row>
    <row r="49" spans="1:16" x14ac:dyDescent="0.2">
      <c r="A49" s="129">
        <v>1815</v>
      </c>
      <c r="B49" s="130">
        <v>0.98040000000000005</v>
      </c>
      <c r="C49" s="130"/>
      <c r="D49" s="173">
        <v>0</v>
      </c>
      <c r="E49" s="173">
        <v>0</v>
      </c>
      <c r="F49" s="173">
        <v>0</v>
      </c>
      <c r="G49" s="173">
        <v>0</v>
      </c>
      <c r="H49" s="173">
        <v>0</v>
      </c>
      <c r="I49" s="173">
        <v>0</v>
      </c>
      <c r="J49" s="173">
        <v>0</v>
      </c>
      <c r="K49" s="173">
        <v>0</v>
      </c>
      <c r="L49" s="173">
        <v>0</v>
      </c>
      <c r="M49" s="173">
        <v>0</v>
      </c>
      <c r="N49" s="173">
        <v>0</v>
      </c>
      <c r="O49" s="173">
        <v>0</v>
      </c>
      <c r="P49" s="173">
        <v>0</v>
      </c>
    </row>
    <row r="50" spans="1:16" x14ac:dyDescent="0.2">
      <c r="A50" s="129">
        <v>1955</v>
      </c>
      <c r="B50" s="153">
        <v>1.8800000000000001E-2</v>
      </c>
      <c r="C50" s="153"/>
      <c r="D50" s="173">
        <v>0</v>
      </c>
      <c r="E50" s="173">
        <v>0</v>
      </c>
      <c r="F50" s="173">
        <v>0</v>
      </c>
      <c r="G50" s="173">
        <v>0</v>
      </c>
      <c r="H50" s="173">
        <v>0</v>
      </c>
      <c r="I50" s="173">
        <v>0</v>
      </c>
      <c r="J50" s="173">
        <v>0</v>
      </c>
      <c r="K50" s="173">
        <v>0</v>
      </c>
      <c r="L50" s="173">
        <v>0</v>
      </c>
      <c r="M50" s="173">
        <v>0</v>
      </c>
      <c r="N50" s="173">
        <v>0</v>
      </c>
      <c r="O50" s="173">
        <v>0</v>
      </c>
      <c r="P50" s="173">
        <v>0</v>
      </c>
    </row>
    <row r="52" spans="1:16" x14ac:dyDescent="0.2">
      <c r="A52" s="127" t="s">
        <v>53</v>
      </c>
      <c r="B52" s="127" t="s">
        <v>50</v>
      </c>
      <c r="C52" s="128"/>
      <c r="D52" s="128">
        <v>2010</v>
      </c>
      <c r="E52" s="128">
        <v>2011</v>
      </c>
      <c r="F52" s="128">
        <v>2012</v>
      </c>
      <c r="G52" s="128">
        <v>2013</v>
      </c>
      <c r="H52" s="128">
        <v>2014</v>
      </c>
      <c r="I52" s="128">
        <v>2015</v>
      </c>
      <c r="J52" s="128">
        <v>2016</v>
      </c>
      <c r="K52" s="128">
        <v>2017</v>
      </c>
      <c r="L52" s="128">
        <v>2018</v>
      </c>
      <c r="M52" s="128">
        <v>2019</v>
      </c>
      <c r="N52" s="128">
        <v>2020</v>
      </c>
      <c r="O52" s="128">
        <v>2021</v>
      </c>
      <c r="P52" s="128">
        <v>2022</v>
      </c>
    </row>
    <row r="53" spans="1:16" x14ac:dyDescent="0.2">
      <c r="A53" s="101" t="s">
        <v>52</v>
      </c>
      <c r="B53" s="101"/>
      <c r="C53" s="101"/>
      <c r="D53" s="173">
        <f>'1 - Renewable Gen Invst Summary'!B28</f>
        <v>0.43250819897999992</v>
      </c>
      <c r="E53" s="173">
        <f>'1 - Renewable Gen Invst Summary'!C28</f>
        <v>3.7738550206407653</v>
      </c>
      <c r="F53" s="173">
        <f>'1 - Renewable Gen Invst Summary'!D28</f>
        <v>2.8131565795155895</v>
      </c>
      <c r="G53" s="173">
        <f>'1 - Renewable Gen Invst Summary'!E28</f>
        <v>1.229820506111964</v>
      </c>
      <c r="H53" s="173">
        <f>'1 - Renewable Gen Invst Summary'!F28</f>
        <v>20.199191999999996</v>
      </c>
      <c r="I53" s="173">
        <f>'1 - Renewable Gen Invst Summary'!G28</f>
        <v>14.4400311364</v>
      </c>
      <c r="J53" s="173">
        <f>'1 - Renewable Gen Invst Summary'!H28</f>
        <v>13.455885111400001</v>
      </c>
      <c r="K53" s="173">
        <f>'1 - Renewable Gen Invst Summary'!I28</f>
        <v>3.72184937398</v>
      </c>
      <c r="L53" s="173">
        <f>'1 - Renewable Gen Invst Summary'!J28</f>
        <v>4.4183744435000003</v>
      </c>
      <c r="M53" s="173">
        <f>'1 - Renewable Gen Invst Summary'!K28</f>
        <v>4.4451887125400038</v>
      </c>
      <c r="N53" s="173">
        <f>'1 - Renewable Gen Invst Summary'!L28</f>
        <v>0.6510707972600005</v>
      </c>
      <c r="O53" s="173">
        <f>'1 - Renewable Gen Invst Summary'!M28</f>
        <v>0.14718340257999996</v>
      </c>
      <c r="P53" s="173">
        <f>'1 - Renewable Gen Invst Summary'!N28</f>
        <v>0.53880415821999994</v>
      </c>
    </row>
    <row r="54" spans="1:16" x14ac:dyDescent="0.2">
      <c r="A54" s="101"/>
      <c r="B54" s="101"/>
      <c r="C54" s="101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</row>
    <row r="55" spans="1:16" x14ac:dyDescent="0.2">
      <c r="A55" s="129">
        <v>1815</v>
      </c>
      <c r="B55" s="188">
        <v>0</v>
      </c>
      <c r="C55" s="188">
        <f>D55/D53</f>
        <v>5.9900000000000002E-2</v>
      </c>
      <c r="D55" s="173">
        <f>D$53*5.99%</f>
        <v>2.5907241118901997E-2</v>
      </c>
      <c r="E55" s="173">
        <f>E$53*5.99%</f>
        <v>0.22605391573638184</v>
      </c>
      <c r="F55" s="173">
        <f>F$53*5.99%</f>
        <v>0.16850807911298382</v>
      </c>
      <c r="G55" s="173">
        <f>G$53*5.99%</f>
        <v>7.3666248316106644E-2</v>
      </c>
      <c r="H55" s="173">
        <f>H$53*5.99%</f>
        <v>1.2099316007999998</v>
      </c>
      <c r="I55" s="173">
        <f t="shared" ref="I55:P55" si="11">I$53*$B55</f>
        <v>0</v>
      </c>
      <c r="J55" s="173">
        <f t="shared" si="11"/>
        <v>0</v>
      </c>
      <c r="K55" s="173">
        <f t="shared" si="11"/>
        <v>0</v>
      </c>
      <c r="L55" s="173">
        <f t="shared" si="11"/>
        <v>0</v>
      </c>
      <c r="M55" s="173">
        <f t="shared" si="11"/>
        <v>0</v>
      </c>
      <c r="N55" s="173">
        <f t="shared" si="11"/>
        <v>0</v>
      </c>
      <c r="O55" s="173">
        <f t="shared" si="11"/>
        <v>0</v>
      </c>
      <c r="P55" s="173">
        <f t="shared" si="11"/>
        <v>0</v>
      </c>
    </row>
    <row r="56" spans="1:16" x14ac:dyDescent="0.2">
      <c r="A56" s="129">
        <v>1820</v>
      </c>
      <c r="B56" s="188">
        <v>0.21</v>
      </c>
      <c r="C56" s="188">
        <f>D56/D53</f>
        <v>0</v>
      </c>
      <c r="D56" s="173"/>
      <c r="E56" s="173"/>
      <c r="F56" s="173"/>
      <c r="G56" s="173"/>
      <c r="H56" s="173"/>
      <c r="I56" s="173">
        <f t="shared" ref="I56:I61" si="12">I$53*$B56</f>
        <v>3.032406538644</v>
      </c>
      <c r="J56" s="173">
        <f t="shared" ref="J56:P56" si="13">J$53*$B56</f>
        <v>2.8257358733940001</v>
      </c>
      <c r="K56" s="173">
        <f t="shared" si="13"/>
        <v>0.78158836853579994</v>
      </c>
      <c r="L56" s="173">
        <f t="shared" si="13"/>
        <v>0.92785863313500005</v>
      </c>
      <c r="M56" s="173">
        <f t="shared" si="13"/>
        <v>0.93348962963340076</v>
      </c>
      <c r="N56" s="173">
        <f t="shared" si="13"/>
        <v>0.13672486742460011</v>
      </c>
      <c r="O56" s="173">
        <f t="shared" si="13"/>
        <v>3.0908514541799988E-2</v>
      </c>
      <c r="P56" s="173">
        <f t="shared" si="13"/>
        <v>0.11314887322619999</v>
      </c>
    </row>
    <row r="57" spans="1:16" x14ac:dyDescent="0.2">
      <c r="A57" s="129">
        <v>1830</v>
      </c>
      <c r="B57" s="188">
        <v>0.09</v>
      </c>
      <c r="C57" s="188">
        <f>D57/D53</f>
        <v>6.2780000000000002E-2</v>
      </c>
      <c r="D57" s="173">
        <f>D$53*6.278%</f>
        <v>2.7152864731964398E-2</v>
      </c>
      <c r="E57" s="173">
        <f>$E$53*6.278%</f>
        <v>0.23692261819582724</v>
      </c>
      <c r="F57" s="173">
        <f>F$53*6.278%</f>
        <v>0.17660997006198872</v>
      </c>
      <c r="G57" s="173">
        <f>G$53*6.278%</f>
        <v>7.7208131373709105E-2</v>
      </c>
      <c r="H57" s="173">
        <f>H$53*6.278%</f>
        <v>1.2681052737599998</v>
      </c>
      <c r="I57" s="173">
        <f t="shared" si="12"/>
        <v>1.299602802276</v>
      </c>
      <c r="J57" s="173">
        <f t="shared" ref="J57:P59" si="14">J$53*$B57</f>
        <v>1.211029660026</v>
      </c>
      <c r="K57" s="173">
        <f t="shared" si="14"/>
        <v>0.3349664436582</v>
      </c>
      <c r="L57" s="173">
        <f t="shared" si="14"/>
        <v>0.39765369991499999</v>
      </c>
      <c r="M57" s="173">
        <f t="shared" si="14"/>
        <v>0.40006698412860031</v>
      </c>
      <c r="N57" s="173">
        <f t="shared" si="14"/>
        <v>5.8596371753400045E-2</v>
      </c>
      <c r="O57" s="173">
        <f t="shared" si="14"/>
        <v>1.3246506232199995E-2</v>
      </c>
      <c r="P57" s="173">
        <f t="shared" si="14"/>
        <v>4.849237423979999E-2</v>
      </c>
    </row>
    <row r="58" spans="1:16" x14ac:dyDescent="0.2">
      <c r="A58" s="129">
        <v>1835</v>
      </c>
      <c r="B58" s="188">
        <v>0.06</v>
      </c>
      <c r="C58" s="188">
        <f>D58/D53</f>
        <v>3.7129999999999996E-2</v>
      </c>
      <c r="D58" s="173">
        <f>D$53*3.713%</f>
        <v>1.6059029428127397E-2</v>
      </c>
      <c r="E58" s="173">
        <f>$E$53*3.713%</f>
        <v>0.14012323691639161</v>
      </c>
      <c r="F58" s="173">
        <f>F$53*3.713%</f>
        <v>0.10445250379741385</v>
      </c>
      <c r="G58" s="173">
        <f>G$53*3.713%</f>
        <v>4.5663235391937229E-2</v>
      </c>
      <c r="H58" s="173">
        <f>H$53*3.713%</f>
        <v>0.74999599895999991</v>
      </c>
      <c r="I58" s="173">
        <f t="shared" si="12"/>
        <v>0.866401868184</v>
      </c>
      <c r="J58" s="173">
        <f t="shared" si="14"/>
        <v>0.80735310668399995</v>
      </c>
      <c r="K58" s="173">
        <f t="shared" si="14"/>
        <v>0.2233109624388</v>
      </c>
      <c r="L58" s="173">
        <f t="shared" si="14"/>
        <v>0.26510246661000003</v>
      </c>
      <c r="M58" s="173">
        <f t="shared" si="14"/>
        <v>0.26671132275240023</v>
      </c>
      <c r="N58" s="173">
        <f t="shared" si="14"/>
        <v>3.906424783560003E-2</v>
      </c>
      <c r="O58" s="173">
        <f t="shared" si="14"/>
        <v>8.8310041547999974E-3</v>
      </c>
      <c r="P58" s="173">
        <f t="shared" si="14"/>
        <v>3.2328249493199998E-2</v>
      </c>
    </row>
    <row r="59" spans="1:16" x14ac:dyDescent="0.2">
      <c r="A59" s="129">
        <v>1850</v>
      </c>
      <c r="B59" s="188">
        <v>0.28000000000000003</v>
      </c>
      <c r="C59" s="188">
        <f>D59/D53</f>
        <v>0.32052999999999998</v>
      </c>
      <c r="D59" s="173">
        <f>D$53*32.053%</f>
        <v>0.13863185301905936</v>
      </c>
      <c r="E59" s="173">
        <f>E$53*32.053%</f>
        <v>1.2096337497659844</v>
      </c>
      <c r="F59" s="173">
        <f>F$53*32.053%</f>
        <v>0.90170107843213188</v>
      </c>
      <c r="G59" s="173">
        <f>G$53*32.053%</f>
        <v>0.39419436682406783</v>
      </c>
      <c r="H59" s="173">
        <f>H$53*32.053%</f>
        <v>6.4744470117599988</v>
      </c>
      <c r="I59" s="173">
        <f t="shared" si="12"/>
        <v>4.043208718192</v>
      </c>
      <c r="J59" s="173">
        <f t="shared" si="14"/>
        <v>3.7676478311920008</v>
      </c>
      <c r="K59" s="173">
        <f t="shared" si="14"/>
        <v>1.0421178247144001</v>
      </c>
      <c r="L59" s="173">
        <f t="shared" si="14"/>
        <v>1.2371448441800001</v>
      </c>
      <c r="M59" s="173">
        <f t="shared" si="14"/>
        <v>1.2446528395112011</v>
      </c>
      <c r="N59" s="173">
        <f t="shared" si="14"/>
        <v>0.18229982323280017</v>
      </c>
      <c r="O59" s="173">
        <f t="shared" si="14"/>
        <v>4.1211352722399994E-2</v>
      </c>
      <c r="P59" s="173">
        <f t="shared" si="14"/>
        <v>0.15086516430159999</v>
      </c>
    </row>
    <row r="60" spans="1:16" x14ac:dyDescent="0.2">
      <c r="A60" s="129">
        <v>1860</v>
      </c>
      <c r="B60" s="188">
        <v>0.08</v>
      </c>
      <c r="C60" s="188">
        <f>D60/$D$53</f>
        <v>8.3219999999999988E-2</v>
      </c>
      <c r="D60" s="173">
        <f>D$53*8.322%</f>
        <v>3.5993332319115591E-2</v>
      </c>
      <c r="E60" s="173">
        <f>E$53*8.322%</f>
        <v>0.31406021481772445</v>
      </c>
      <c r="F60" s="173">
        <f>F$53*8.322%</f>
        <v>0.23411089054728731</v>
      </c>
      <c r="G60" s="173">
        <f>G$53*8.322%</f>
        <v>0.10234566251863764</v>
      </c>
      <c r="H60" s="173">
        <f>H$53*8.322%</f>
        <v>1.6809767582399995</v>
      </c>
      <c r="I60" s="173">
        <f t="shared" si="12"/>
        <v>1.155202490912</v>
      </c>
      <c r="J60" s="173">
        <f t="shared" ref="J60:P61" si="15">J$53*$B60</f>
        <v>1.0764708089120001</v>
      </c>
      <c r="K60" s="173">
        <f t="shared" si="15"/>
        <v>0.29774794991840003</v>
      </c>
      <c r="L60" s="173">
        <f t="shared" si="15"/>
        <v>0.35346995548000004</v>
      </c>
      <c r="M60" s="173">
        <f t="shared" si="15"/>
        <v>0.35561509700320032</v>
      </c>
      <c r="N60" s="173">
        <f t="shared" si="15"/>
        <v>5.208566378080004E-2</v>
      </c>
      <c r="O60" s="173">
        <f t="shared" si="15"/>
        <v>1.1774672206399996E-2</v>
      </c>
      <c r="P60" s="173">
        <f t="shared" si="15"/>
        <v>4.3104332657599997E-2</v>
      </c>
    </row>
    <row r="61" spans="1:16" x14ac:dyDescent="0.2">
      <c r="A61" s="129">
        <v>1980</v>
      </c>
      <c r="B61" s="188">
        <v>0.28000000000000003</v>
      </c>
      <c r="C61" s="188">
        <f>D61/$D$53</f>
        <v>0.43640000000000001</v>
      </c>
      <c r="D61" s="173">
        <f>D$53*43.64%</f>
        <v>0.18874657803487196</v>
      </c>
      <c r="E61" s="173">
        <f>E$53*43.64%</f>
        <v>1.6469103310076301</v>
      </c>
      <c r="F61" s="173">
        <f>F$53*43.64%</f>
        <v>1.2276615313006032</v>
      </c>
      <c r="G61" s="173">
        <f>G$53*43.64%</f>
        <v>0.53669366886726111</v>
      </c>
      <c r="H61" s="173">
        <f>H$53*43.64%</f>
        <v>8.8149273887999993</v>
      </c>
      <c r="I61" s="173">
        <f t="shared" si="12"/>
        <v>4.043208718192</v>
      </c>
      <c r="J61" s="173">
        <f t="shared" si="15"/>
        <v>3.7676478311920008</v>
      </c>
      <c r="K61" s="173">
        <f t="shared" si="15"/>
        <v>1.0421178247144001</v>
      </c>
      <c r="L61" s="173">
        <f t="shared" si="15"/>
        <v>1.2371448441800001</v>
      </c>
      <c r="M61" s="173">
        <f t="shared" si="15"/>
        <v>1.2446528395112011</v>
      </c>
      <c r="N61" s="173">
        <f t="shared" si="15"/>
        <v>0.18229982323280017</v>
      </c>
      <c r="O61" s="173">
        <f t="shared" si="15"/>
        <v>4.1211352722399994E-2</v>
      </c>
      <c r="P61" s="173">
        <f t="shared" si="15"/>
        <v>0.15086516430159999</v>
      </c>
    </row>
    <row r="81" spans="1:16" x14ac:dyDescent="0.2">
      <c r="A81" s="110" t="s">
        <v>34</v>
      </c>
    </row>
    <row r="82" spans="1:16" x14ac:dyDescent="0.2">
      <c r="A82" s="106" t="s">
        <v>54</v>
      </c>
      <c r="B82" s="106" t="s">
        <v>55</v>
      </c>
      <c r="C82" s="106">
        <v>2009</v>
      </c>
      <c r="D82" s="106">
        <v>2010</v>
      </c>
      <c r="E82" s="106">
        <v>2011</v>
      </c>
      <c r="F82" s="106">
        <v>2012</v>
      </c>
      <c r="G82" s="106">
        <v>2013</v>
      </c>
      <c r="H82" s="106">
        <v>2014</v>
      </c>
      <c r="I82" s="106">
        <v>2015</v>
      </c>
      <c r="J82" s="106">
        <v>2016</v>
      </c>
      <c r="K82" s="106">
        <v>2017</v>
      </c>
      <c r="L82" s="106">
        <v>2018</v>
      </c>
      <c r="M82" s="106">
        <v>2019</v>
      </c>
      <c r="N82" s="106">
        <v>2020</v>
      </c>
      <c r="O82" s="106">
        <v>2021</v>
      </c>
      <c r="P82" s="106">
        <v>2022</v>
      </c>
    </row>
    <row r="83" spans="1:16" x14ac:dyDescent="0.2">
      <c r="A83" s="102" t="s">
        <v>56</v>
      </c>
      <c r="B83" s="111">
        <v>1.9255382663267564E-2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</row>
    <row r="84" spans="1:16" x14ac:dyDescent="0.2">
      <c r="A84" s="102" t="s">
        <v>57</v>
      </c>
      <c r="B84" s="111">
        <v>1.9141689520762527E-2</v>
      </c>
      <c r="D84" s="58">
        <f t="shared" ref="D84:D89" si="16">D55</f>
        <v>2.5907241118901997E-2</v>
      </c>
      <c r="E84" s="58">
        <f t="shared" ref="E84:P84" si="17">E55</f>
        <v>0.22605391573638184</v>
      </c>
      <c r="F84" s="58">
        <f t="shared" si="17"/>
        <v>0.16850807911298382</v>
      </c>
      <c r="G84" s="58">
        <f t="shared" si="17"/>
        <v>7.3666248316106644E-2</v>
      </c>
      <c r="H84" s="58">
        <f t="shared" si="17"/>
        <v>1.2099316007999998</v>
      </c>
      <c r="I84" s="58">
        <f t="shared" si="17"/>
        <v>0</v>
      </c>
      <c r="J84" s="58">
        <f t="shared" si="17"/>
        <v>0</v>
      </c>
      <c r="K84" s="58">
        <f t="shared" si="17"/>
        <v>0</v>
      </c>
      <c r="L84" s="58">
        <f t="shared" si="17"/>
        <v>0</v>
      </c>
      <c r="M84" s="58">
        <f t="shared" si="17"/>
        <v>0</v>
      </c>
      <c r="N84" s="58">
        <f t="shared" si="17"/>
        <v>0</v>
      </c>
      <c r="O84" s="58">
        <f t="shared" si="17"/>
        <v>0</v>
      </c>
      <c r="P84" s="58">
        <f t="shared" si="17"/>
        <v>0</v>
      </c>
    </row>
    <row r="85" spans="1:16" x14ac:dyDescent="0.2">
      <c r="A85" s="102" t="s">
        <v>58</v>
      </c>
      <c r="B85" s="111">
        <v>2.0550788825142691E-2</v>
      </c>
      <c r="D85" s="58">
        <f t="shared" si="16"/>
        <v>0</v>
      </c>
      <c r="E85" s="58">
        <f t="shared" ref="E85:P85" si="18">E56</f>
        <v>0</v>
      </c>
      <c r="F85" s="58">
        <f t="shared" si="18"/>
        <v>0</v>
      </c>
      <c r="G85" s="58">
        <f t="shared" si="18"/>
        <v>0</v>
      </c>
      <c r="H85" s="58">
        <f t="shared" si="18"/>
        <v>0</v>
      </c>
      <c r="I85" s="58">
        <f t="shared" si="18"/>
        <v>3.032406538644</v>
      </c>
      <c r="J85" s="58">
        <f t="shared" si="18"/>
        <v>2.8257358733940001</v>
      </c>
      <c r="K85" s="58">
        <f t="shared" si="18"/>
        <v>0.78158836853579994</v>
      </c>
      <c r="L85" s="58">
        <f t="shared" si="18"/>
        <v>0.92785863313500005</v>
      </c>
      <c r="M85" s="58">
        <f t="shared" si="18"/>
        <v>0.93348962963340076</v>
      </c>
      <c r="N85" s="58">
        <f t="shared" si="18"/>
        <v>0.13672486742460011</v>
      </c>
      <c r="O85" s="58">
        <f t="shared" si="18"/>
        <v>3.0908514541799988E-2</v>
      </c>
      <c r="P85" s="58">
        <f t="shared" si="18"/>
        <v>0.11314887322619999</v>
      </c>
    </row>
    <row r="86" spans="1:16" x14ac:dyDescent="0.2">
      <c r="A86" s="102" t="s">
        <v>59</v>
      </c>
      <c r="B86" s="111">
        <v>1.7056673789621109E-2</v>
      </c>
      <c r="D86" s="58">
        <f t="shared" si="16"/>
        <v>2.7152864731964398E-2</v>
      </c>
      <c r="E86" s="58">
        <f t="shared" ref="E86:P86" si="19">E57</f>
        <v>0.23692261819582724</v>
      </c>
      <c r="F86" s="58">
        <f t="shared" si="19"/>
        <v>0.17660997006198872</v>
      </c>
      <c r="G86" s="58">
        <f t="shared" si="19"/>
        <v>7.7208131373709105E-2</v>
      </c>
      <c r="H86" s="58">
        <f t="shared" si="19"/>
        <v>1.2681052737599998</v>
      </c>
      <c r="I86" s="58">
        <f t="shared" si="19"/>
        <v>1.299602802276</v>
      </c>
      <c r="J86" s="58">
        <f t="shared" si="19"/>
        <v>1.211029660026</v>
      </c>
      <c r="K86" s="58">
        <f t="shared" si="19"/>
        <v>0.3349664436582</v>
      </c>
      <c r="L86" s="58">
        <f t="shared" si="19"/>
        <v>0.39765369991499999</v>
      </c>
      <c r="M86" s="58">
        <f t="shared" si="19"/>
        <v>0.40006698412860031</v>
      </c>
      <c r="N86" s="58">
        <f t="shared" si="19"/>
        <v>5.8596371753400045E-2</v>
      </c>
      <c r="O86" s="58">
        <f t="shared" si="19"/>
        <v>1.3246506232199995E-2</v>
      </c>
      <c r="P86" s="58">
        <f t="shared" si="19"/>
        <v>4.849237423979999E-2</v>
      </c>
    </row>
    <row r="87" spans="1:16" x14ac:dyDescent="0.2">
      <c r="A87" s="102" t="s">
        <v>60</v>
      </c>
      <c r="B87" s="111">
        <v>1.591957830516846E-2</v>
      </c>
      <c r="D87" s="58">
        <f t="shared" si="16"/>
        <v>1.6059029428127397E-2</v>
      </c>
      <c r="E87" s="58">
        <f t="shared" ref="E87:P87" si="20">E58</f>
        <v>0.14012323691639161</v>
      </c>
      <c r="F87" s="58">
        <f t="shared" si="20"/>
        <v>0.10445250379741385</v>
      </c>
      <c r="G87" s="58">
        <f t="shared" si="20"/>
        <v>4.5663235391937229E-2</v>
      </c>
      <c r="H87" s="58">
        <f t="shared" si="20"/>
        <v>0.74999599895999991</v>
      </c>
      <c r="I87" s="58">
        <f t="shared" si="20"/>
        <v>0.866401868184</v>
      </c>
      <c r="J87" s="58">
        <f t="shared" si="20"/>
        <v>0.80735310668399995</v>
      </c>
      <c r="K87" s="58">
        <f t="shared" si="20"/>
        <v>0.2233109624388</v>
      </c>
      <c r="L87" s="58">
        <f t="shared" si="20"/>
        <v>0.26510246661000003</v>
      </c>
      <c r="M87" s="58">
        <f t="shared" si="20"/>
        <v>0.26671132275240023</v>
      </c>
      <c r="N87" s="58">
        <f t="shared" si="20"/>
        <v>3.906424783560003E-2</v>
      </c>
      <c r="O87" s="58">
        <f t="shared" si="20"/>
        <v>8.8310041547999974E-3</v>
      </c>
      <c r="P87" s="58">
        <f t="shared" si="20"/>
        <v>3.2328249493199998E-2</v>
      </c>
    </row>
    <row r="88" spans="1:16" x14ac:dyDescent="0.2">
      <c r="A88" s="102" t="s">
        <v>61</v>
      </c>
      <c r="B88" s="111">
        <v>2.2617541631269489E-2</v>
      </c>
      <c r="D88" s="58">
        <f t="shared" si="16"/>
        <v>0.13863185301905936</v>
      </c>
      <c r="E88" s="58">
        <f t="shared" ref="E88:P88" si="21">E59</f>
        <v>1.2096337497659844</v>
      </c>
      <c r="F88" s="58">
        <f t="shared" si="21"/>
        <v>0.90170107843213188</v>
      </c>
      <c r="G88" s="58">
        <f t="shared" si="21"/>
        <v>0.39419436682406783</v>
      </c>
      <c r="H88" s="58">
        <f t="shared" si="21"/>
        <v>6.4744470117599988</v>
      </c>
      <c r="I88" s="58">
        <f t="shared" si="21"/>
        <v>4.043208718192</v>
      </c>
      <c r="J88" s="58">
        <f t="shared" si="21"/>
        <v>3.7676478311920008</v>
      </c>
      <c r="K88" s="58">
        <f t="shared" si="21"/>
        <v>1.0421178247144001</v>
      </c>
      <c r="L88" s="58">
        <f t="shared" si="21"/>
        <v>1.2371448441800001</v>
      </c>
      <c r="M88" s="58">
        <f t="shared" si="21"/>
        <v>1.2446528395112011</v>
      </c>
      <c r="N88" s="58">
        <f t="shared" si="21"/>
        <v>0.18229982323280017</v>
      </c>
      <c r="O88" s="58">
        <f t="shared" si="21"/>
        <v>4.1211352722399994E-2</v>
      </c>
      <c r="P88" s="58">
        <f t="shared" si="21"/>
        <v>0.15086516430159999</v>
      </c>
    </row>
    <row r="89" spans="1:16" x14ac:dyDescent="0.2">
      <c r="A89" s="102" t="s">
        <v>62</v>
      </c>
      <c r="B89" s="111">
        <v>5.3753021873700992E-2</v>
      </c>
      <c r="D89" s="58">
        <f t="shared" si="16"/>
        <v>3.5993332319115591E-2</v>
      </c>
      <c r="E89" s="58">
        <f t="shared" ref="E89:P89" si="22">E60</f>
        <v>0.31406021481772445</v>
      </c>
      <c r="F89" s="58">
        <f t="shared" si="22"/>
        <v>0.23411089054728731</v>
      </c>
      <c r="G89" s="58">
        <f t="shared" si="22"/>
        <v>0.10234566251863764</v>
      </c>
      <c r="H89" s="58">
        <f t="shared" si="22"/>
        <v>1.6809767582399995</v>
      </c>
      <c r="I89" s="58">
        <f t="shared" si="22"/>
        <v>1.155202490912</v>
      </c>
      <c r="J89" s="58">
        <f t="shared" si="22"/>
        <v>1.0764708089120001</v>
      </c>
      <c r="K89" s="58">
        <f t="shared" si="22"/>
        <v>0.29774794991840003</v>
      </c>
      <c r="L89" s="58">
        <f t="shared" si="22"/>
        <v>0.35346995548000004</v>
      </c>
      <c r="M89" s="58">
        <f t="shared" si="22"/>
        <v>0.35561509700320032</v>
      </c>
      <c r="N89" s="58">
        <f t="shared" si="22"/>
        <v>5.208566378080004E-2</v>
      </c>
      <c r="O89" s="58">
        <f t="shared" si="22"/>
        <v>1.1774672206399996E-2</v>
      </c>
      <c r="P89" s="58">
        <f t="shared" si="22"/>
        <v>4.3104332657599997E-2</v>
      </c>
    </row>
    <row r="90" spans="1:16" x14ac:dyDescent="0.2">
      <c r="A90" s="102" t="s">
        <v>63</v>
      </c>
      <c r="B90" s="111">
        <v>7.9531717592186441E-2</v>
      </c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</row>
    <row r="91" spans="1:16" x14ac:dyDescent="0.2">
      <c r="A91" s="102" t="s">
        <v>64</v>
      </c>
      <c r="B91" s="111">
        <v>0.16666666666666663</v>
      </c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</row>
    <row r="92" spans="1:16" x14ac:dyDescent="0.2">
      <c r="A92" s="102" t="s">
        <v>65</v>
      </c>
      <c r="B92" s="111">
        <v>0.12801360026371572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</row>
    <row r="93" spans="1:16" x14ac:dyDescent="0.2">
      <c r="A93" s="102" t="s">
        <v>66</v>
      </c>
      <c r="B93" s="111">
        <v>0.2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</row>
    <row r="94" spans="1:16" x14ac:dyDescent="0.2">
      <c r="A94" s="102" t="s">
        <v>67</v>
      </c>
      <c r="B94" s="111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</row>
    <row r="95" spans="1:16" x14ac:dyDescent="0.2">
      <c r="A95" s="102" t="s">
        <v>68</v>
      </c>
      <c r="B95" s="111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</row>
    <row r="96" spans="1:16" x14ac:dyDescent="0.2">
      <c r="A96" s="102" t="s">
        <v>69</v>
      </c>
      <c r="B96" s="111">
        <v>0.10051005061856569</v>
      </c>
      <c r="D96" s="58">
        <f>D61</f>
        <v>0.18874657803487196</v>
      </c>
      <c r="E96" s="58">
        <f t="shared" ref="E96:P96" si="23">E61</f>
        <v>1.6469103310076301</v>
      </c>
      <c r="F96" s="58">
        <f t="shared" si="23"/>
        <v>1.2276615313006032</v>
      </c>
      <c r="G96" s="58">
        <f t="shared" si="23"/>
        <v>0.53669366886726111</v>
      </c>
      <c r="H96" s="58">
        <f t="shared" si="23"/>
        <v>8.8149273887999993</v>
      </c>
      <c r="I96" s="58">
        <f t="shared" si="23"/>
        <v>4.043208718192</v>
      </c>
      <c r="J96" s="58">
        <f t="shared" si="23"/>
        <v>3.7676478311920008</v>
      </c>
      <c r="K96" s="58">
        <f t="shared" si="23"/>
        <v>1.0421178247144001</v>
      </c>
      <c r="L96" s="58">
        <f t="shared" si="23"/>
        <v>1.2371448441800001</v>
      </c>
      <c r="M96" s="58">
        <f t="shared" si="23"/>
        <v>1.2446528395112011</v>
      </c>
      <c r="N96" s="58">
        <f t="shared" si="23"/>
        <v>0.18229982323280017</v>
      </c>
      <c r="O96" s="58">
        <f t="shared" si="23"/>
        <v>4.1211352722399994E-2</v>
      </c>
      <c r="P96" s="58">
        <f t="shared" si="23"/>
        <v>0.15086516430159999</v>
      </c>
    </row>
    <row r="97" spans="1:16" x14ac:dyDescent="0.2">
      <c r="A97" s="106" t="s">
        <v>70</v>
      </c>
      <c r="B97" s="106"/>
      <c r="C97" s="106">
        <v>0</v>
      </c>
      <c r="D97" s="107">
        <f>SUM(D83:D96)</f>
        <v>0.43249089865204071</v>
      </c>
      <c r="E97" s="107">
        <f t="shared" ref="E97:P97" si="24">SUM(E83:E96)</f>
        <v>3.7737040664399393</v>
      </c>
      <c r="F97" s="107">
        <f t="shared" si="24"/>
        <v>2.8130440532524088</v>
      </c>
      <c r="G97" s="107">
        <f t="shared" si="24"/>
        <v>1.2297713132917196</v>
      </c>
      <c r="H97" s="107">
        <f t="shared" si="24"/>
        <v>20.19838403232</v>
      </c>
      <c r="I97" s="107">
        <f t="shared" si="24"/>
        <v>14.4400311364</v>
      </c>
      <c r="J97" s="107">
        <f t="shared" si="24"/>
        <v>13.455885111400001</v>
      </c>
      <c r="K97" s="107">
        <f t="shared" si="24"/>
        <v>3.72184937398</v>
      </c>
      <c r="L97" s="107">
        <f t="shared" si="24"/>
        <v>4.4183744435000003</v>
      </c>
      <c r="M97" s="107">
        <f t="shared" si="24"/>
        <v>4.4451887125400038</v>
      </c>
      <c r="N97" s="107">
        <f t="shared" si="24"/>
        <v>0.6510707972600005</v>
      </c>
      <c r="O97" s="107">
        <f t="shared" si="24"/>
        <v>0.14718340257999996</v>
      </c>
      <c r="P97" s="107">
        <f t="shared" si="24"/>
        <v>0.53880415821999994</v>
      </c>
    </row>
    <row r="98" spans="1:16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</row>
    <row r="99" spans="1:16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</row>
    <row r="100" spans="1:16" x14ac:dyDescent="0.2">
      <c r="A100" s="110" t="s">
        <v>71</v>
      </c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</row>
    <row r="101" spans="1:16" x14ac:dyDescent="0.2">
      <c r="A101" s="106" t="s">
        <v>72</v>
      </c>
      <c r="D101" s="106">
        <v>2010</v>
      </c>
      <c r="E101" s="106">
        <v>2011</v>
      </c>
      <c r="F101" s="106">
        <v>2012</v>
      </c>
      <c r="G101" s="106">
        <v>2013</v>
      </c>
      <c r="H101" s="106">
        <v>2014</v>
      </c>
      <c r="I101" s="106">
        <v>2015</v>
      </c>
      <c r="J101" s="106">
        <v>2016</v>
      </c>
      <c r="K101" s="106">
        <v>2017</v>
      </c>
      <c r="L101" s="106">
        <v>2018</v>
      </c>
      <c r="M101" s="106">
        <v>2019</v>
      </c>
      <c r="N101" s="106">
        <v>2020</v>
      </c>
      <c r="O101" s="106">
        <v>2021</v>
      </c>
      <c r="P101" s="106">
        <v>2022</v>
      </c>
    </row>
    <row r="102" spans="1:16" x14ac:dyDescent="0.2">
      <c r="A102" s="102" t="s">
        <v>56</v>
      </c>
      <c r="D102" s="189">
        <f>+D83/2*1.82%+SUM($C83:C83)*1.82%</f>
        <v>0</v>
      </c>
      <c r="E102" s="189">
        <f>+E83/2*1.82%+SUM($C83:D83)*1.82%</f>
        <v>0</v>
      </c>
      <c r="F102" s="189">
        <f>+F83/2*1.82%+SUM($C83:E83)*1.82%</f>
        <v>0</v>
      </c>
      <c r="G102" s="189">
        <f>+G83/2*1.82%+SUM($C83:F83)*1.82%</f>
        <v>0</v>
      </c>
      <c r="H102" s="189">
        <f>+H83/2*1.82%+SUM($C83:G83)*1.82%</f>
        <v>0</v>
      </c>
      <c r="I102" s="189">
        <f>+I83/2*1.82%+SUM($C83:H83)*1.82%</f>
        <v>0</v>
      </c>
      <c r="J102" s="189">
        <f>+J83/2*1.82%+SUM($C83:I83)*1.82%</f>
        <v>0</v>
      </c>
      <c r="K102" s="189">
        <f>+K83/2*1.82%+SUM($C83:J83)*1.82%</f>
        <v>0</v>
      </c>
      <c r="L102" s="189">
        <f>+L83/2*1.82%+SUM($C83:K83)*1.82%</f>
        <v>0</v>
      </c>
      <c r="M102" s="189">
        <f>+M83/2*1.82%+SUM($C83:L83)*1.82%</f>
        <v>0</v>
      </c>
      <c r="N102" s="189">
        <f>+N83/2*1.82%+SUM($C83:M83)*1.82%</f>
        <v>0</v>
      </c>
      <c r="O102" s="189">
        <f>+O83/2*1.82%+SUM($C83:N83)*1.82%</f>
        <v>0</v>
      </c>
      <c r="P102" s="189">
        <f>+P83/2*1.82%+SUM($C83:O83)*1.82%</f>
        <v>0</v>
      </c>
    </row>
    <row r="103" spans="1:16" x14ac:dyDescent="0.2">
      <c r="A103" s="102" t="s">
        <v>57</v>
      </c>
      <c r="C103" s="108"/>
      <c r="D103" s="189">
        <f>+D84/2*1.98%+SUM($C84:C84)*1.98%</f>
        <v>2.5648168707712976E-4</v>
      </c>
      <c r="E103" s="189">
        <f>+E84/2*1.98%+SUM($C84:D84)*1.98%</f>
        <v>2.7508971399444397E-3</v>
      </c>
      <c r="F103" s="189">
        <f>+F84/2*1.98%+SUM($C84:E84)*1.98%</f>
        <v>6.6570608889531596E-3</v>
      </c>
      <c r="G103" s="189">
        <f>+G84/2*1.98%+SUM($C84:F84)*1.98%</f>
        <v>9.0545867305011542E-3</v>
      </c>
      <c r="H103" s="189">
        <f>+H84/2*1.98%+SUM($C84:G84)*1.98%</f>
        <v>2.1762205436750608E-2</v>
      </c>
      <c r="I103" s="189">
        <f>+I84/2*1.98%+SUM($C84:H84)*1.98%</f>
        <v>3.3740528284670605E-2</v>
      </c>
      <c r="J103" s="189">
        <f>+J84/2*2.23%+SUM($C84:I84)*2.23%</f>
        <v>3.8000695997381546E-2</v>
      </c>
      <c r="K103" s="189">
        <f>+K84/2*2.23%+SUM($C84:J84)*2.23%</f>
        <v>3.8000695997381546E-2</v>
      </c>
      <c r="L103" s="189">
        <f>+L84/2*2.23%+SUM($C84:K84)*2.23%</f>
        <v>3.8000695997381546E-2</v>
      </c>
      <c r="M103" s="189">
        <f>+M84/2*2.23%+SUM($C84:L84)*2.23%</f>
        <v>3.8000695997381546E-2</v>
      </c>
      <c r="N103" s="189">
        <f>+N84/2*2.23%+SUM($C84:M84)*2.23%</f>
        <v>3.8000695997381546E-2</v>
      </c>
      <c r="O103" s="189">
        <f>+O84/2*2.23%+SUM($C84:N84)*2.23%</f>
        <v>3.8000695997381546E-2</v>
      </c>
      <c r="P103" s="189">
        <f>+P84/2*2.23%+SUM($C84:O84)*2.23%</f>
        <v>3.8000695997381546E-2</v>
      </c>
    </row>
    <row r="104" spans="1:16" x14ac:dyDescent="0.2">
      <c r="A104" s="102" t="s">
        <v>58</v>
      </c>
      <c r="D104" s="189">
        <f>+D85/2*1.97%+SUM($C85:C85)*1.97%</f>
        <v>0</v>
      </c>
      <c r="E104" s="189">
        <f>+E85/2*1.97%+SUM($C85:D85)*1.97%</f>
        <v>0</v>
      </c>
      <c r="F104" s="189">
        <f>+F85/2*1.97%+SUM($C85:E85)*1.97%</f>
        <v>0</v>
      </c>
      <c r="G104" s="189">
        <f>+G85/2*1.97%+SUM($C85:F85)*1.97%</f>
        <v>0</v>
      </c>
      <c r="H104" s="189">
        <f>+H85/2*1.97%+SUM($C85:G85)*1.97%</f>
        <v>0</v>
      </c>
      <c r="I104" s="189">
        <f>+I85/2*1.97%+SUM($C85:H85)*1.97%</f>
        <v>2.9869204405643397E-2</v>
      </c>
      <c r="J104" s="189">
        <f>+J85/2*2.7%+SUM($C85:I85)*2.7%</f>
        <v>0.12002241083420701</v>
      </c>
      <c r="K104" s="189">
        <f>+K85/2*2.7%+SUM($C85:J85)*2.7%</f>
        <v>0.16872128810025933</v>
      </c>
      <c r="L104" s="189">
        <f>+L85/2*2.7%+SUM($C85:K85)*2.7%</f>
        <v>0.19179882262281514</v>
      </c>
      <c r="M104" s="189">
        <f>+M85/2*2.7%+SUM($C85:L85)*2.7%</f>
        <v>0.21692702417018853</v>
      </c>
      <c r="N104" s="189">
        <f>+N85/2*2.7%+SUM($C85:M85)*2.7%</f>
        <v>0.2313749198804716</v>
      </c>
      <c r="O104" s="189">
        <f>+O85/2*2.7%+SUM($C85:N85)*2.7%</f>
        <v>0.23363797053701799</v>
      </c>
      <c r="P104" s="189">
        <f>+P85/2*2.7%+SUM($C85:O85)*2.7%</f>
        <v>0.235582745271886</v>
      </c>
    </row>
    <row r="105" spans="1:16" x14ac:dyDescent="0.2">
      <c r="A105" s="102" t="s">
        <v>59</v>
      </c>
      <c r="D105" s="189">
        <f>+D86/2*1.83%+SUM($C86:C86)*1.83%</f>
        <v>2.4844871229747422E-4</v>
      </c>
      <c r="E105" s="189">
        <f>+E86/2*1.83%+SUM($C86:D86)*1.83%</f>
        <v>2.6647393810867673E-3</v>
      </c>
      <c r="F105" s="189">
        <f>+F86/2*1.83%+SUM($C86:E86)*1.83%</f>
        <v>6.4485625636457843E-3</v>
      </c>
      <c r="G105" s="189">
        <f>+G86/2*1.83%+SUM($C86:F86)*1.83%</f>
        <v>8.7709981917824201E-3</v>
      </c>
      <c r="H105" s="189">
        <f>+H86/2*1.83%+SUM($C86:G86)*1.83%</f>
        <v>2.1080615848755854E-2</v>
      </c>
      <c r="I105" s="189">
        <f>+I86/2*1.83%+SUM($C86:H86)*1.83%</f>
        <v>4.4575144744485255E-2</v>
      </c>
      <c r="J105" s="189">
        <f>+J86/2*1.7%+SUM($C86:I86)*1.7%</f>
        <v>6.2748980337012317E-2</v>
      </c>
      <c r="K105" s="189">
        <f>+K86/2*1.7%+SUM($C86:J86)*1.7%</f>
        <v>7.5889947218328022E-2</v>
      </c>
      <c r="L105" s="189">
        <f>+L86/2*1.7%+SUM($C86:K86)*1.7%</f>
        <v>8.2117218438700221E-2</v>
      </c>
      <c r="M105" s="189">
        <f>+M86/2*1.7%+SUM($C86:L86)*1.7%</f>
        <v>8.8897844253070818E-2</v>
      </c>
      <c r="N105" s="189">
        <f>+N86/2*1.7%+SUM($C86:M86)*1.7%</f>
        <v>9.2796482778067832E-2</v>
      </c>
      <c r="O105" s="189">
        <f>+O86/2*1.7%+SUM($C86:N86)*1.7%</f>
        <v>9.3407147240945426E-2</v>
      </c>
      <c r="P105" s="189">
        <f>+P86/2*1.7%+SUM($C86:O86)*1.7%</f>
        <v>9.3931927724957426E-2</v>
      </c>
    </row>
    <row r="106" spans="1:16" x14ac:dyDescent="0.2">
      <c r="A106" s="102" t="s">
        <v>60</v>
      </c>
      <c r="D106" s="189">
        <f>+D87/2*2.14%+SUM($C87:C87)*2.14%</f>
        <v>1.7183161488096318E-4</v>
      </c>
      <c r="E106" s="189">
        <f>+E87/2*2.14%+SUM($C87:D87)*2.14%</f>
        <v>1.8429818647673168E-3</v>
      </c>
      <c r="F106" s="189">
        <f>+F87/2*2.14%+SUM($C87:E87)*2.14%</f>
        <v>4.4599422904050348E-3</v>
      </c>
      <c r="G106" s="189">
        <f>+G87/2*2.14%+SUM($C87:F87)*2.14%</f>
        <v>6.0661806997310925E-3</v>
      </c>
      <c r="H106" s="189">
        <f>+H87/2*2.14%+SUM($C87:G87)*2.14%</f>
        <v>1.4579734507296821E-2</v>
      </c>
      <c r="I106" s="189">
        <f>+I87/2*2.14%+SUM($C87:H87)*2.14%</f>
        <v>3.1875191685737624E-2</v>
      </c>
      <c r="J106" s="189">
        <f>+J87/2*1.69%+SUM($C87:I87)*1.69%</f>
        <v>3.9315693999735793E-2</v>
      </c>
      <c r="K106" s="189">
        <f>+K87/2*1.69%+SUM($C87:J87)*1.69%</f>
        <v>4.8024805383823456E-2</v>
      </c>
      <c r="L106" s="189">
        <f>+L87/2*1.69%+SUM($C87:K87)*1.69%</f>
        <v>5.2151898859285818E-2</v>
      </c>
      <c r="M106" s="189">
        <f>+M87/2*1.69%+SUM($C87:L87)*1.69%</f>
        <v>5.6645725379398097E-2</v>
      </c>
      <c r="N106" s="189">
        <f>+N87/2*1.69%+SUM($C87:M87)*1.69%</f>
        <v>5.9229528950866701E-2</v>
      </c>
      <c r="O106" s="189">
        <f>+O87/2*1.69%+SUM($C87:N87)*1.69%</f>
        <v>5.9634243830185577E-2</v>
      </c>
      <c r="P106" s="189">
        <f>+P87/2*1.69%+SUM($C87:O87)*1.69%</f>
        <v>5.998203952351118E-2</v>
      </c>
    </row>
    <row r="107" spans="1:16" x14ac:dyDescent="0.2">
      <c r="A107" s="102" t="s">
        <v>61</v>
      </c>
      <c r="D107" s="189">
        <f>+D88/2*2.06%+SUM($C88:C88)*2.06%</f>
        <v>1.4279080860963114E-3</v>
      </c>
      <c r="E107" s="189">
        <f>+E88/2*2.06%+SUM($C88:D88)*2.06%</f>
        <v>1.5315043794782261E-2</v>
      </c>
      <c r="F107" s="189">
        <f>+F88/2*2.06%+SUM($C88:E88)*2.06%</f>
        <v>3.7061792525222861E-2</v>
      </c>
      <c r="G107" s="189">
        <f>+G88/2*2.06%+SUM($C88:F88)*2.06%</f>
        <v>5.040951561136172E-2</v>
      </c>
      <c r="H107" s="189">
        <f>+H88/2*2.06%+SUM($C88:G88)*2.06%</f>
        <v>0.1211565218107776</v>
      </c>
      <c r="I107" s="189">
        <f>+I88/2*2.06%+SUM($C88:H88)*2.06%</f>
        <v>0.22948837582928322</v>
      </c>
      <c r="J107" s="189">
        <f>+J88/2*2.31%+SUM($C88:I88)*2.31%</f>
        <v>0.34755430002191151</v>
      </c>
      <c r="K107" s="189">
        <f>+K88/2*2.31%+SUM($C88:J88)*2.31%</f>
        <v>0.40310709334763045</v>
      </c>
      <c r="L107" s="189">
        <f>+L88/2*2.31%+SUM($C88:K88)*2.31%</f>
        <v>0.42943257717336081</v>
      </c>
      <c r="M107" s="189">
        <f>+M88/2*2.31%+SUM($C88:L88)*2.31%</f>
        <v>0.45809734041999417</v>
      </c>
      <c r="N107" s="189">
        <f>+N88/2*2.31%+SUM($C88:M88)*2.31%</f>
        <v>0.47457864367468738</v>
      </c>
      <c r="O107" s="189">
        <f>+O88/2*2.31%+SUM($C88:N88)*2.31%</f>
        <v>0.47716019775696988</v>
      </c>
      <c r="P107" s="189">
        <f>+P88/2*2.31%+SUM($C88:O88)*2.31%</f>
        <v>0.47937868152859714</v>
      </c>
    </row>
    <row r="108" spans="1:16" x14ac:dyDescent="0.2">
      <c r="A108" s="102" t="s">
        <v>62</v>
      </c>
      <c r="D108" s="189">
        <f>+D89/2*20%+SUM($C89:C89)*20%</f>
        <v>3.5993332319115591E-3</v>
      </c>
      <c r="E108" s="189">
        <f>+E89/2*20%+SUM($C89:D89)*20%</f>
        <v>3.8604687945595566E-2</v>
      </c>
      <c r="F108" s="189">
        <f>+F89/2*20%+SUM($C89:E89)*20%</f>
        <v>9.3421798482096752E-2</v>
      </c>
      <c r="G108" s="189">
        <f>+G89/2*20%+SUM($C89:F89)*20%</f>
        <v>0.12706745378868925</v>
      </c>
      <c r="H108" s="189">
        <f>+H89/2*20%+SUM($C89:G89)*20%</f>
        <v>0.30539969586455296</v>
      </c>
      <c r="I108" s="189">
        <f>+I89/2*20%+SUM($C89:H89)*20%</f>
        <v>0.58901762077975284</v>
      </c>
      <c r="J108" s="189">
        <f>+J89/2*4.89%+SUM($C89:I89)*4.89%</f>
        <v>0.19857922046134638</v>
      </c>
      <c r="K108" s="189">
        <f>+K89/2*4.89%+SUM($C89:J89)*4.89%</f>
        <v>0.23217886911474966</v>
      </c>
      <c r="L108" s="189">
        <f>+L89/2*4.89%+SUM($C89:K89)*4.89%</f>
        <v>0.24810114690174057</v>
      </c>
      <c r="M108" s="189">
        <f>+M89/2*4.89%+SUM($C89:L89)*4.89%</f>
        <v>0.26543827643495477</v>
      </c>
      <c r="N108" s="189">
        <f>+N89/2*4.89%+SUM($C89:M89)*4.89%</f>
        <v>0.27540656003612363</v>
      </c>
      <c r="O108" s="189">
        <f>+O89/2*4.89%+SUM($C89:N89)*4.89%</f>
        <v>0.27696794525101071</v>
      </c>
      <c r="P108" s="189">
        <f>+P89/2*6.63%+SUM($C89:O89)*6.63%</f>
        <v>0.37734019545586339</v>
      </c>
    </row>
    <row r="109" spans="1:16" x14ac:dyDescent="0.2">
      <c r="A109" s="102" t="s">
        <v>65</v>
      </c>
      <c r="D109" s="189">
        <f>+D92/2*$B92+SUM($C92:C92)*$B92</f>
        <v>0</v>
      </c>
      <c r="E109" s="189">
        <f>+E92/2*$B92+SUM($C92:D92)*$B92</f>
        <v>0</v>
      </c>
      <c r="F109" s="189">
        <f>+F92/2*$B92+SUM($C92:E92)*$B92</f>
        <v>0</v>
      </c>
      <c r="G109" s="189">
        <f>+G92/2*$B92+SUM($C92:F92)*$B92</f>
        <v>0</v>
      </c>
      <c r="H109" s="189">
        <f>+H92/2*$B92+SUM($C92:G92)*$B92</f>
        <v>0</v>
      </c>
      <c r="I109" s="189">
        <f>+I92/2*$B92+SUM($C92:H92)*$B92</f>
        <v>0</v>
      </c>
      <c r="J109" s="189">
        <f>+J92/2*$B92+SUM($C92:I92)*$B92</f>
        <v>0</v>
      </c>
      <c r="K109" s="189">
        <f>+K92/2*$B92+SUM($C92:J92)*$B92</f>
        <v>0</v>
      </c>
      <c r="L109" s="189">
        <f>+L92/2*$B92+SUM($C92:K92)*$B92</f>
        <v>0</v>
      </c>
      <c r="M109" s="189">
        <f>+M92/2*$B92+SUM($C92:L92)*$B92</f>
        <v>0</v>
      </c>
      <c r="N109" s="189">
        <f>+N92/2*$B92+SUM($C92:M92)*$B92</f>
        <v>0</v>
      </c>
      <c r="O109" s="189">
        <f>+O92/2*$B92+SUM($C92:N92)*$B92</f>
        <v>0</v>
      </c>
      <c r="P109" s="189">
        <f>+P92/2*$B92+SUM($C92:O92)*$B92</f>
        <v>0</v>
      </c>
    </row>
    <row r="110" spans="1:16" x14ac:dyDescent="0.2">
      <c r="A110" s="102" t="s">
        <v>66</v>
      </c>
      <c r="D110" s="189">
        <f>+D93/2*$B93+SUM($C93:C93)*$B93</f>
        <v>0</v>
      </c>
      <c r="E110" s="189">
        <f>+E93/2*$B93+SUM($C93:D93)*$B93</f>
        <v>0</v>
      </c>
      <c r="F110" s="189">
        <f>+F93/2*$B93+SUM($C93:E93)*$B93</f>
        <v>0</v>
      </c>
      <c r="G110" s="189">
        <f>+G93/2*$B93+SUM($C93:F93)*$B93</f>
        <v>0</v>
      </c>
      <c r="H110" s="189">
        <f>+H93/2*$B93+SUM($C93:G93)*$B93</f>
        <v>0</v>
      </c>
      <c r="I110" s="189">
        <f>+I93/2*$B93+SUM($C93:H93)*$B93</f>
        <v>0</v>
      </c>
      <c r="J110" s="189">
        <f>+J93/2*$B93+SUM($C93:I93)*$B93</f>
        <v>0</v>
      </c>
      <c r="K110" s="189">
        <f>+K93/2*$B93+SUM($C93:J93)*$B93</f>
        <v>0</v>
      </c>
      <c r="L110" s="189">
        <f>+L93/2*$B93+SUM($C93:K93)*$B93</f>
        <v>0</v>
      </c>
      <c r="M110" s="189">
        <f>+M93/2*$B93+SUM($C93:L93)*$B93</f>
        <v>0</v>
      </c>
      <c r="N110" s="189">
        <f>+N93/2*$B93+SUM($C93:M93)*$B93</f>
        <v>0</v>
      </c>
      <c r="O110" s="189">
        <f>+O93/2*$B93+SUM($C93:N93)*$B93</f>
        <v>0</v>
      </c>
      <c r="P110" s="189">
        <f>+P93/2*$B93+SUM($C93:O93)*$B93</f>
        <v>0</v>
      </c>
    </row>
    <row r="111" spans="1:16" x14ac:dyDescent="0.2">
      <c r="A111" s="102" t="s">
        <v>67</v>
      </c>
      <c r="D111" s="189">
        <f>+D94/2*$B94+SUM($C94:C94)*$B94</f>
        <v>0</v>
      </c>
      <c r="E111" s="189">
        <f>+E94/2*$B94+SUM($C94:D94)*$B94</f>
        <v>0</v>
      </c>
      <c r="F111" s="189">
        <f>+F94/2*$B94+SUM($C94:E94)*$B94</f>
        <v>0</v>
      </c>
      <c r="G111" s="189">
        <f>+G94/2*$B94+SUM($C94:F94)*$B94</f>
        <v>0</v>
      </c>
      <c r="H111" s="189">
        <f>+H94/2*$B94+SUM($C94:G94)*$B94</f>
        <v>0</v>
      </c>
      <c r="I111" s="189">
        <f>+I94/2*$B94+SUM($C94:H94)*$B94</f>
        <v>0</v>
      </c>
      <c r="J111" s="189">
        <f>+J94/2*$B94+SUM($C94:I94)*$B94</f>
        <v>0</v>
      </c>
      <c r="K111" s="189">
        <f>+K94/2*$B94+SUM($C94:J94)*$B94</f>
        <v>0</v>
      </c>
      <c r="L111" s="189">
        <f>+L94/2*$B94+SUM($C94:K94)*$B94</f>
        <v>0</v>
      </c>
      <c r="M111" s="189">
        <f>+M94/2*$B94+SUM($C94:L94)*$B94</f>
        <v>0</v>
      </c>
      <c r="N111" s="189">
        <f>+N94/2*$B94+SUM($C94:M94)*$B94</f>
        <v>0</v>
      </c>
      <c r="O111" s="189">
        <f>+O94/2*$B94+SUM($C94:N94)*$B94</f>
        <v>0</v>
      </c>
      <c r="P111" s="189">
        <f>+P94/2*$B94+SUM($C94:O94)*$B94</f>
        <v>0</v>
      </c>
    </row>
    <row r="112" spans="1:16" x14ac:dyDescent="0.2">
      <c r="A112" s="102" t="s">
        <v>68</v>
      </c>
      <c r="D112" s="189">
        <f>+D95/2*$B95+SUM($C95:C95)*$B95</f>
        <v>0</v>
      </c>
      <c r="E112" s="189">
        <f>+E95/2*$B95+SUM($C95:D95)*$B95</f>
        <v>0</v>
      </c>
      <c r="F112" s="189">
        <f>+F95/2*$B95+SUM($C95:E95)*$B95</f>
        <v>0</v>
      </c>
      <c r="G112" s="189">
        <f>+G95/2*$B95+SUM($C95:F95)*$B95</f>
        <v>0</v>
      </c>
      <c r="H112" s="189">
        <f>+H95/2*$B95+SUM($C95:G95)*$B95</f>
        <v>0</v>
      </c>
      <c r="I112" s="189">
        <f>+I95/2*$B95+SUM($C95:H95)*$B95</f>
        <v>0</v>
      </c>
      <c r="J112" s="189">
        <f>+J95/2*$B95+SUM($C95:I95)*$B95</f>
        <v>0</v>
      </c>
      <c r="K112" s="189">
        <f>+K95/2*$B95+SUM($C95:J95)*$B95</f>
        <v>0</v>
      </c>
      <c r="L112" s="189">
        <f>+L95/2*$B95+SUM($C95:K95)*$B95</f>
        <v>0</v>
      </c>
      <c r="M112" s="189">
        <f>+M95/2*$B95+SUM($C95:L95)*$B95</f>
        <v>0</v>
      </c>
      <c r="N112" s="189">
        <f>+N95/2*$B95+SUM($C95:M95)*$B95</f>
        <v>0</v>
      </c>
      <c r="O112" s="189">
        <f>+O95/2*$B95+SUM($C95:N95)*$B95</f>
        <v>0</v>
      </c>
      <c r="P112" s="189">
        <f>+P95/2*$B95+SUM($C95:O95)*$B95</f>
        <v>0</v>
      </c>
    </row>
    <row r="113" spans="1:16" x14ac:dyDescent="0.2">
      <c r="A113" s="102" t="s">
        <v>69</v>
      </c>
      <c r="D113" s="189">
        <f>+D96/2*7.64130857195224%+SUM($C96:C96)*7.64130857195224%</f>
        <v>7.2113542233225971E-3</v>
      </c>
      <c r="E113" s="189">
        <f>+E96/2*7.64130857195224%+SUM($C96:D96)*7.64130857195224%</f>
        <v>7.7345458594471714E-2</v>
      </c>
      <c r="F113" s="189">
        <f>+F96/2*7.64130857195224%+SUM($C96:E96)*7.64130857195224%</f>
        <v>0.18717291165521477</v>
      </c>
      <c r="G113" s="189">
        <f>+G96/2*7.64130857195224%+SUM($C96:F96)*7.64130857195224%</f>
        <v>0.25458282423027084</v>
      </c>
      <c r="H113" s="189">
        <f>+H96/2*7.64130857195224%+SUM($C96:G96)*7.64130857195224%</f>
        <v>0.6118759349782803</v>
      </c>
      <c r="I113" s="189">
        <f>+I96/2*6.6%+SUM($C96:H96)*6.6%</f>
        <v>0.95281189456902016</v>
      </c>
      <c r="J113" s="189">
        <f>+J96/2*12.8533680641686%+SUM($C96:I96)*12.8533680641686%</f>
        <v>2.357561188327276</v>
      </c>
      <c r="K113" s="189">
        <f>+K96/2*12.8686685758524%+SUM($C96:J96)*12.8686685758524%</f>
        <v>2.6698440046832248</v>
      </c>
      <c r="L113" s="189">
        <f>+L96/2*12.87%+SUM($C96:K96)*12.87%</f>
        <v>2.8167907860633807</v>
      </c>
      <c r="M113" s="189">
        <f>+M96/2*13.54%+SUM($C96:L96)*13.54%</f>
        <v>3.1314479474204076</v>
      </c>
      <c r="N113" s="189">
        <f>+N96/2*13.64%+SUM($C96:M96)*13.64%</f>
        <v>3.2518935041555923</v>
      </c>
      <c r="O113" s="189">
        <f>+O96/2*11.82%+SUM($C96:N96)*11.82%</f>
        <v>2.8311993359475669</v>
      </c>
      <c r="P113" s="189">
        <f>+P96/2*11.82%+SUM($C96:O96)*11.82%</f>
        <v>2.8425510581036857</v>
      </c>
    </row>
    <row r="114" spans="1:16" x14ac:dyDescent="0.2">
      <c r="A114" s="107" t="s">
        <v>70</v>
      </c>
      <c r="B114" s="107"/>
      <c r="C114" s="107">
        <v>0</v>
      </c>
      <c r="D114" s="107">
        <f>SUM(D102:D113)</f>
        <v>1.2915357555586034E-2</v>
      </c>
      <c r="E114" s="107">
        <f t="shared" ref="E114:P114" si="25">SUM(E102:E113)</f>
        <v>0.13852380872064807</v>
      </c>
      <c r="F114" s="107">
        <f t="shared" si="25"/>
        <v>0.33522206840553836</v>
      </c>
      <c r="G114" s="107">
        <f t="shared" si="25"/>
        <v>0.45595155925233649</v>
      </c>
      <c r="H114" s="107">
        <f t="shared" si="25"/>
        <v>1.0958547084464141</v>
      </c>
      <c r="I114" s="107">
        <f t="shared" si="25"/>
        <v>1.911377960298593</v>
      </c>
      <c r="J114" s="107">
        <f t="shared" si="25"/>
        <v>3.1637824899788702</v>
      </c>
      <c r="K114" s="107">
        <f t="shared" si="25"/>
        <v>3.6357667038453974</v>
      </c>
      <c r="L114" s="107">
        <f t="shared" si="25"/>
        <v>3.8583931460566649</v>
      </c>
      <c r="M114" s="107">
        <f t="shared" si="25"/>
        <v>4.2554548540753956</v>
      </c>
      <c r="N114" s="107">
        <f t="shared" si="25"/>
        <v>4.4232803354731907</v>
      </c>
      <c r="O114" s="107">
        <f t="shared" si="25"/>
        <v>4.0100075365610781</v>
      </c>
      <c r="P114" s="107">
        <f t="shared" si="25"/>
        <v>4.1267673436058825</v>
      </c>
    </row>
    <row r="115" spans="1:16" x14ac:dyDescent="0.2"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</row>
    <row r="116" spans="1:16" x14ac:dyDescent="0.2"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</row>
    <row r="117" spans="1:16" x14ac:dyDescent="0.2">
      <c r="D117" s="58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</row>
    <row r="118" spans="1:16" x14ac:dyDescent="0.2"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</row>
    <row r="119" spans="1:16" x14ac:dyDescent="0.2"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7"/>
  <sheetViews>
    <sheetView showGridLines="0" zoomScale="115" zoomScaleNormal="115" workbookViewId="0">
      <pane ySplit="1" topLeftCell="A2" activePane="bottomLeft" state="frozen"/>
      <selection pane="bottomLeft" activeCell="L30" sqref="L30"/>
    </sheetView>
  </sheetViews>
  <sheetFormatPr defaultColWidth="9.109375" defaultRowHeight="12.75" x14ac:dyDescent="0.2"/>
  <cols>
    <col min="1" max="1" width="13.77734375" style="102" customWidth="1"/>
    <col min="2" max="16" width="9.109375" style="102"/>
    <col min="17" max="21" width="0" style="102" hidden="1" customWidth="1"/>
    <col min="22" max="16384" width="9.109375" style="102"/>
  </cols>
  <sheetData>
    <row r="1" spans="1:21" x14ac:dyDescent="0.2">
      <c r="A1" s="106"/>
      <c r="B1" s="106" t="s">
        <v>50</v>
      </c>
      <c r="C1" s="106">
        <v>2009</v>
      </c>
      <c r="D1" s="106">
        <v>2010</v>
      </c>
      <c r="E1" s="106">
        <v>2011</v>
      </c>
      <c r="F1" s="106">
        <v>2012</v>
      </c>
      <c r="G1" s="106">
        <v>2013</v>
      </c>
      <c r="H1" s="106">
        <v>2014</v>
      </c>
      <c r="I1" s="106">
        <v>2015</v>
      </c>
      <c r="J1" s="106">
        <v>2016</v>
      </c>
      <c r="K1" s="106">
        <v>2017</v>
      </c>
      <c r="L1" s="106">
        <v>2018</v>
      </c>
      <c r="M1" s="106">
        <v>2019</v>
      </c>
      <c r="N1" s="106">
        <v>2020</v>
      </c>
      <c r="O1" s="106">
        <v>2021</v>
      </c>
      <c r="P1" s="106">
        <v>2022</v>
      </c>
      <c r="Q1" s="106">
        <v>2023</v>
      </c>
      <c r="R1" s="106">
        <v>2024</v>
      </c>
      <c r="S1" s="106">
        <v>2025</v>
      </c>
      <c r="T1" s="106">
        <v>2026</v>
      </c>
      <c r="U1" s="106">
        <v>2027</v>
      </c>
    </row>
    <row r="2" spans="1:21" x14ac:dyDescent="0.2">
      <c r="A2" s="109" t="s">
        <v>73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1" x14ac:dyDescent="0.2">
      <c r="A3" s="109" t="s">
        <v>74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x14ac:dyDescent="0.2">
      <c r="A4" s="109" t="s">
        <v>75</v>
      </c>
      <c r="B4" s="109"/>
      <c r="C4" s="119"/>
      <c r="D4" s="119">
        <v>0</v>
      </c>
      <c r="E4" s="119">
        <f>D9</f>
        <v>0.41519126270595907</v>
      </c>
      <c r="F4" s="119">
        <f>E9</f>
        <v>4.0047318654718245</v>
      </c>
      <c r="G4" s="119">
        <f t="shared" ref="G4:U4" si="0">F9</f>
        <v>6.384875607356391</v>
      </c>
      <c r="H4" s="119">
        <f t="shared" si="0"/>
        <v>7.0546660195279305</v>
      </c>
      <c r="I4" s="119">
        <f t="shared" si="0"/>
        <v>25.880741408992893</v>
      </c>
      <c r="J4" s="119">
        <f t="shared" si="0"/>
        <v>37.672711987217461</v>
      </c>
      <c r="K4" s="119">
        <f t="shared" si="0"/>
        <v>47.576544735184065</v>
      </c>
      <c r="L4" s="119">
        <f t="shared" si="0"/>
        <v>47.343396555390143</v>
      </c>
      <c r="M4" s="119">
        <f t="shared" si="0"/>
        <v>47.797564296718932</v>
      </c>
      <c r="N4" s="119">
        <f t="shared" si="0"/>
        <v>48.24114031701982</v>
      </c>
      <c r="O4" s="119">
        <f t="shared" si="0"/>
        <v>45.006877057027829</v>
      </c>
      <c r="P4" s="119">
        <f t="shared" si="0"/>
        <v>41.547622958942398</v>
      </c>
      <c r="Q4" s="119">
        <f t="shared" si="0"/>
        <v>38.741065114118207</v>
      </c>
      <c r="R4" s="119" t="e">
        <f t="shared" si="0"/>
        <v>#REF!</v>
      </c>
      <c r="S4" s="119" t="e">
        <f t="shared" si="0"/>
        <v>#REF!</v>
      </c>
      <c r="T4" s="119" t="e">
        <f t="shared" si="0"/>
        <v>#REF!</v>
      </c>
      <c r="U4" s="119" t="e">
        <f t="shared" si="0"/>
        <v>#REF!</v>
      </c>
    </row>
    <row r="5" spans="1:21" x14ac:dyDescent="0.2">
      <c r="A5" s="109" t="s">
        <v>34</v>
      </c>
      <c r="B5" s="109"/>
      <c r="C5" s="119"/>
      <c r="D5" s="119">
        <f>'2 - Fixed Asset Cont.'!$D$97</f>
        <v>0.43249089865204071</v>
      </c>
      <c r="E5" s="119">
        <f>'2 - Fixed Asset Cont.'!$E$97</f>
        <v>3.7737040664399393</v>
      </c>
      <c r="F5" s="119">
        <f>'2 - Fixed Asset Cont.'!$F$97</f>
        <v>2.8130440532524088</v>
      </c>
      <c r="G5" s="119">
        <f>'2 - Fixed Asset Cont.'!$G$97</f>
        <v>1.2297713132917196</v>
      </c>
      <c r="H5" s="119">
        <f>'2 - Fixed Asset Cont.'!$H$97</f>
        <v>20.19838403232</v>
      </c>
      <c r="I5" s="119">
        <f>'2 - Fixed Asset Cont.'!$I$97</f>
        <v>14.4400311364</v>
      </c>
      <c r="J5" s="119">
        <f>'2 - Fixed Asset Cont.'!$J$97</f>
        <v>13.455885111400001</v>
      </c>
      <c r="K5" s="119">
        <f>'2 - Fixed Asset Cont.'!$K$97</f>
        <v>3.72184937398</v>
      </c>
      <c r="L5" s="119">
        <f>'2 - Fixed Asset Cont.'!$L$97</f>
        <v>4.4183744435000003</v>
      </c>
      <c r="M5" s="119">
        <f>'2 - Fixed Asset Cont.'!$M$97</f>
        <v>4.4451887125400038</v>
      </c>
      <c r="N5" s="119">
        <f>'2 - Fixed Asset Cont.'!$N$97</f>
        <v>0.6510707972600005</v>
      </c>
      <c r="O5" s="119">
        <f>'2 - Fixed Asset Cont.'!$O$97</f>
        <v>0.14718340257999996</v>
      </c>
      <c r="P5" s="119">
        <f>'2 - Fixed Asset Cont.'!$P$97</f>
        <v>0.53880415821999994</v>
      </c>
      <c r="Q5" s="119" t="e">
        <f>'2 - Fixed Asset Cont.'!#REF!</f>
        <v>#REF!</v>
      </c>
      <c r="R5" s="119" t="e">
        <f>'2 - Fixed Asset Cont.'!#REF!</f>
        <v>#REF!</v>
      </c>
      <c r="S5" s="119" t="e">
        <f>'2 - Fixed Asset Cont.'!#REF!</f>
        <v>#REF!</v>
      </c>
      <c r="T5" s="119" t="e">
        <f>'2 - Fixed Asset Cont.'!#REF!</f>
        <v>#REF!</v>
      </c>
      <c r="U5" s="119" t="e">
        <f>'2 - Fixed Asset Cont.'!#REF!</f>
        <v>#REF!</v>
      </c>
    </row>
    <row r="6" spans="1:21" x14ac:dyDescent="0.2">
      <c r="A6" s="109" t="s">
        <v>76</v>
      </c>
      <c r="B6" s="109"/>
      <c r="C6" s="119"/>
      <c r="D6" s="119">
        <f>-D5/2</f>
        <v>-0.21624544932602036</v>
      </c>
      <c r="E6" s="119">
        <f t="shared" ref="E6:U6" si="1">-E5/2</f>
        <v>-1.8868520332199696</v>
      </c>
      <c r="F6" s="119">
        <f t="shared" si="1"/>
        <v>-1.4065220266262044</v>
      </c>
      <c r="G6" s="119">
        <f t="shared" si="1"/>
        <v>-0.61488565664585981</v>
      </c>
      <c r="H6" s="119">
        <f t="shared" si="1"/>
        <v>-10.09919201616</v>
      </c>
      <c r="I6" s="119">
        <f t="shared" si="1"/>
        <v>-7.2200155682</v>
      </c>
      <c r="J6" s="119">
        <f t="shared" si="1"/>
        <v>-6.7279425557000003</v>
      </c>
      <c r="K6" s="119">
        <f t="shared" si="1"/>
        <v>-1.86092468699</v>
      </c>
      <c r="L6" s="119">
        <f t="shared" si="1"/>
        <v>-2.2091872217500002</v>
      </c>
      <c r="M6" s="119">
        <f t="shared" si="1"/>
        <v>-2.2225943562700019</v>
      </c>
      <c r="N6" s="119">
        <f t="shared" si="1"/>
        <v>-0.32553539863000025</v>
      </c>
      <c r="O6" s="119">
        <f t="shared" si="1"/>
        <v>-7.3591701289999978E-2</v>
      </c>
      <c r="P6" s="119">
        <f t="shared" si="1"/>
        <v>-0.26940207910999997</v>
      </c>
      <c r="Q6" s="119" t="e">
        <f t="shared" si="1"/>
        <v>#REF!</v>
      </c>
      <c r="R6" s="119" t="e">
        <f t="shared" si="1"/>
        <v>#REF!</v>
      </c>
      <c r="S6" s="119" t="e">
        <f t="shared" si="1"/>
        <v>#REF!</v>
      </c>
      <c r="T6" s="119" t="e">
        <f t="shared" si="1"/>
        <v>#REF!</v>
      </c>
      <c r="U6" s="119" t="e">
        <f t="shared" si="1"/>
        <v>#REF!</v>
      </c>
    </row>
    <row r="7" spans="1:21" x14ac:dyDescent="0.2">
      <c r="A7" s="109" t="s">
        <v>77</v>
      </c>
      <c r="B7" s="109"/>
      <c r="C7" s="119"/>
      <c r="D7" s="119">
        <f>SUM(D4:D6)</f>
        <v>0.21624544932602036</v>
      </c>
      <c r="E7" s="119">
        <f t="shared" ref="E7:U7" si="2">SUM(E4:E6)</f>
        <v>2.3020432959259289</v>
      </c>
      <c r="F7" s="119">
        <f t="shared" si="2"/>
        <v>5.4112538920980295</v>
      </c>
      <c r="G7" s="119">
        <f t="shared" si="2"/>
        <v>6.9997612640022515</v>
      </c>
      <c r="H7" s="119">
        <f t="shared" si="2"/>
        <v>17.153858035687929</v>
      </c>
      <c r="I7" s="119">
        <f t="shared" si="2"/>
        <v>33.100756977192894</v>
      </c>
      <c r="J7" s="119">
        <f t="shared" si="2"/>
        <v>44.400654542917465</v>
      </c>
      <c r="K7" s="119">
        <f t="shared" si="2"/>
        <v>49.437469422174061</v>
      </c>
      <c r="L7" s="119">
        <f t="shared" si="2"/>
        <v>49.552583777140143</v>
      </c>
      <c r="M7" s="119">
        <f t="shared" si="2"/>
        <v>50.020158652988933</v>
      </c>
      <c r="N7" s="119">
        <f t="shared" si="2"/>
        <v>48.566675715649815</v>
      </c>
      <c r="O7" s="119">
        <f t="shared" si="2"/>
        <v>45.080468758317828</v>
      </c>
      <c r="P7" s="119">
        <f t="shared" si="2"/>
        <v>41.8170250380524</v>
      </c>
      <c r="Q7" s="119" t="e">
        <f t="shared" si="2"/>
        <v>#REF!</v>
      </c>
      <c r="R7" s="119" t="e">
        <f t="shared" si="2"/>
        <v>#REF!</v>
      </c>
      <c r="S7" s="119" t="e">
        <f t="shared" si="2"/>
        <v>#REF!</v>
      </c>
      <c r="T7" s="119" t="e">
        <f t="shared" si="2"/>
        <v>#REF!</v>
      </c>
      <c r="U7" s="119" t="e">
        <f t="shared" si="2"/>
        <v>#REF!</v>
      </c>
    </row>
    <row r="8" spans="1:21" x14ac:dyDescent="0.2">
      <c r="A8" s="109" t="s">
        <v>78</v>
      </c>
      <c r="B8" s="109"/>
      <c r="C8" s="119"/>
      <c r="D8" s="119">
        <f>-D7*0.08</f>
        <v>-1.729963594608163E-2</v>
      </c>
      <c r="E8" s="119">
        <f t="shared" ref="E8:U8" si="3">-E7*0.08</f>
        <v>-0.18416346367407432</v>
      </c>
      <c r="F8" s="119">
        <f t="shared" si="3"/>
        <v>-0.43290031136784235</v>
      </c>
      <c r="G8" s="119">
        <f t="shared" si="3"/>
        <v>-0.55998090112018017</v>
      </c>
      <c r="H8" s="119">
        <f t="shared" si="3"/>
        <v>-1.3723086428550344</v>
      </c>
      <c r="I8" s="119">
        <f t="shared" si="3"/>
        <v>-2.6480605581754317</v>
      </c>
      <c r="J8" s="119">
        <f t="shared" si="3"/>
        <v>-3.5520523634333974</v>
      </c>
      <c r="K8" s="119">
        <f t="shared" si="3"/>
        <v>-3.954997553773925</v>
      </c>
      <c r="L8" s="119">
        <f t="shared" si="3"/>
        <v>-3.9642067021712113</v>
      </c>
      <c r="M8" s="119">
        <f t="shared" si="3"/>
        <v>-4.0016126922391146</v>
      </c>
      <c r="N8" s="119">
        <f t="shared" si="3"/>
        <v>-3.8853340572519852</v>
      </c>
      <c r="O8" s="119">
        <f t="shared" si="3"/>
        <v>-3.6064375006654261</v>
      </c>
      <c r="P8" s="119">
        <f t="shared" si="3"/>
        <v>-3.3453620030441922</v>
      </c>
      <c r="Q8" s="119" t="e">
        <f t="shared" si="3"/>
        <v>#REF!</v>
      </c>
      <c r="R8" s="119" t="e">
        <f t="shared" si="3"/>
        <v>#REF!</v>
      </c>
      <c r="S8" s="119" t="e">
        <f t="shared" si="3"/>
        <v>#REF!</v>
      </c>
      <c r="T8" s="119" t="e">
        <f t="shared" si="3"/>
        <v>#REF!</v>
      </c>
      <c r="U8" s="119" t="e">
        <f t="shared" si="3"/>
        <v>#REF!</v>
      </c>
    </row>
    <row r="9" spans="1:21" x14ac:dyDescent="0.2">
      <c r="A9" s="109" t="s">
        <v>79</v>
      </c>
      <c r="B9" s="109"/>
      <c r="C9" s="119"/>
      <c r="D9" s="119">
        <f t="shared" ref="D9:U9" si="4">D4+D5+D8</f>
        <v>0.41519126270595907</v>
      </c>
      <c r="E9" s="119">
        <f t="shared" si="4"/>
        <v>4.0047318654718245</v>
      </c>
      <c r="F9" s="119">
        <f t="shared" si="4"/>
        <v>6.384875607356391</v>
      </c>
      <c r="G9" s="119">
        <f t="shared" si="4"/>
        <v>7.0546660195279305</v>
      </c>
      <c r="H9" s="119">
        <f t="shared" si="4"/>
        <v>25.880741408992893</v>
      </c>
      <c r="I9" s="119">
        <f t="shared" si="4"/>
        <v>37.672711987217461</v>
      </c>
      <c r="J9" s="119">
        <f t="shared" si="4"/>
        <v>47.576544735184065</v>
      </c>
      <c r="K9" s="119">
        <f t="shared" si="4"/>
        <v>47.343396555390143</v>
      </c>
      <c r="L9" s="119">
        <f t="shared" si="4"/>
        <v>47.797564296718932</v>
      </c>
      <c r="M9" s="119">
        <f t="shared" si="4"/>
        <v>48.24114031701982</v>
      </c>
      <c r="N9" s="119">
        <f t="shared" si="4"/>
        <v>45.006877057027829</v>
      </c>
      <c r="O9" s="119">
        <f t="shared" si="4"/>
        <v>41.547622958942398</v>
      </c>
      <c r="P9" s="119">
        <f t="shared" si="4"/>
        <v>38.741065114118207</v>
      </c>
      <c r="Q9" s="119" t="e">
        <f t="shared" si="4"/>
        <v>#REF!</v>
      </c>
      <c r="R9" s="119" t="e">
        <f t="shared" si="4"/>
        <v>#REF!</v>
      </c>
      <c r="S9" s="119" t="e">
        <f t="shared" si="4"/>
        <v>#REF!</v>
      </c>
      <c r="T9" s="119" t="e">
        <f t="shared" si="4"/>
        <v>#REF!</v>
      </c>
      <c r="U9" s="119" t="e">
        <f t="shared" si="4"/>
        <v>#REF!</v>
      </c>
    </row>
    <row r="10" spans="1:21" x14ac:dyDescent="0.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</row>
    <row r="11" spans="1:21" x14ac:dyDescent="0.2">
      <c r="A11" s="109" t="s">
        <v>80</v>
      </c>
      <c r="B11" s="109"/>
      <c r="C11" s="109"/>
      <c r="D11" s="111">
        <v>0.31</v>
      </c>
      <c r="E11" s="111">
        <v>0.28249999999999997</v>
      </c>
      <c r="F11" s="111">
        <v>0.26250000000000001</v>
      </c>
      <c r="G11" s="111">
        <v>0.26500000000000001</v>
      </c>
      <c r="H11" s="111">
        <v>0.26500000000000001</v>
      </c>
      <c r="I11" s="111">
        <v>0.26500000000000001</v>
      </c>
      <c r="J11" s="111">
        <v>0.26500000000000001</v>
      </c>
      <c r="K11" s="111">
        <v>0.26500000000000001</v>
      </c>
      <c r="L11" s="111">
        <v>0.26500000000000001</v>
      </c>
      <c r="M11" s="111">
        <v>0.26500000000000001</v>
      </c>
      <c r="N11" s="111">
        <v>0.26500000000000001</v>
      </c>
      <c r="O11" s="111">
        <v>0.26500000000000001</v>
      </c>
      <c r="P11" s="111">
        <v>0.26500000000000001</v>
      </c>
      <c r="Q11" s="111">
        <v>0.26500000000000001</v>
      </c>
      <c r="R11" s="111">
        <v>0.26500000000000001</v>
      </c>
      <c r="S11" s="111">
        <v>0.26500000000000001</v>
      </c>
      <c r="T11" s="111">
        <v>0.26500000000000001</v>
      </c>
      <c r="U11" s="111">
        <v>0.26500000000000001</v>
      </c>
    </row>
    <row r="12" spans="1:21" x14ac:dyDescent="0.2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</row>
    <row r="13" spans="1:21" x14ac:dyDescent="0.2">
      <c r="A13" s="109" t="s">
        <v>81</v>
      </c>
      <c r="B13" s="109"/>
      <c r="C13" s="109"/>
      <c r="D13" s="109">
        <f>'4 - Revenue Requirement '!$D$21</f>
        <v>8.2659789760609545E-3</v>
      </c>
      <c r="E13" s="109">
        <f>'4 - Revenue Requirement '!$F$21</f>
        <v>0.10604748782624226</v>
      </c>
      <c r="F13" s="109">
        <f>'4 - Revenue Requirement '!$H$21</f>
        <v>0.22191890002200668</v>
      </c>
      <c r="G13" s="109">
        <f>'4 - Revenue Requirement '!$J$21</f>
        <v>0.2533702246650486</v>
      </c>
      <c r="H13" s="109">
        <f>'4 - Revenue Requirement '!$L$21</f>
        <v>0.63479576825527917</v>
      </c>
      <c r="I13" s="109">
        <f>'4 - Revenue Requirement '!$N$21</f>
        <v>1.2276684256363748</v>
      </c>
      <c r="J13" s="109">
        <f>'4 - Revenue Requirement '!$P$21</f>
        <v>1.6257209551590222</v>
      </c>
      <c r="K13" s="109">
        <f>'4 - Revenue Requirement '!$R$21</f>
        <v>1.735583338144268</v>
      </c>
      <c r="L13" s="109">
        <f>'4 - Revenue Requirement '!$T$21</f>
        <v>1.7896661787345691</v>
      </c>
      <c r="M13" s="109">
        <f>'4 - Revenue Requirement '!$V$21</f>
        <v>1.8037225828841117</v>
      </c>
      <c r="N13" s="109">
        <f>'4 - Revenue Requirement '!$X$21</f>
        <v>1.7391164589369548</v>
      </c>
      <c r="O13" s="109">
        <f>'4 - Revenue Requirement '!$Z$21</f>
        <v>1.602680533878583</v>
      </c>
      <c r="P13" s="109">
        <f>'4 - Revenue Requirement '!$AB$21</f>
        <v>1.466917998649877</v>
      </c>
      <c r="Q13" s="113" t="e">
        <f>'4 - Revenue Requirement '!#REF!</f>
        <v>#REF!</v>
      </c>
      <c r="R13" s="109" t="e">
        <f>'4 - Revenue Requirement '!#REF!</f>
        <v>#REF!</v>
      </c>
      <c r="S13" s="109" t="e">
        <f>'4 - Revenue Requirement '!#REF!</f>
        <v>#REF!</v>
      </c>
      <c r="T13" s="109" t="e">
        <f>'4 - Revenue Requirement '!#REF!</f>
        <v>#REF!</v>
      </c>
      <c r="U13" s="109" t="e">
        <f>'4 - Revenue Requirement '!#REF!</f>
        <v>#REF!</v>
      </c>
    </row>
    <row r="14" spans="1:21" x14ac:dyDescent="0.2">
      <c r="A14" s="109" t="s">
        <v>82</v>
      </c>
      <c r="B14" s="109"/>
      <c r="C14" s="109"/>
      <c r="D14" s="109">
        <f>+D13/(1-D11)-D13</f>
        <v>3.7137006993897045E-3</v>
      </c>
      <c r="E14" s="109">
        <f>+E13/(1-E11)-E13</f>
        <v>4.1753888935070982E-2</v>
      </c>
      <c r="F14" s="109">
        <f>+F13/(1-F11)-F13</f>
        <v>7.8988083058680297E-2</v>
      </c>
      <c r="G14" s="109">
        <f>+G13/(1-G11)-G13</f>
        <v>9.1351169437058344E-2</v>
      </c>
      <c r="H14" s="109">
        <f t="shared" ref="H14:U14" si="5">+H13/(1-H11)-H13</f>
        <v>0.2288719436566653</v>
      </c>
      <c r="I14" s="109">
        <f t="shared" si="5"/>
        <v>0.44262875210018948</v>
      </c>
      <c r="J14" s="109">
        <f t="shared" si="5"/>
        <v>0.58614428995529377</v>
      </c>
      <c r="K14" s="109">
        <f t="shared" si="5"/>
        <v>0.62575453688194682</v>
      </c>
      <c r="L14" s="109">
        <f t="shared" si="5"/>
        <v>0.64525379233287183</v>
      </c>
      <c r="M14" s="109">
        <f t="shared" si="5"/>
        <v>0.65032174757046191</v>
      </c>
      <c r="N14" s="109">
        <f t="shared" si="5"/>
        <v>0.62702838315414011</v>
      </c>
      <c r="O14" s="109">
        <f t="shared" si="5"/>
        <v>0.57783719928955701</v>
      </c>
      <c r="P14" s="109">
        <f t="shared" si="5"/>
        <v>0.52888880223430945</v>
      </c>
      <c r="Q14" s="113" t="e">
        <f t="shared" si="5"/>
        <v>#REF!</v>
      </c>
      <c r="R14" s="113" t="e">
        <f t="shared" si="5"/>
        <v>#REF!</v>
      </c>
      <c r="S14" s="113" t="e">
        <f t="shared" si="5"/>
        <v>#REF!</v>
      </c>
      <c r="T14" s="113" t="e">
        <f t="shared" si="5"/>
        <v>#REF!</v>
      </c>
      <c r="U14" s="113" t="e">
        <f t="shared" si="5"/>
        <v>#REF!</v>
      </c>
    </row>
    <row r="15" spans="1:21" x14ac:dyDescent="0.2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</row>
    <row r="16" spans="1:21" x14ac:dyDescent="0.2">
      <c r="A16" s="109" t="s">
        <v>83</v>
      </c>
      <c r="B16" s="109"/>
      <c r="C16" s="109"/>
      <c r="D16" s="119">
        <f>'2 - Fixed Asset Cont.'!D$114+D8</f>
        <v>-4.3842783904955961E-3</v>
      </c>
      <c r="E16" s="119">
        <f>'2 - Fixed Asset Cont.'!E$114+E8</f>
        <v>-4.5639654953426256E-2</v>
      </c>
      <c r="F16" s="119">
        <f>'2 - Fixed Asset Cont.'!F$114+F8</f>
        <v>-9.7678242962303985E-2</v>
      </c>
      <c r="G16" s="119">
        <f>'2 - Fixed Asset Cont.'!G$114+G8</f>
        <v>-0.10402934186784368</v>
      </c>
      <c r="H16" s="119">
        <f>'2 - Fixed Asset Cont.'!H$114+H8</f>
        <v>-0.27645393440862032</v>
      </c>
      <c r="I16" s="119">
        <f>'2 - Fixed Asset Cont.'!I$114+I8</f>
        <v>-0.73668259787683876</v>
      </c>
      <c r="J16" s="119">
        <f>'2 - Fixed Asset Cont.'!J$114+J8</f>
        <v>-0.38826987345452713</v>
      </c>
      <c r="K16" s="119">
        <f>'2 - Fixed Asset Cont.'!K$114+K8</f>
        <v>-0.31923084992852768</v>
      </c>
      <c r="L16" s="119">
        <f>'2 - Fixed Asset Cont.'!L$114+L8</f>
        <v>-0.10581355611454635</v>
      </c>
      <c r="M16" s="119">
        <f>'2 - Fixed Asset Cont.'!M$114+M8</f>
        <v>0.25384216183628094</v>
      </c>
      <c r="N16" s="119">
        <f>'2 - Fixed Asset Cont.'!N$114+N8</f>
        <v>0.53794627822120544</v>
      </c>
      <c r="O16" s="119">
        <f>'2 - Fixed Asset Cont.'!O$114+O8</f>
        <v>0.40357003589565199</v>
      </c>
      <c r="P16" s="119">
        <f>'2 - Fixed Asset Cont.'!P$114+P8</f>
        <v>0.78140534056169031</v>
      </c>
      <c r="Q16" s="109" t="e">
        <f>'2 - Fixed Asset Cont.'!#REF!+Q8</f>
        <v>#REF!</v>
      </c>
      <c r="R16" s="109" t="e">
        <f>'2 - Fixed Asset Cont.'!#REF!+R8</f>
        <v>#REF!</v>
      </c>
      <c r="S16" s="109" t="e">
        <f>'2 - Fixed Asset Cont.'!#REF!+S8</f>
        <v>#REF!</v>
      </c>
      <c r="T16" s="109" t="e">
        <f>'2 - Fixed Asset Cont.'!#REF!+T8</f>
        <v>#REF!</v>
      </c>
      <c r="U16" s="109" t="e">
        <f>'2 - Fixed Asset Cont.'!#REF!+U8</f>
        <v>#REF!</v>
      </c>
    </row>
    <row r="17" spans="1:21" x14ac:dyDescent="0.2">
      <c r="A17" s="109" t="s">
        <v>82</v>
      </c>
      <c r="B17" s="109"/>
      <c r="C17" s="109"/>
      <c r="D17" s="119">
        <f>+D16/(1-D11)-D16</f>
        <v>-1.9697482623965727E-3</v>
      </c>
      <c r="E17" s="119">
        <f t="shared" ref="E17:U17" si="6">+E16/(1-E11)-E16</f>
        <v>-1.7969620242986636E-2</v>
      </c>
      <c r="F17" s="119">
        <f t="shared" si="6"/>
        <v>-3.4766832240820056E-2</v>
      </c>
      <c r="G17" s="119">
        <f t="shared" si="6"/>
        <v>-3.7507177680242976E-2</v>
      </c>
      <c r="H17" s="119">
        <f t="shared" si="6"/>
        <v>-9.967386750786994E-2</v>
      </c>
      <c r="I17" s="119">
        <f t="shared" si="6"/>
        <v>-0.26560665093518687</v>
      </c>
      <c r="J17" s="119">
        <f t="shared" si="6"/>
        <v>-0.13998845777612201</v>
      </c>
      <c r="K17" s="119">
        <f t="shared" si="6"/>
        <v>-0.11509683704906098</v>
      </c>
      <c r="L17" s="119">
        <f t="shared" si="6"/>
        <v>-3.8150465810006501E-2</v>
      </c>
      <c r="M17" s="119">
        <f t="shared" si="6"/>
        <v>9.152132365525778E-2</v>
      </c>
      <c r="N17" s="119">
        <f t="shared" si="6"/>
        <v>0.19395342003893801</v>
      </c>
      <c r="O17" s="119">
        <f t="shared" si="6"/>
        <v>0.14550484287394261</v>
      </c>
      <c r="P17" s="119">
        <f t="shared" si="6"/>
        <v>0.28173117720931695</v>
      </c>
      <c r="Q17" s="109" t="e">
        <f t="shared" si="6"/>
        <v>#REF!</v>
      </c>
      <c r="R17" s="109" t="e">
        <f t="shared" si="6"/>
        <v>#REF!</v>
      </c>
      <c r="S17" s="109" t="e">
        <f t="shared" si="6"/>
        <v>#REF!</v>
      </c>
      <c r="T17" s="109" t="e">
        <f t="shared" si="6"/>
        <v>#REF!</v>
      </c>
      <c r="U17" s="109" t="e">
        <f t="shared" si="6"/>
        <v>#REF!</v>
      </c>
    </row>
    <row r="18" spans="1:21" x14ac:dyDescent="0.2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spans="1:21" x14ac:dyDescent="0.2">
      <c r="A19" s="117" t="s">
        <v>84</v>
      </c>
      <c r="B19" s="109"/>
      <c r="C19" s="109"/>
      <c r="D19" s="118">
        <f>D14+D17</f>
        <v>1.7439524369931318E-3</v>
      </c>
      <c r="E19" s="118">
        <f t="shared" ref="E19:U19" si="7">E14+E17</f>
        <v>2.3784268692084345E-2</v>
      </c>
      <c r="F19" s="118">
        <f t="shared" si="7"/>
        <v>4.4221250817860241E-2</v>
      </c>
      <c r="G19" s="118">
        <f t="shared" si="7"/>
        <v>5.3843991756815368E-2</v>
      </c>
      <c r="H19" s="118">
        <f t="shared" si="7"/>
        <v>0.12919807614879536</v>
      </c>
      <c r="I19" s="118">
        <f t="shared" si="7"/>
        <v>0.17702210116500261</v>
      </c>
      <c r="J19" s="118">
        <f t="shared" si="7"/>
        <v>0.44615583217917176</v>
      </c>
      <c r="K19" s="118">
        <f t="shared" si="7"/>
        <v>0.51065769983288578</v>
      </c>
      <c r="L19" s="118">
        <f t="shared" si="7"/>
        <v>0.60710332652286536</v>
      </c>
      <c r="M19" s="118">
        <f t="shared" si="7"/>
        <v>0.74184307122571969</v>
      </c>
      <c r="N19" s="118">
        <f t="shared" si="7"/>
        <v>0.82098180319307812</v>
      </c>
      <c r="O19" s="118">
        <f t="shared" si="7"/>
        <v>0.72334204216349962</v>
      </c>
      <c r="P19" s="118">
        <f t="shared" si="7"/>
        <v>0.8106199794436264</v>
      </c>
      <c r="Q19" s="124" t="e">
        <f t="shared" si="7"/>
        <v>#REF!</v>
      </c>
      <c r="R19" s="118" t="e">
        <f t="shared" si="7"/>
        <v>#REF!</v>
      </c>
      <c r="S19" s="118" t="e">
        <f t="shared" si="7"/>
        <v>#REF!</v>
      </c>
      <c r="T19" s="118" t="e">
        <f t="shared" si="7"/>
        <v>#REF!</v>
      </c>
      <c r="U19" s="118" t="e">
        <f t="shared" si="7"/>
        <v>#REF!</v>
      </c>
    </row>
    <row r="22" spans="1:21" x14ac:dyDescent="0.2">
      <c r="D22" s="74"/>
    </row>
    <row r="27" spans="1:21" x14ac:dyDescent="0.2">
      <c r="D27" s="112"/>
    </row>
  </sheetData>
  <printOptions horizontalCentered="1"/>
  <pageMargins left="0.2" right="0.2" top="1.25" bottom="0.2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F137-7F17-466E-9987-BBDB3447822D}">
  <sheetPr>
    <pageSetUpPr fitToPage="1"/>
  </sheetPr>
  <dimension ref="A1:AF81"/>
  <sheetViews>
    <sheetView showGridLines="0" zoomScale="80" zoomScaleNormal="80" zoomScaleSheetLayoutView="70" workbookViewId="0">
      <pane xSplit="2" ySplit="8" topLeftCell="P9" activePane="bottomRight" state="frozen"/>
      <selection pane="topRight" activeCell="E1" sqref="E1"/>
      <selection pane="bottomLeft" activeCell="A7" sqref="A7"/>
      <selection pane="bottomRight" activeCell="AB77" sqref="AB77"/>
    </sheetView>
  </sheetViews>
  <sheetFormatPr defaultColWidth="8.77734375" defaultRowHeight="15" customHeight="1" x14ac:dyDescent="0.2"/>
  <cols>
    <col min="1" max="1" width="3" style="76" customWidth="1"/>
    <col min="2" max="2" width="103.109375" style="76" customWidth="1"/>
    <col min="3" max="3" width="10.109375" style="76" customWidth="1"/>
    <col min="4" max="4" width="14.44140625" style="76" customWidth="1"/>
    <col min="5" max="5" width="9.44140625" style="76" customWidth="1"/>
    <col min="6" max="6" width="15.77734375" style="76" customWidth="1"/>
    <col min="7" max="7" width="9.6640625" style="76" customWidth="1"/>
    <col min="8" max="8" width="14.5546875" style="100" customWidth="1"/>
    <col min="9" max="9" width="10.33203125" style="76" customWidth="1"/>
    <col min="10" max="10" width="12.77734375" style="76" customWidth="1"/>
    <col min="11" max="11" width="9.21875" style="76" customWidth="1"/>
    <col min="12" max="12" width="12.77734375" style="76" customWidth="1"/>
    <col min="13" max="13" width="10" style="76" customWidth="1"/>
    <col min="14" max="14" width="13.21875" style="76" bestFit="1" customWidth="1"/>
    <col min="15" max="15" width="8.77734375" style="76" bestFit="1" customWidth="1"/>
    <col min="16" max="16" width="12.77734375" style="76" customWidth="1"/>
    <col min="17" max="17" width="8.77734375" style="76" bestFit="1" customWidth="1"/>
    <col min="18" max="18" width="13.44140625" style="76" customWidth="1"/>
    <col min="19" max="19" width="7.109375" style="76" customWidth="1"/>
    <col min="20" max="20" width="14.21875" style="76" customWidth="1"/>
    <col min="21" max="21" width="8.77734375" style="76" customWidth="1"/>
    <col min="22" max="22" width="14.21875" style="76" customWidth="1"/>
    <col min="23" max="23" width="8.33203125" style="76" customWidth="1"/>
    <col min="24" max="24" width="14.44140625" style="76" customWidth="1"/>
    <col min="25" max="25" width="9.6640625" style="76" customWidth="1"/>
    <col min="26" max="26" width="13" style="76" customWidth="1"/>
    <col min="27" max="27" width="8.33203125" style="76" customWidth="1"/>
    <col min="28" max="28" width="15" style="76" customWidth="1"/>
    <col min="29" max="31" width="8.77734375" style="76" customWidth="1"/>
    <col min="32" max="32" width="14.44140625" style="76" customWidth="1"/>
    <col min="33" max="16384" width="8.77734375" style="76"/>
  </cols>
  <sheetData>
    <row r="1" spans="1:28" x14ac:dyDescent="0.2">
      <c r="A1" s="72"/>
      <c r="B1" s="72"/>
      <c r="C1" s="72"/>
      <c r="D1" s="72"/>
      <c r="E1" s="72"/>
      <c r="F1" s="72"/>
      <c r="G1" s="72"/>
      <c r="H1" s="75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8" ht="15.75" x14ac:dyDescent="0.25">
      <c r="A2" s="72"/>
      <c r="B2" s="4" t="s">
        <v>0</v>
      </c>
      <c r="C2" s="4"/>
      <c r="D2" s="4"/>
      <c r="E2" s="4"/>
      <c r="F2" s="4"/>
      <c r="G2" s="4"/>
      <c r="H2" s="77"/>
      <c r="I2" s="4"/>
      <c r="J2" s="4"/>
      <c r="K2" s="4"/>
      <c r="L2" s="4"/>
      <c r="M2" s="4"/>
      <c r="N2" s="4"/>
      <c r="O2" s="4"/>
      <c r="P2" s="4"/>
      <c r="Q2" s="4"/>
      <c r="R2" s="4"/>
      <c r="S2" s="72"/>
      <c r="T2" s="72"/>
      <c r="U2" s="72"/>
      <c r="V2" s="72"/>
      <c r="W2" s="72"/>
      <c r="X2" s="72"/>
      <c r="Y2" s="72"/>
    </row>
    <row r="3" spans="1:28" ht="15.75" x14ac:dyDescent="0.25">
      <c r="A3" s="72"/>
      <c r="B3" s="4" t="s">
        <v>85</v>
      </c>
      <c r="C3" s="4"/>
      <c r="D3" s="4"/>
      <c r="E3" s="4"/>
      <c r="F3" s="4"/>
      <c r="G3" s="4"/>
      <c r="H3" s="77"/>
      <c r="I3" s="4"/>
      <c r="J3" s="4"/>
      <c r="K3" s="4"/>
      <c r="L3" s="4"/>
      <c r="M3" s="4"/>
      <c r="N3" s="4"/>
      <c r="O3" s="4"/>
      <c r="P3" s="4"/>
      <c r="Q3" s="4"/>
      <c r="R3" s="4"/>
      <c r="S3" s="72"/>
      <c r="T3" s="72"/>
      <c r="U3" s="72"/>
      <c r="V3" s="72"/>
      <c r="W3" s="72"/>
      <c r="X3" s="72"/>
      <c r="Y3" s="72"/>
    </row>
    <row r="4" spans="1:28" ht="15.75" x14ac:dyDescent="0.25">
      <c r="A4" s="72"/>
      <c r="B4" s="4" t="s">
        <v>2</v>
      </c>
      <c r="C4" s="4"/>
      <c r="D4" s="4"/>
      <c r="E4" s="4"/>
      <c r="F4" s="4"/>
      <c r="G4" s="4"/>
      <c r="H4" s="77"/>
      <c r="I4" s="4"/>
      <c r="J4" s="4"/>
      <c r="K4" s="4"/>
      <c r="L4" s="4"/>
      <c r="M4" s="4"/>
      <c r="N4" s="4"/>
      <c r="O4" s="4"/>
      <c r="P4" s="4"/>
      <c r="Q4" s="4"/>
      <c r="R4" s="4"/>
      <c r="S4" s="72"/>
      <c r="T4" s="72"/>
      <c r="U4" s="72"/>
      <c r="V4" s="72"/>
      <c r="W4" s="72"/>
      <c r="X4" s="72"/>
      <c r="Y4" s="72"/>
    </row>
    <row r="5" spans="1:28" ht="15.75" x14ac:dyDescent="0.25">
      <c r="A5" s="72"/>
      <c r="B5" s="159" t="s">
        <v>114</v>
      </c>
      <c r="C5" s="4"/>
      <c r="D5" s="4"/>
      <c r="E5" s="4"/>
      <c r="F5" s="4"/>
      <c r="G5" s="4"/>
      <c r="H5" s="77"/>
      <c r="I5" s="4"/>
      <c r="J5" s="4"/>
      <c r="K5" s="4"/>
      <c r="L5" s="4"/>
      <c r="M5" s="4"/>
      <c r="N5" s="4"/>
      <c r="O5" s="4"/>
      <c r="P5" s="4"/>
      <c r="Q5" s="4"/>
      <c r="R5" s="4"/>
      <c r="S5" s="72"/>
      <c r="T5" s="72"/>
      <c r="U5" s="72"/>
      <c r="V5" s="72"/>
      <c r="W5" s="72"/>
      <c r="X5" s="72"/>
      <c r="Y5" s="72"/>
    </row>
    <row r="6" spans="1:28" x14ac:dyDescent="0.2">
      <c r="A6" s="72"/>
      <c r="B6" s="72"/>
      <c r="C6" s="72"/>
      <c r="D6" s="72"/>
      <c r="E6" s="72"/>
      <c r="F6" s="72"/>
      <c r="G6" s="72"/>
      <c r="H6" s="75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spans="1:28" x14ac:dyDescent="0.2">
      <c r="A7" s="72"/>
      <c r="B7" s="72"/>
      <c r="C7" s="72"/>
      <c r="D7" s="72"/>
      <c r="E7" s="72"/>
      <c r="F7" s="72"/>
      <c r="G7" s="72"/>
      <c r="H7" s="75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spans="1:28" s="79" customFormat="1" ht="27.75" customHeight="1" x14ac:dyDescent="0.2">
      <c r="A8" s="78"/>
      <c r="B8" s="78"/>
      <c r="C8" s="195">
        <v>2010</v>
      </c>
      <c r="D8" s="196"/>
      <c r="E8" s="195">
        <v>2011</v>
      </c>
      <c r="F8" s="196"/>
      <c r="G8" s="195">
        <v>2012</v>
      </c>
      <c r="H8" s="196"/>
      <c r="I8" s="195">
        <v>2013</v>
      </c>
      <c r="J8" s="196"/>
      <c r="K8" s="195">
        <v>2014</v>
      </c>
      <c r="L8" s="196"/>
      <c r="M8" s="195">
        <v>2015</v>
      </c>
      <c r="N8" s="196"/>
      <c r="O8" s="195">
        <v>2016</v>
      </c>
      <c r="P8" s="196"/>
      <c r="Q8" s="195">
        <v>2017</v>
      </c>
      <c r="R8" s="196"/>
      <c r="S8" s="197">
        <v>2018</v>
      </c>
      <c r="T8" s="196"/>
      <c r="U8" s="195">
        <v>2019</v>
      </c>
      <c r="V8" s="196"/>
      <c r="W8" s="195">
        <v>2020</v>
      </c>
      <c r="X8" s="196"/>
      <c r="Y8" s="193">
        <v>2021</v>
      </c>
      <c r="Z8" s="194"/>
      <c r="AA8" s="193">
        <v>2022</v>
      </c>
      <c r="AB8" s="194"/>
    </row>
    <row r="9" spans="1:28" x14ac:dyDescent="0.2">
      <c r="A9" s="72"/>
      <c r="B9" s="72" t="s">
        <v>86</v>
      </c>
      <c r="C9" s="72"/>
      <c r="D9" s="80">
        <f>'2 - Fixed Asset Cont.'!$D$17</f>
        <v>0.20979642071220694</v>
      </c>
      <c r="E9" s="81"/>
      <c r="F9" s="80">
        <f>'2 - Fixed Asset Cont.'!$E$17</f>
        <v>2.2372584473844723</v>
      </c>
      <c r="G9" s="81"/>
      <c r="H9" s="86">
        <f>'2 - Fixed Asset Cont.'!$F$15</f>
        <v>5.2938913088995569</v>
      </c>
      <c r="I9" s="81"/>
      <c r="J9" s="80">
        <f>'2 - Fixed Asset Cont.'!$G$15</f>
        <v>6.9197930378843964</v>
      </c>
      <c r="K9" s="81"/>
      <c r="L9" s="80">
        <f>'2 - Fixed Asset Cont.'!$H$15</f>
        <v>16.858396157091001</v>
      </c>
      <c r="M9" s="81"/>
      <c r="N9" s="80">
        <f>'2 - Fixed Asset Cont.'!$I$15</f>
        <v>32.674391390918494</v>
      </c>
      <c r="O9" s="81"/>
      <c r="P9" s="80">
        <f>'2 - Fixed Asset Cont.'!$J$15</f>
        <v>44.08476928967977</v>
      </c>
      <c r="Q9" s="81"/>
      <c r="R9" s="80">
        <f>'2 - Fixed Asset Cont.'!$K$15</f>
        <v>49.273861935457631</v>
      </c>
      <c r="S9" s="82"/>
      <c r="T9" s="80">
        <f>'2 - Fixed Asset Cont.'!$L$15</f>
        <v>49.596893919246597</v>
      </c>
      <c r="U9" s="82"/>
      <c r="V9" s="80">
        <f>'2 - Fixed Asset Cont.'!$M$15</f>
        <v>49.971751497200572</v>
      </c>
      <c r="W9" s="82"/>
      <c r="X9" s="80">
        <f>'2 - Fixed Asset Cont.'!$N$15</f>
        <v>48.180513657326287</v>
      </c>
      <c r="Y9" s="80"/>
      <c r="Z9" s="80">
        <f>'2 - Fixed Asset Cont.'!$O$15</f>
        <v>44.362996821229146</v>
      </c>
      <c r="AA9" s="83"/>
      <c r="AB9" s="83">
        <f>'2 - Fixed Asset Cont.'!$P$15</f>
        <v>40.63760316154567</v>
      </c>
    </row>
    <row r="10" spans="1:28" x14ac:dyDescent="0.2">
      <c r="A10" s="72"/>
      <c r="B10" s="72" t="s">
        <v>47</v>
      </c>
      <c r="C10" s="72"/>
      <c r="D10" s="81"/>
      <c r="E10" s="82">
        <f>'1 - Renewable Gen Invst Summary'!C21</f>
        <v>4.4259575808000005</v>
      </c>
      <c r="F10" s="81"/>
      <c r="G10" s="82">
        <f>'1 - Renewable Gen Invst Summary'!D21</f>
        <v>3.9208334399030287</v>
      </c>
      <c r="H10" s="86"/>
      <c r="I10" s="82">
        <f>'1 - Renewable Gen Invst Summary'!E21</f>
        <v>1.9491219314433545</v>
      </c>
      <c r="J10" s="81"/>
      <c r="K10" s="82">
        <f>'1 - Renewable Gen Invst Summary'!F21</f>
        <v>1.2762049409690188</v>
      </c>
      <c r="L10" s="81"/>
      <c r="M10" s="82">
        <f>'1 - Renewable Gen Invst Summary'!G21</f>
        <v>2.038522258</v>
      </c>
      <c r="N10" s="81"/>
      <c r="O10" s="82">
        <f>'1 - Renewable Gen Invst Summary'!H21</f>
        <v>2.05466792564</v>
      </c>
      <c r="P10" s="81"/>
      <c r="Q10" s="82">
        <f>'1 - Renewable Gen Invst Summary'!I21</f>
        <v>2.6065995360000001</v>
      </c>
      <c r="R10" s="81"/>
      <c r="S10" s="82">
        <f>'1 - Renewable Gen Invst Summary'!J21</f>
        <v>1.5066996725199997</v>
      </c>
      <c r="T10" s="81"/>
      <c r="U10" s="82">
        <f>'1 - Renewable Gen Invst Summary'!K21</f>
        <v>1.6926743120000001</v>
      </c>
      <c r="V10" s="81"/>
      <c r="W10" s="82">
        <f>'1 - Renewable Gen Invst Summary'!L21</f>
        <v>1.6501343038</v>
      </c>
      <c r="X10" s="81"/>
      <c r="Y10" s="82">
        <f>'1 - Renewable Gen Invst Summary'!M21</f>
        <v>2.0120534958</v>
      </c>
      <c r="Z10" s="83"/>
      <c r="AA10" s="82">
        <f>'1 - Renewable Gen Invst Summary'!N21</f>
        <v>1.7963951577999999</v>
      </c>
      <c r="AB10" s="83"/>
    </row>
    <row r="11" spans="1:28" x14ac:dyDescent="0.2">
      <c r="A11" s="72"/>
      <c r="B11" s="72" t="s">
        <v>87</v>
      </c>
      <c r="C11" s="123">
        <v>0.11715626258061443</v>
      </c>
      <c r="D11" s="160"/>
      <c r="E11" s="122">
        <v>0.11460610407981904</v>
      </c>
      <c r="F11" s="84">
        <f>E10*E11</f>
        <v>0.50724175515802894</v>
      </c>
      <c r="G11" s="121">
        <v>0.11460610407981904</v>
      </c>
      <c r="H11" s="163">
        <f>G10*G11</f>
        <v>0.4493514452931614</v>
      </c>
      <c r="I11" s="121">
        <v>8.8982804471731458E-2</v>
      </c>
      <c r="J11" s="84">
        <f>I10*I11</f>
        <v>0.17343833571718759</v>
      </c>
      <c r="K11" s="121">
        <v>7.5708076003970795E-2</v>
      </c>
      <c r="L11" s="84">
        <f>K10*K11</f>
        <v>9.6619020667525535E-2</v>
      </c>
      <c r="M11" s="121">
        <v>7.4057363231460172E-2</v>
      </c>
      <c r="N11" s="84">
        <f>M10*M11</f>
        <v>0.15096758331612237</v>
      </c>
      <c r="O11" s="121">
        <v>6.838162194320932E-2</v>
      </c>
      <c r="P11" s="84">
        <f>O10*O11</f>
        <v>0.14050152530995261</v>
      </c>
      <c r="Q11" s="121">
        <v>7.7168625635264637E-2</v>
      </c>
      <c r="R11" s="84">
        <f>Q10*Q11</f>
        <v>0.2011477037746385</v>
      </c>
      <c r="S11" s="121">
        <v>7.7026292740134811E-2</v>
      </c>
      <c r="T11" s="84">
        <f>S10*S11</f>
        <v>0.11605549004699076</v>
      </c>
      <c r="U11" s="121">
        <v>7.7778449156050394E-2</v>
      </c>
      <c r="V11" s="84">
        <f>U10*U11</f>
        <v>0.1316535829136446</v>
      </c>
      <c r="W11" s="121">
        <v>7.7737229269662075E-2</v>
      </c>
      <c r="X11" s="84">
        <f>W10*W11</f>
        <v>0.1282768687002348</v>
      </c>
      <c r="Y11" s="121">
        <v>7.7486457465380035E-2</v>
      </c>
      <c r="Z11" s="84">
        <f>Y10*Y11</f>
        <v>0.15590689762037591</v>
      </c>
      <c r="AA11" s="121">
        <v>6.13E-2</v>
      </c>
      <c r="AB11" s="84">
        <f>AA10*AA11</f>
        <v>0.11011902317314</v>
      </c>
    </row>
    <row r="12" spans="1:28" x14ac:dyDescent="0.2">
      <c r="A12" s="72"/>
      <c r="B12" s="72" t="s">
        <v>88</v>
      </c>
      <c r="C12" s="72"/>
      <c r="D12" s="81">
        <f>SUM(D9:D11)</f>
        <v>0.20979642071220694</v>
      </c>
      <c r="E12" s="81"/>
      <c r="F12" s="81">
        <f>SUM(F9:F11)</f>
        <v>2.7445002025425014</v>
      </c>
      <c r="G12" s="81"/>
      <c r="H12" s="86">
        <f>SUM(H9:H11)</f>
        <v>5.7432427541927185</v>
      </c>
      <c r="I12" s="81"/>
      <c r="J12" s="81">
        <f>SUM(J9:J11)</f>
        <v>7.0932313736015837</v>
      </c>
      <c r="K12" s="81"/>
      <c r="L12" s="81">
        <f>SUM(L9:L11)</f>
        <v>16.955015177758526</v>
      </c>
      <c r="M12" s="81"/>
      <c r="N12" s="81">
        <f>SUM(N9:N11)</f>
        <v>32.825358974234618</v>
      </c>
      <c r="O12" s="81"/>
      <c r="P12" s="81">
        <f>SUM(P9:P11)</f>
        <v>44.22527081498972</v>
      </c>
      <c r="Q12" s="81"/>
      <c r="R12" s="81">
        <f>SUM(R9:R11)</f>
        <v>49.475009639232269</v>
      </c>
      <c r="S12" s="81"/>
      <c r="T12" s="81">
        <f>SUM(T9:T11)</f>
        <v>49.712949409293586</v>
      </c>
      <c r="U12" s="81"/>
      <c r="V12" s="81">
        <f>SUM(V9:V11)</f>
        <v>50.103405080114214</v>
      </c>
      <c r="W12" s="81"/>
      <c r="X12" s="81">
        <f>SUM(X9:X11)</f>
        <v>48.30879052602652</v>
      </c>
      <c r="Y12" s="81"/>
      <c r="Z12" s="81">
        <f>SUM(Z9:Z11)</f>
        <v>44.518903718849522</v>
      </c>
      <c r="AA12" s="83"/>
      <c r="AB12" s="81">
        <f>SUM(AB9:AB11)</f>
        <v>40.74772218471881</v>
      </c>
    </row>
    <row r="13" spans="1:28" x14ac:dyDescent="0.2">
      <c r="A13" s="72"/>
      <c r="B13" s="72"/>
      <c r="C13" s="72"/>
      <c r="D13" s="160"/>
      <c r="E13" s="81"/>
      <c r="F13" s="160"/>
      <c r="G13" s="81"/>
      <c r="H13" s="162"/>
      <c r="I13" s="81"/>
      <c r="J13" s="160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3"/>
      <c r="AA13" s="83"/>
      <c r="AB13" s="83"/>
    </row>
    <row r="14" spans="1:28" x14ac:dyDescent="0.2">
      <c r="A14" s="72"/>
      <c r="B14" s="72"/>
      <c r="C14" s="72"/>
      <c r="D14" s="160"/>
      <c r="E14" s="81"/>
      <c r="F14" s="160"/>
      <c r="G14" s="81"/>
      <c r="H14" s="162"/>
      <c r="I14" s="81"/>
      <c r="J14" s="160"/>
      <c r="K14" s="81"/>
      <c r="L14" s="81"/>
      <c r="M14" s="81"/>
      <c r="N14" s="116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3"/>
      <c r="AA14" s="83"/>
      <c r="AB14" s="83"/>
    </row>
    <row r="15" spans="1:28" x14ac:dyDescent="0.2">
      <c r="A15" s="72"/>
      <c r="B15" s="72" t="s">
        <v>89</v>
      </c>
      <c r="C15" s="85">
        <v>0.04</v>
      </c>
      <c r="D15" s="160"/>
      <c r="E15" s="120">
        <v>0.04</v>
      </c>
      <c r="F15" s="161"/>
      <c r="G15" s="120">
        <v>0.04</v>
      </c>
      <c r="H15" s="162"/>
      <c r="I15" s="120">
        <v>0.04</v>
      </c>
      <c r="J15" s="160"/>
      <c r="K15" s="120">
        <v>0.04</v>
      </c>
      <c r="L15" s="81"/>
      <c r="M15" s="120">
        <v>0.04</v>
      </c>
      <c r="N15" s="116"/>
      <c r="O15" s="120">
        <v>0.04</v>
      </c>
      <c r="P15" s="81"/>
      <c r="Q15" s="120">
        <v>0.04</v>
      </c>
      <c r="R15" s="81"/>
      <c r="S15" s="120">
        <v>0.04</v>
      </c>
      <c r="T15" s="81"/>
      <c r="U15" s="120">
        <v>0.04</v>
      </c>
      <c r="V15" s="81"/>
      <c r="W15" s="120">
        <v>0.04</v>
      </c>
      <c r="X15" s="81"/>
      <c r="Y15" s="120">
        <v>0.04</v>
      </c>
      <c r="Z15" s="83"/>
      <c r="AA15" s="120">
        <v>0.04</v>
      </c>
      <c r="AB15" s="83"/>
    </row>
    <row r="16" spans="1:28" x14ac:dyDescent="0.2">
      <c r="A16" s="72"/>
      <c r="B16" s="72" t="s">
        <v>90</v>
      </c>
      <c r="C16" s="85">
        <v>0.56000000000000005</v>
      </c>
      <c r="D16" s="81"/>
      <c r="E16" s="120">
        <v>0.56000000000000005</v>
      </c>
      <c r="F16" s="86"/>
      <c r="G16" s="120">
        <v>0.56000000000000005</v>
      </c>
      <c r="H16" s="86"/>
      <c r="I16" s="120">
        <v>0.56000000000000005</v>
      </c>
      <c r="J16" s="81"/>
      <c r="K16" s="120">
        <v>0.56000000000000005</v>
      </c>
      <c r="L16" s="86"/>
      <c r="M16" s="120">
        <v>0.56000000000000005</v>
      </c>
      <c r="N16" s="116"/>
      <c r="O16" s="120">
        <v>0.56000000000000005</v>
      </c>
      <c r="P16" s="81"/>
      <c r="Q16" s="120">
        <v>0.56000000000000005</v>
      </c>
      <c r="R16" s="81"/>
      <c r="S16" s="120">
        <v>0.56000000000000005</v>
      </c>
      <c r="T16" s="81"/>
      <c r="U16" s="120">
        <v>0.56000000000000005</v>
      </c>
      <c r="V16" s="81"/>
      <c r="W16" s="120">
        <v>0.56000000000000005</v>
      </c>
      <c r="X16" s="81"/>
      <c r="Y16" s="120">
        <v>0.56000000000000005</v>
      </c>
      <c r="Z16" s="83"/>
      <c r="AA16" s="120">
        <v>0.56000000000000005</v>
      </c>
      <c r="AB16" s="83"/>
    </row>
    <row r="17" spans="1:32" x14ac:dyDescent="0.2">
      <c r="A17" s="72"/>
      <c r="B17" s="72" t="s">
        <v>91</v>
      </c>
      <c r="C17" s="85">
        <v>0.4</v>
      </c>
      <c r="D17" s="86"/>
      <c r="E17" s="120">
        <v>0.4</v>
      </c>
      <c r="F17" s="86"/>
      <c r="G17" s="120">
        <v>0.4</v>
      </c>
      <c r="H17" s="86"/>
      <c r="I17" s="120">
        <v>0.4</v>
      </c>
      <c r="J17" s="81"/>
      <c r="K17" s="120">
        <v>0.4</v>
      </c>
      <c r="L17" s="86"/>
      <c r="M17" s="120">
        <v>0.4</v>
      </c>
      <c r="N17" s="116"/>
      <c r="O17" s="120">
        <v>0.4</v>
      </c>
      <c r="P17" s="86"/>
      <c r="Q17" s="120">
        <v>0.4</v>
      </c>
      <c r="R17" s="81"/>
      <c r="S17" s="120">
        <v>0.4</v>
      </c>
      <c r="T17" s="81"/>
      <c r="U17" s="120">
        <v>0.4</v>
      </c>
      <c r="V17" s="81"/>
      <c r="W17" s="120">
        <v>0.4</v>
      </c>
      <c r="X17" s="81"/>
      <c r="Y17" s="120">
        <v>0.4</v>
      </c>
      <c r="Z17" s="83"/>
      <c r="AA17" s="120">
        <v>0.4</v>
      </c>
      <c r="AB17" s="83"/>
    </row>
    <row r="18" spans="1:32" x14ac:dyDescent="0.2">
      <c r="A18" s="72"/>
      <c r="B18" s="72" t="s">
        <v>92</v>
      </c>
      <c r="C18" s="72"/>
      <c r="D18" s="86">
        <v>3.1469424359208467E-4</v>
      </c>
      <c r="E18" s="81"/>
      <c r="F18" s="86"/>
      <c r="G18" s="81"/>
      <c r="H18" s="86"/>
      <c r="I18" s="81"/>
      <c r="J18" s="81"/>
      <c r="K18" s="81"/>
      <c r="L18" s="86"/>
      <c r="M18" s="81"/>
      <c r="N18" s="116"/>
      <c r="O18" s="81"/>
      <c r="P18" s="86"/>
      <c r="Q18" s="81"/>
      <c r="R18" s="81"/>
      <c r="S18" s="87"/>
      <c r="T18" s="80"/>
      <c r="U18" s="87"/>
      <c r="V18" s="80"/>
      <c r="W18" s="87"/>
      <c r="X18" s="80"/>
      <c r="Y18" s="80"/>
      <c r="Z18" s="83"/>
      <c r="AA18" s="83"/>
      <c r="AB18" s="83"/>
    </row>
    <row r="19" spans="1:32" x14ac:dyDescent="0.2">
      <c r="A19" s="72"/>
      <c r="B19" s="72" t="s">
        <v>93</v>
      </c>
      <c r="C19" s="120">
        <v>2.07E-2</v>
      </c>
      <c r="D19" s="86">
        <f>$D$12*C15*C19</f>
        <v>1.7371143634970735E-4</v>
      </c>
      <c r="E19" s="120">
        <v>2.4299999999999999E-2</v>
      </c>
      <c r="F19" s="86">
        <f>$F$12*E15*E19</f>
        <v>2.6676541968713116E-3</v>
      </c>
      <c r="G19" s="120">
        <v>2.4299999999999999E-2</v>
      </c>
      <c r="H19" s="86">
        <f>$H$12*G15*G19</f>
        <v>5.5824319570753223E-3</v>
      </c>
      <c r="I19" s="120">
        <v>2.0799999999999999E-2</v>
      </c>
      <c r="J19" s="81">
        <f>$J$12*I15*I19</f>
        <v>5.9015685028365175E-3</v>
      </c>
      <c r="K19" s="120">
        <v>2.0799999999999999E-2</v>
      </c>
      <c r="L19" s="86">
        <f>$L$12*K15*K19</f>
        <v>1.4106572627895093E-2</v>
      </c>
      <c r="M19" s="120">
        <v>2.27411E-2</v>
      </c>
      <c r="N19" s="81">
        <f>$N$12*M15*M19</f>
        <v>2.9859390838758677E-2</v>
      </c>
      <c r="O19" s="120">
        <v>1.6535747619047619E-2</v>
      </c>
      <c r="P19" s="86">
        <f>$P$12*O15*O19</f>
        <v>2.9251916663228097E-2</v>
      </c>
      <c r="Q19" s="120">
        <v>1.7592890476190476E-2</v>
      </c>
      <c r="R19" s="81">
        <f>$R$12*Q15*Q19</f>
        <v>3.4816337035659256E-2</v>
      </c>
      <c r="S19" s="120">
        <v>2.29E-2</v>
      </c>
      <c r="T19" s="81">
        <f>$T$12*S15*S19</f>
        <v>4.5537061658912928E-2</v>
      </c>
      <c r="U19" s="120">
        <v>2.29E-2</v>
      </c>
      <c r="V19" s="81">
        <f>$V$12*U15*U19</f>
        <v>4.5894719053384624E-2</v>
      </c>
      <c r="W19" s="120">
        <v>2.29E-2</v>
      </c>
      <c r="X19" s="81">
        <f>$X$12*W15*W19</f>
        <v>4.4250852121840295E-2</v>
      </c>
      <c r="Y19" s="120">
        <v>2.29E-2</v>
      </c>
      <c r="Z19" s="81">
        <f>$Z$12*Y15*Y19</f>
        <v>4.0779315806466161E-2</v>
      </c>
      <c r="AA19" s="120">
        <v>2.29E-2</v>
      </c>
      <c r="AB19" s="81">
        <f>$AB$12*AA15*AA19</f>
        <v>3.732491352120243E-2</v>
      </c>
    </row>
    <row r="20" spans="1:32" x14ac:dyDescent="0.2">
      <c r="A20" s="72"/>
      <c r="B20" s="72" t="s">
        <v>94</v>
      </c>
      <c r="C20" s="120">
        <v>5.6733247692772937E-2</v>
      </c>
      <c r="D20" s="86">
        <f>$D$12*C16*C20</f>
        <v>6.6653620887407875E-3</v>
      </c>
      <c r="E20" s="120">
        <v>5.6043163287542455E-2</v>
      </c>
      <c r="F20" s="86">
        <f>$F$12*E16*E20</f>
        <v>8.6133864876518348E-2</v>
      </c>
      <c r="G20" s="120">
        <v>5.6043163287542455E-2</v>
      </c>
      <c r="H20" s="86">
        <f>$H$12*G16*G20</f>
        <v>0.18024691522500186</v>
      </c>
      <c r="I20" s="120">
        <v>5.0299999999999997E-2</v>
      </c>
      <c r="J20" s="81">
        <f>$J$12*I16*I20</f>
        <v>0.19980214133160942</v>
      </c>
      <c r="K20" s="120">
        <v>4.87E-2</v>
      </c>
      <c r="L20" s="86">
        <f>$L$12*K16*K20</f>
        <v>0.46239717392783058</v>
      </c>
      <c r="M20" s="120">
        <v>4.9097285575755177E-2</v>
      </c>
      <c r="N20" s="81">
        <f>$N$12*M16*M20</f>
        <v>0.90251617326341804</v>
      </c>
      <c r="O20" s="120">
        <v>4.7761714378376917E-2</v>
      </c>
      <c r="P20" s="86">
        <f>$P$12*O16*O20</f>
        <v>1.1828738616642684</v>
      </c>
      <c r="Q20" s="120">
        <v>4.4421389282556498E-2</v>
      </c>
      <c r="R20" s="81">
        <f>$R$12*Q16*Q20</f>
        <v>1.2307392512478403</v>
      </c>
      <c r="S20" s="120">
        <v>4.4723029633028433E-2</v>
      </c>
      <c r="T20" s="81">
        <f>$T$12*S16*S20</f>
        <v>1.2450556773631651</v>
      </c>
      <c r="U20" s="120">
        <v>4.4723029633028433E-2</v>
      </c>
      <c r="V20" s="81">
        <f>$V$12*U16*U20</f>
        <v>1.2548345992636023</v>
      </c>
      <c r="W20" s="120">
        <v>4.4723029633028433E-2</v>
      </c>
      <c r="X20" s="81">
        <f>$X$12*W16*W20</f>
        <v>1.2098886633294985</v>
      </c>
      <c r="Y20" s="120">
        <v>4.4723029633028433E-2</v>
      </c>
      <c r="Z20" s="81">
        <f>$Z$12*Y16*Y20</f>
        <v>1.1149713401389063</v>
      </c>
      <c r="AA20" s="120">
        <v>4.4723029633028433E-2</v>
      </c>
      <c r="AB20" s="86">
        <f>$AB$12*AA16*AA20</f>
        <v>1.0205224885775301</v>
      </c>
    </row>
    <row r="21" spans="1:32" x14ac:dyDescent="0.2">
      <c r="A21" s="72"/>
      <c r="B21" s="72" t="s">
        <v>95</v>
      </c>
      <c r="C21" s="120">
        <v>9.8500000000000004E-2</v>
      </c>
      <c r="D21" s="86">
        <f>$D$12*C17*C21</f>
        <v>8.2659789760609545E-3</v>
      </c>
      <c r="E21" s="120">
        <v>9.6600000000000005E-2</v>
      </c>
      <c r="F21" s="86">
        <f>$F$12*E17*E21</f>
        <v>0.10604748782624226</v>
      </c>
      <c r="G21" s="120">
        <v>9.6600000000000005E-2</v>
      </c>
      <c r="H21" s="86">
        <f>$H$12*G17*G21</f>
        <v>0.22191890002200668</v>
      </c>
      <c r="I21" s="120">
        <v>8.9300000000000004E-2</v>
      </c>
      <c r="J21" s="81">
        <f>$J$12*I17*I21</f>
        <v>0.2533702246650486</v>
      </c>
      <c r="K21" s="120">
        <v>9.3600000000000003E-2</v>
      </c>
      <c r="L21" s="86">
        <f>$L$12*K17*K21</f>
        <v>0.63479576825527917</v>
      </c>
      <c r="M21" s="120">
        <v>9.35E-2</v>
      </c>
      <c r="N21" s="81">
        <f>$N$12*M17*M21</f>
        <v>1.2276684256363748</v>
      </c>
      <c r="O21" s="120">
        <v>9.1899999999999996E-2</v>
      </c>
      <c r="P21" s="86">
        <f>$P$12*O17*O21</f>
        <v>1.6257209551590222</v>
      </c>
      <c r="Q21" s="120">
        <v>8.77E-2</v>
      </c>
      <c r="R21" s="81">
        <f>$R$12*Q17*Q21</f>
        <v>1.735583338144268</v>
      </c>
      <c r="S21" s="120">
        <v>0.09</v>
      </c>
      <c r="T21" s="81">
        <f>$T$12*S17*S21</f>
        <v>1.7896661787345691</v>
      </c>
      <c r="U21" s="120">
        <v>0.09</v>
      </c>
      <c r="V21" s="81">
        <f>$V$12*U17*U21</f>
        <v>1.8037225828841117</v>
      </c>
      <c r="W21" s="120">
        <v>0.09</v>
      </c>
      <c r="X21" s="81">
        <f>$X$12*W17*W21</f>
        <v>1.7391164589369548</v>
      </c>
      <c r="Y21" s="120">
        <v>0.09</v>
      </c>
      <c r="Z21" s="81">
        <f>$Z$12*Y17*Y21</f>
        <v>1.602680533878583</v>
      </c>
      <c r="AA21" s="120">
        <v>0.09</v>
      </c>
      <c r="AB21" s="81">
        <f>$AB$12*AA17*AA21</f>
        <v>1.466917998649877</v>
      </c>
    </row>
    <row r="22" spans="1:32" x14ac:dyDescent="0.2">
      <c r="A22" s="72"/>
      <c r="B22" s="72"/>
      <c r="C22" s="72"/>
      <c r="D22" s="88">
        <f>SUM(D18:D21)</f>
        <v>1.5419746744743534E-2</v>
      </c>
      <c r="E22" s="81"/>
      <c r="F22" s="89">
        <f>SUM(F19:F21)</f>
        <v>0.19484900689963192</v>
      </c>
      <c r="G22" s="81"/>
      <c r="H22" s="89">
        <f>SUM(H19:H21)</f>
        <v>0.40774824720408387</v>
      </c>
      <c r="I22" s="81"/>
      <c r="J22" s="88">
        <f>SUM(J19:J21)</f>
        <v>0.45907393449949452</v>
      </c>
      <c r="K22" s="81"/>
      <c r="L22" s="89">
        <f>SUM(L19:L21)</f>
        <v>1.1112995148110048</v>
      </c>
      <c r="M22" s="81"/>
      <c r="N22" s="88">
        <f>SUM(N19:N21)</f>
        <v>2.1600439897385515</v>
      </c>
      <c r="O22" s="81"/>
      <c r="P22" s="89">
        <f>SUM(P19:P21)</f>
        <v>2.8378467334865185</v>
      </c>
      <c r="Q22" s="81"/>
      <c r="R22" s="88">
        <f>SUM(R19:R21)</f>
        <v>3.0011389264277675</v>
      </c>
      <c r="S22" s="81"/>
      <c r="T22" s="88">
        <f>SUM(T19:T21)</f>
        <v>3.0802589177566473</v>
      </c>
      <c r="U22" s="81"/>
      <c r="V22" s="88">
        <f>SUM(V19:V21)</f>
        <v>3.1044519012010987</v>
      </c>
      <c r="W22" s="81"/>
      <c r="X22" s="88">
        <f>SUM(X19:X21)</f>
        <v>2.9932559743882936</v>
      </c>
      <c r="Y22" s="81"/>
      <c r="Z22" s="88">
        <f>SUM(Z19:Z21)</f>
        <v>2.7584311898239555</v>
      </c>
      <c r="AA22" s="83"/>
      <c r="AB22" s="88">
        <f>SUM(AB19:AB21)</f>
        <v>2.5247654007486098</v>
      </c>
    </row>
    <row r="23" spans="1:32" x14ac:dyDescent="0.2">
      <c r="A23" s="72"/>
      <c r="B23" s="72"/>
      <c r="C23" s="72"/>
      <c r="D23" s="81"/>
      <c r="E23" s="81"/>
      <c r="F23" s="86"/>
      <c r="G23" s="81"/>
      <c r="H23" s="86"/>
      <c r="I23" s="81"/>
      <c r="J23" s="81"/>
      <c r="K23" s="81"/>
      <c r="L23" s="86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3"/>
      <c r="AA23" s="83"/>
      <c r="AB23" s="83"/>
    </row>
    <row r="24" spans="1:32" ht="15.75" x14ac:dyDescent="0.25">
      <c r="A24" s="72"/>
      <c r="B24" s="72" t="s">
        <v>96</v>
      </c>
      <c r="C24" s="72"/>
      <c r="D24" s="81"/>
      <c r="E24" s="81"/>
      <c r="F24" s="167">
        <f>E10</f>
        <v>4.4259575808000005</v>
      </c>
      <c r="G24" s="81"/>
      <c r="H24" s="168">
        <f>G10</f>
        <v>3.9208334399030287</v>
      </c>
      <c r="I24" s="81"/>
      <c r="J24" s="90">
        <f>I10</f>
        <v>1.9491219314433545</v>
      </c>
      <c r="K24" s="81"/>
      <c r="L24" s="90">
        <f>K10</f>
        <v>1.2762049409690188</v>
      </c>
      <c r="M24" s="81"/>
      <c r="N24" s="90">
        <f>M10</f>
        <v>2.038522258</v>
      </c>
      <c r="O24" s="81"/>
      <c r="P24" s="90">
        <f>O10</f>
        <v>2.05466792564</v>
      </c>
      <c r="Q24" s="81"/>
      <c r="R24" s="90">
        <f>Q10</f>
        <v>2.6065995360000001</v>
      </c>
      <c r="S24" s="81"/>
      <c r="T24" s="90">
        <f>S10</f>
        <v>1.5066996725199997</v>
      </c>
      <c r="U24" s="81"/>
      <c r="V24" s="90">
        <f>U10</f>
        <v>1.6926743120000001</v>
      </c>
      <c r="W24" s="81"/>
      <c r="X24" s="90">
        <f>W10</f>
        <v>1.6501343038</v>
      </c>
      <c r="Y24" s="83"/>
      <c r="Z24" s="90">
        <f>Y10</f>
        <v>2.0120534958</v>
      </c>
      <c r="AA24" s="83"/>
      <c r="AB24" s="90">
        <f>AA10</f>
        <v>1.7963951577999999</v>
      </c>
    </row>
    <row r="25" spans="1:32" x14ac:dyDescent="0.2">
      <c r="A25" s="72"/>
      <c r="B25" s="72" t="s">
        <v>97</v>
      </c>
      <c r="C25" s="72"/>
      <c r="D25" s="92">
        <f>'2 - Fixed Asset Cont.'!$D$114</f>
        <v>1.2915357555586034E-2</v>
      </c>
      <c r="E25" s="81"/>
      <c r="F25" s="91">
        <f>'2 - Fixed Asset Cont.'!$E$114</f>
        <v>0.13852380872064807</v>
      </c>
      <c r="G25" s="81"/>
      <c r="H25" s="93">
        <f>'2 - Fixed Asset Cont.'!$F$114</f>
        <v>0.33522206840553836</v>
      </c>
      <c r="I25" s="81"/>
      <c r="J25" s="91">
        <f>'2 - Fixed Asset Cont.'!$G$114</f>
        <v>0.45595155925233649</v>
      </c>
      <c r="K25" s="81"/>
      <c r="L25" s="93">
        <f>'2 - Fixed Asset Cont.'!$H$114</f>
        <v>1.0958547084464141</v>
      </c>
      <c r="M25" s="81"/>
      <c r="N25" s="91">
        <f>'2 - Fixed Asset Cont.'!$I$114</f>
        <v>1.911377960298593</v>
      </c>
      <c r="O25" s="81"/>
      <c r="P25" s="91">
        <f>'2 - Fixed Asset Cont.'!$J$114</f>
        <v>3.1637824899788702</v>
      </c>
      <c r="Q25" s="81"/>
      <c r="R25" s="91">
        <f>'2 - Fixed Asset Cont.'!$K$114</f>
        <v>3.6357667038453974</v>
      </c>
      <c r="S25" s="81"/>
      <c r="T25" s="91">
        <f>'2 - Fixed Asset Cont.'!$L$114</f>
        <v>3.8583931460566649</v>
      </c>
      <c r="U25" s="81"/>
      <c r="V25" s="91">
        <f>'2 - Fixed Asset Cont.'!$M$114</f>
        <v>4.2554548540753956</v>
      </c>
      <c r="W25" s="81"/>
      <c r="X25" s="91">
        <f>'2 - Fixed Asset Cont.'!$N$114</f>
        <v>4.4232803354731907</v>
      </c>
      <c r="Y25" s="83"/>
      <c r="Z25" s="91">
        <f>'2 - Fixed Asset Cont.'!$O$114</f>
        <v>4.0100075365610781</v>
      </c>
      <c r="AA25" s="83"/>
      <c r="AB25" s="91">
        <f>'2 - Fixed Asset Cont.'!$P$114</f>
        <v>4.1267673436058825</v>
      </c>
    </row>
    <row r="26" spans="1:32" x14ac:dyDescent="0.2">
      <c r="A26" s="72"/>
      <c r="B26" s="72" t="s">
        <v>98</v>
      </c>
      <c r="C26" s="72"/>
      <c r="D26" s="92">
        <f>'3 - Income Taxes &amp; UCC'!$D$19</f>
        <v>1.7439524369931318E-3</v>
      </c>
      <c r="E26" s="81"/>
      <c r="F26" s="92">
        <f>'3 - Income Taxes &amp; UCC'!$E$19</f>
        <v>2.3784268692084345E-2</v>
      </c>
      <c r="G26" s="81"/>
      <c r="H26" s="93">
        <f>'3 - Income Taxes &amp; UCC'!$F$19</f>
        <v>4.4221250817860241E-2</v>
      </c>
      <c r="I26" s="81"/>
      <c r="J26" s="92">
        <f>'3 - Income Taxes &amp; UCC'!$G$19</f>
        <v>5.3843991756815368E-2</v>
      </c>
      <c r="K26" s="81"/>
      <c r="L26" s="93">
        <f>'3 - Income Taxes &amp; UCC'!$H$19</f>
        <v>0.12919807614879536</v>
      </c>
      <c r="M26" s="81"/>
      <c r="N26" s="92">
        <f>'3 - Income Taxes &amp; UCC'!$I$19</f>
        <v>0.17702210116500261</v>
      </c>
      <c r="O26" s="81"/>
      <c r="P26" s="92">
        <f>'3 - Income Taxes &amp; UCC'!$J$19</f>
        <v>0.44615583217917176</v>
      </c>
      <c r="Q26" s="81"/>
      <c r="R26" s="92">
        <f>'3 - Income Taxes &amp; UCC'!$K$19</f>
        <v>0.51065769983288578</v>
      </c>
      <c r="S26" s="81"/>
      <c r="T26" s="92">
        <f>'3 - Income Taxes &amp; UCC'!$L$19</f>
        <v>0.60710332652286536</v>
      </c>
      <c r="U26" s="81"/>
      <c r="V26" s="92">
        <f>'3 - Income Taxes &amp; UCC'!$M$19</f>
        <v>0.74184307122571969</v>
      </c>
      <c r="W26" s="81"/>
      <c r="X26" s="92">
        <f>'3 - Income Taxes &amp; UCC'!$N$19</f>
        <v>0.82098180319307812</v>
      </c>
      <c r="Y26" s="83"/>
      <c r="Z26" s="92">
        <f>'3 - Income Taxes &amp; UCC'!$O$19</f>
        <v>0.72334204216349962</v>
      </c>
      <c r="AA26" s="83"/>
      <c r="AB26" s="92">
        <f>'3 - Income Taxes &amp; UCC'!$P$19</f>
        <v>0.8106199794436264</v>
      </c>
    </row>
    <row r="27" spans="1:32" x14ac:dyDescent="0.2">
      <c r="A27" s="72"/>
      <c r="B27" s="72"/>
      <c r="C27" s="72"/>
      <c r="D27" s="160"/>
      <c r="E27" s="81"/>
      <c r="F27" s="160"/>
      <c r="G27" s="81"/>
      <c r="H27" s="162"/>
      <c r="I27" s="81"/>
      <c r="J27" s="160"/>
      <c r="K27" s="81"/>
      <c r="L27" s="86"/>
      <c r="M27" s="81"/>
      <c r="N27" s="116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3"/>
      <c r="Z27" s="83"/>
      <c r="AA27" s="83"/>
      <c r="AB27" s="83"/>
    </row>
    <row r="28" spans="1:32" s="96" customFormat="1" ht="15.75" x14ac:dyDescent="0.25">
      <c r="A28" s="4"/>
      <c r="B28" s="4" t="s">
        <v>99</v>
      </c>
      <c r="C28" s="4"/>
      <c r="D28" s="164">
        <f>SUM(D22:D26)</f>
        <v>3.0079056737322699E-2</v>
      </c>
      <c r="E28" s="165"/>
      <c r="F28" s="164">
        <f>SUM(F22:F26)</f>
        <v>4.7831146651123646</v>
      </c>
      <c r="G28" s="165"/>
      <c r="H28" s="164">
        <f>SUM(H22:H26)</f>
        <v>4.7080250063305105</v>
      </c>
      <c r="I28" s="165"/>
      <c r="J28" s="164">
        <f>SUM(J22:J26)</f>
        <v>2.9179914169520011</v>
      </c>
      <c r="K28" s="165"/>
      <c r="L28" s="164">
        <f>SUM(L22:L26)</f>
        <v>3.6125572403752328</v>
      </c>
      <c r="M28" s="165"/>
      <c r="N28" s="164">
        <f>SUM(N22:N26)</f>
        <v>6.2869663092021462</v>
      </c>
      <c r="O28" s="165"/>
      <c r="P28" s="164">
        <f>SUM(P22:P26)</f>
        <v>8.5024529812845611</v>
      </c>
      <c r="Q28" s="165"/>
      <c r="R28" s="164">
        <f>SUM(R22:R26)</f>
        <v>9.75416286610605</v>
      </c>
      <c r="S28" s="165"/>
      <c r="T28" s="164">
        <f>SUM(T22:T26)</f>
        <v>9.0524550628561773</v>
      </c>
      <c r="U28" s="165"/>
      <c r="V28" s="164">
        <f>SUM(V22:V26)</f>
        <v>9.7944241385022153</v>
      </c>
      <c r="W28" s="165"/>
      <c r="X28" s="164">
        <f>SUM(X22:X26)</f>
        <v>9.8876524168545625</v>
      </c>
      <c r="Y28" s="165"/>
      <c r="Z28" s="164">
        <f>SUM(Z22:Z26)</f>
        <v>9.5038342643485336</v>
      </c>
      <c r="AA28" s="166"/>
      <c r="AB28" s="164">
        <f>SUM(AB22:AB26)</f>
        <v>9.258547881598119</v>
      </c>
      <c r="AF28" s="95"/>
    </row>
    <row r="29" spans="1:32" s="96" customFormat="1" ht="15.75" x14ac:dyDescent="0.25">
      <c r="A29" s="4"/>
      <c r="B29" s="4"/>
      <c r="C29" s="4"/>
      <c r="D29" s="94"/>
      <c r="E29" s="94"/>
      <c r="F29" s="136"/>
      <c r="G29" s="94"/>
      <c r="H29" s="138"/>
      <c r="I29" s="94"/>
      <c r="J29" s="94"/>
      <c r="K29" s="94"/>
      <c r="L29" s="94"/>
      <c r="M29" s="94"/>
      <c r="N29" s="133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5"/>
      <c r="AA29" s="95"/>
      <c r="AB29" s="95"/>
    </row>
    <row r="30" spans="1:32" s="96" customFormat="1" ht="15.75" x14ac:dyDescent="0.25">
      <c r="A30" s="4"/>
      <c r="B30" s="4"/>
      <c r="C30" s="4"/>
      <c r="D30" s="94"/>
      <c r="E30" s="94"/>
      <c r="F30" s="136"/>
      <c r="G30" s="94"/>
      <c r="H30" s="138"/>
      <c r="I30" s="94"/>
      <c r="J30" s="94"/>
      <c r="K30" s="94"/>
      <c r="L30" s="94"/>
      <c r="M30" s="94"/>
      <c r="N30" s="133"/>
      <c r="O30" s="94"/>
      <c r="P30" s="94"/>
      <c r="Q30" s="94"/>
      <c r="R30" s="94"/>
      <c r="S30" s="94"/>
      <c r="T30" s="97"/>
      <c r="U30" s="98"/>
      <c r="V30" s="97"/>
      <c r="W30" s="98"/>
      <c r="X30" s="97"/>
      <c r="Y30" s="97"/>
      <c r="Z30" s="95"/>
      <c r="AA30" s="95"/>
      <c r="AB30" s="95"/>
    </row>
    <row r="31" spans="1:32" x14ac:dyDescent="0.2">
      <c r="A31" s="72"/>
      <c r="B31" s="72"/>
      <c r="C31" s="72"/>
      <c r="D31" s="81"/>
      <c r="E31" s="81"/>
      <c r="F31" s="135"/>
      <c r="G31" s="81"/>
      <c r="H31" s="137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3"/>
      <c r="AA31" s="83"/>
      <c r="AB31" s="83"/>
    </row>
    <row r="32" spans="1:32" x14ac:dyDescent="0.2">
      <c r="A32" s="72"/>
      <c r="B32" s="72"/>
      <c r="C32" s="72"/>
      <c r="D32" s="72"/>
      <c r="E32" s="72"/>
      <c r="F32" s="72"/>
      <c r="G32" s="72"/>
      <c r="H32" s="7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81"/>
      <c r="U32" s="81"/>
      <c r="V32" s="81"/>
      <c r="W32" s="81"/>
      <c r="X32" s="81"/>
      <c r="Y32" s="81"/>
      <c r="Z32" s="83"/>
      <c r="AA32" s="83"/>
      <c r="AB32" s="83"/>
    </row>
    <row r="33" spans="1:25" ht="16.5" customHeight="1" x14ac:dyDescent="0.2">
      <c r="A33" s="72" t="s">
        <v>13</v>
      </c>
      <c r="B33" s="72"/>
      <c r="C33" s="72"/>
      <c r="D33" s="81"/>
      <c r="E33" s="72"/>
      <c r="F33" s="72"/>
      <c r="G33" s="72"/>
      <c r="H33" s="75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</row>
    <row r="35" spans="1:25" x14ac:dyDescent="0.2">
      <c r="A35" s="99" t="s">
        <v>15</v>
      </c>
      <c r="B35" s="72" t="s">
        <v>101</v>
      </c>
      <c r="C35" s="72"/>
      <c r="D35" s="72"/>
      <c r="E35" s="72"/>
      <c r="F35" s="72"/>
      <c r="G35" s="72"/>
      <c r="H35" s="75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</row>
    <row r="36" spans="1:25" x14ac:dyDescent="0.2">
      <c r="A36" s="99" t="s">
        <v>17</v>
      </c>
      <c r="B36" s="72" t="s">
        <v>102</v>
      </c>
      <c r="C36" s="72"/>
      <c r="D36" s="72"/>
      <c r="E36" s="72"/>
      <c r="F36" s="72"/>
      <c r="G36" s="72"/>
      <c r="H36" s="75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</row>
    <row r="37" spans="1:25" x14ac:dyDescent="0.2">
      <c r="A37" s="99" t="s">
        <v>103</v>
      </c>
      <c r="B37" s="72" t="s">
        <v>116</v>
      </c>
      <c r="C37" s="72"/>
      <c r="D37" s="72"/>
      <c r="E37" s="72"/>
      <c r="F37" s="72"/>
      <c r="G37" s="72"/>
      <c r="H37" s="75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</row>
    <row r="38" spans="1:25" x14ac:dyDescent="0.2">
      <c r="A38" s="72"/>
      <c r="B38" s="72"/>
      <c r="C38" s="72"/>
      <c r="D38" s="72"/>
      <c r="E38" s="72"/>
      <c r="F38" s="72"/>
      <c r="G38" s="72"/>
      <c r="H38" s="75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</row>
    <row r="39" spans="1:25" x14ac:dyDescent="0.2">
      <c r="A39" s="72"/>
      <c r="B39" s="72"/>
      <c r="C39" s="72"/>
      <c r="D39" s="72"/>
      <c r="E39" s="72"/>
      <c r="F39" s="72"/>
      <c r="G39" s="72"/>
      <c r="H39" s="75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</row>
    <row r="43" spans="1:25" ht="15.75" x14ac:dyDescent="0.25">
      <c r="A43" s="72"/>
      <c r="B43" s="4" t="s">
        <v>0</v>
      </c>
      <c r="C43" s="4"/>
      <c r="D43" s="4"/>
      <c r="E43" s="4"/>
      <c r="F43" s="4"/>
      <c r="G43" s="4"/>
      <c r="H43" s="77"/>
      <c r="I43" s="4"/>
      <c r="J43" s="4"/>
      <c r="K43" s="4"/>
      <c r="L43" s="4"/>
      <c r="M43" s="4"/>
      <c r="N43" s="4"/>
      <c r="O43" s="4"/>
      <c r="P43" s="4"/>
      <c r="Q43" s="4"/>
      <c r="R43" s="4"/>
      <c r="S43" s="72"/>
      <c r="T43" s="72"/>
      <c r="U43" s="72"/>
      <c r="V43" s="72"/>
      <c r="W43" s="72"/>
      <c r="X43" s="72"/>
      <c r="Y43" s="72"/>
    </row>
    <row r="44" spans="1:25" ht="15.75" x14ac:dyDescent="0.25">
      <c r="A44" s="72"/>
      <c r="B44" s="4" t="s">
        <v>85</v>
      </c>
      <c r="C44" s="4"/>
      <c r="D44" s="4"/>
      <c r="E44" s="4"/>
      <c r="F44" s="4"/>
      <c r="G44" s="4"/>
      <c r="H44" s="77"/>
      <c r="I44" s="4"/>
      <c r="J44" s="4"/>
      <c r="K44" s="4"/>
      <c r="L44" s="4"/>
      <c r="M44" s="4"/>
      <c r="N44" s="4"/>
      <c r="O44" s="4"/>
      <c r="P44" s="4"/>
      <c r="Q44" s="4"/>
      <c r="R44" s="4"/>
      <c r="S44" s="72"/>
      <c r="T44" s="72"/>
      <c r="U44" s="72"/>
      <c r="V44" s="72"/>
      <c r="W44" s="72"/>
      <c r="X44" s="72"/>
      <c r="Y44" s="72"/>
    </row>
    <row r="45" spans="1:25" ht="15.75" x14ac:dyDescent="0.25">
      <c r="A45" s="72"/>
      <c r="B45" s="4" t="s">
        <v>2</v>
      </c>
      <c r="C45" s="4"/>
      <c r="D45" s="4"/>
      <c r="E45" s="4"/>
      <c r="F45" s="4"/>
      <c r="G45" s="4"/>
      <c r="H45" s="77"/>
      <c r="I45" s="4"/>
      <c r="J45" s="4"/>
      <c r="K45" s="4"/>
      <c r="L45" s="4"/>
      <c r="M45" s="4"/>
      <c r="N45" s="4"/>
      <c r="O45" s="4"/>
      <c r="P45" s="4"/>
      <c r="Q45" s="4"/>
      <c r="R45" s="4"/>
      <c r="S45" s="72"/>
      <c r="T45" s="72"/>
      <c r="U45" s="72"/>
      <c r="V45" s="72"/>
      <c r="W45" s="72"/>
      <c r="X45" s="72"/>
      <c r="Y45" s="72"/>
    </row>
    <row r="46" spans="1:25" ht="15.75" x14ac:dyDescent="0.25">
      <c r="A46" s="72"/>
      <c r="B46" s="159" t="s">
        <v>105</v>
      </c>
      <c r="C46" s="4"/>
      <c r="D46" s="4"/>
      <c r="E46" s="4"/>
      <c r="F46" s="4"/>
      <c r="G46" s="4"/>
      <c r="H46" s="77"/>
      <c r="I46" s="4"/>
      <c r="J46" s="4"/>
      <c r="K46" s="4"/>
      <c r="L46" s="4"/>
      <c r="M46" s="4"/>
      <c r="N46" s="4"/>
      <c r="O46" s="4"/>
      <c r="P46" s="4"/>
      <c r="Q46" s="4"/>
      <c r="R46" s="4"/>
      <c r="S46" s="72"/>
      <c r="T46" s="72"/>
      <c r="U46" s="72"/>
      <c r="V46" s="72"/>
      <c r="W46" s="72"/>
      <c r="X46" s="72"/>
      <c r="Y46" s="72"/>
    </row>
    <row r="47" spans="1:25" x14ac:dyDescent="0.2">
      <c r="A47" s="72"/>
      <c r="B47" s="72"/>
      <c r="C47" s="72"/>
      <c r="D47" s="72"/>
      <c r="E47" s="72"/>
      <c r="F47" s="72"/>
      <c r="G47" s="72"/>
      <c r="H47" s="75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</row>
    <row r="48" spans="1:25" x14ac:dyDescent="0.2">
      <c r="A48" s="72"/>
      <c r="B48" s="72"/>
      <c r="C48" s="72"/>
      <c r="D48" s="72"/>
      <c r="E48" s="72"/>
      <c r="F48" s="72"/>
      <c r="G48" s="72"/>
      <c r="H48" s="75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</row>
    <row r="49" spans="1:28" s="79" customFormat="1" ht="27.75" customHeight="1" x14ac:dyDescent="0.2">
      <c r="A49" s="78"/>
      <c r="B49" s="78"/>
      <c r="C49" s="195">
        <v>2010</v>
      </c>
      <c r="D49" s="196"/>
      <c r="E49" s="195">
        <v>2011</v>
      </c>
      <c r="F49" s="196"/>
      <c r="G49" s="195">
        <v>2012</v>
      </c>
      <c r="H49" s="196"/>
      <c r="I49" s="195">
        <v>2013</v>
      </c>
      <c r="J49" s="196"/>
      <c r="K49" s="195">
        <v>2014</v>
      </c>
      <c r="L49" s="196"/>
      <c r="M49" s="195">
        <v>2015</v>
      </c>
      <c r="N49" s="196"/>
      <c r="O49" s="195">
        <v>2016</v>
      </c>
      <c r="P49" s="196"/>
      <c r="Q49" s="195">
        <v>2017</v>
      </c>
      <c r="R49" s="196"/>
      <c r="S49" s="197">
        <v>2018</v>
      </c>
      <c r="T49" s="196"/>
      <c r="U49" s="195">
        <v>2019</v>
      </c>
      <c r="V49" s="196"/>
      <c r="W49" s="195">
        <v>2020</v>
      </c>
      <c r="X49" s="196"/>
      <c r="Y49" s="193">
        <v>2021</v>
      </c>
      <c r="Z49" s="194"/>
      <c r="AA49" s="193">
        <v>2022</v>
      </c>
      <c r="AB49" s="194"/>
    </row>
    <row r="50" spans="1:28" x14ac:dyDescent="0.2">
      <c r="A50" s="72"/>
      <c r="B50" s="72" t="s">
        <v>86</v>
      </c>
      <c r="C50" s="72"/>
      <c r="D50" s="80">
        <v>0.22402939584900047</v>
      </c>
      <c r="E50" s="81"/>
      <c r="F50" s="80">
        <v>2.3891158015660552</v>
      </c>
      <c r="G50" s="81"/>
      <c r="H50" s="155">
        <v>5.6531835403959256</v>
      </c>
      <c r="I50" s="81"/>
      <c r="J50" s="80">
        <v>7.348893391592652</v>
      </c>
      <c r="K50" s="81"/>
      <c r="L50" s="80">
        <v>16.685362061648185</v>
      </c>
      <c r="M50" s="81"/>
      <c r="N50" s="80">
        <v>32.180719433633598</v>
      </c>
      <c r="O50" s="81"/>
      <c r="P50" s="80">
        <v>44.301086906274271</v>
      </c>
      <c r="Q50" s="81"/>
      <c r="R50" s="80">
        <v>49.34738355045738</v>
      </c>
      <c r="S50" s="82"/>
      <c r="T50" s="80">
        <v>48.889653456322009</v>
      </c>
      <c r="U50" s="82"/>
      <c r="V50" s="80">
        <v>49.152387903715301</v>
      </c>
      <c r="W50" s="82"/>
      <c r="X50" s="80">
        <v>47.405706520447801</v>
      </c>
      <c r="Y50" s="80"/>
      <c r="Z50" s="80">
        <v>43.580163415035884</v>
      </c>
      <c r="AA50" s="83"/>
      <c r="AB50" s="83">
        <v>39.933679267857769</v>
      </c>
    </row>
    <row r="51" spans="1:28" x14ac:dyDescent="0.2">
      <c r="A51" s="72"/>
      <c r="B51" s="72" t="s">
        <v>47</v>
      </c>
      <c r="C51" s="72"/>
      <c r="D51" s="81"/>
      <c r="E51" s="82">
        <v>4.3416536268799995</v>
      </c>
      <c r="F51" s="81"/>
      <c r="G51" s="82">
        <v>4.1870026287547866</v>
      </c>
      <c r="H51" s="155"/>
      <c r="I51" s="82">
        <v>1.9777110480662603</v>
      </c>
      <c r="J51" s="81"/>
      <c r="K51" s="82">
        <v>1.3091366419662236</v>
      </c>
      <c r="L51" s="81"/>
      <c r="M51" s="82">
        <v>2.1101839999999998</v>
      </c>
      <c r="N51" s="81"/>
      <c r="O51" s="82">
        <v>2.3105334595165363</v>
      </c>
      <c r="P51" s="81"/>
      <c r="Q51" s="82">
        <v>2.3966210267061068</v>
      </c>
      <c r="R51" s="81"/>
      <c r="S51" s="82">
        <v>1.614195008351925</v>
      </c>
      <c r="T51" s="81"/>
      <c r="U51" s="82">
        <v>2.180050034333548</v>
      </c>
      <c r="V51" s="81"/>
      <c r="W51" s="82">
        <v>1.6642053169823894</v>
      </c>
      <c r="X51" s="81"/>
      <c r="Y51" s="82">
        <v>2.02850149948984</v>
      </c>
      <c r="Z51" s="83"/>
      <c r="AA51" s="82">
        <v>1.9181458620799998</v>
      </c>
      <c r="AB51" s="83"/>
    </row>
    <row r="52" spans="1:28" x14ac:dyDescent="0.2">
      <c r="A52" s="72"/>
      <c r="B52" s="72" t="s">
        <v>87</v>
      </c>
      <c r="C52" s="123">
        <v>0.11715626258061443</v>
      </c>
      <c r="D52" s="81"/>
      <c r="E52" s="122">
        <v>0.11460610407981904</v>
      </c>
      <c r="F52" s="84">
        <v>0.49758000744073305</v>
      </c>
      <c r="G52" s="121">
        <v>0.11460610407981904</v>
      </c>
      <c r="H52" s="156">
        <v>0.479856059053547</v>
      </c>
      <c r="I52" s="121">
        <v>8.8982804471731458E-2</v>
      </c>
      <c r="J52" s="84">
        <v>0.17598227549166315</v>
      </c>
      <c r="K52" s="121">
        <v>7.5708076003970795E-2</v>
      </c>
      <c r="L52" s="84">
        <v>9.9112216389561955E-2</v>
      </c>
      <c r="M52" s="121">
        <v>7.4057363231460172E-2</v>
      </c>
      <c r="N52" s="84">
        <v>0.15627466297321554</v>
      </c>
      <c r="O52" s="121">
        <v>6.838162194320932E-2</v>
      </c>
      <c r="P52" s="84">
        <v>0.15799802551579531</v>
      </c>
      <c r="Q52" s="121">
        <v>7.7168625635264637E-2</v>
      </c>
      <c r="R52" s="84">
        <v>0.18494395079948714</v>
      </c>
      <c r="S52" s="121">
        <v>7.7026292740134811E-2</v>
      </c>
      <c r="T52" s="84">
        <v>0.12433545725297973</v>
      </c>
      <c r="U52" s="121">
        <v>7.7778449156050394E-2</v>
      </c>
      <c r="V52" s="84">
        <v>0.16956091075305779</v>
      </c>
      <c r="W52" s="121">
        <v>7.7737229269662075E-2</v>
      </c>
      <c r="X52" s="84">
        <v>0.12937071027805067</v>
      </c>
      <c r="Y52" s="121">
        <v>7.7486457465380035E-2</v>
      </c>
      <c r="Z52" s="84">
        <v>0.1571813951586791</v>
      </c>
      <c r="AA52" s="121">
        <v>6.13E-2</v>
      </c>
      <c r="AB52" s="84">
        <v>0.11758234134550399</v>
      </c>
    </row>
    <row r="53" spans="1:28" x14ac:dyDescent="0.2">
      <c r="A53" s="72"/>
      <c r="B53" s="72" t="s">
        <v>88</v>
      </c>
      <c r="C53" s="72"/>
      <c r="D53" s="81">
        <v>0.22402939584900047</v>
      </c>
      <c r="E53" s="81"/>
      <c r="F53" s="81">
        <v>2.8866958090067882</v>
      </c>
      <c r="G53" s="81"/>
      <c r="H53" s="80">
        <v>6.1330395994494724</v>
      </c>
      <c r="I53" s="81"/>
      <c r="J53" s="81">
        <v>7.5248756670843155</v>
      </c>
      <c r="K53" s="81"/>
      <c r="L53" s="81">
        <v>16.784474278037745</v>
      </c>
      <c r="M53" s="81"/>
      <c r="N53" s="115">
        <v>32.336994096606816</v>
      </c>
      <c r="O53" s="81"/>
      <c r="P53" s="81">
        <v>44.459084931790066</v>
      </c>
      <c r="Q53" s="81"/>
      <c r="R53" s="81">
        <v>49.532327501256866</v>
      </c>
      <c r="S53" s="81"/>
      <c r="T53" s="81">
        <v>49.013988913574991</v>
      </c>
      <c r="U53" s="81"/>
      <c r="V53" s="81">
        <v>49.321948814468357</v>
      </c>
      <c r="W53" s="81"/>
      <c r="X53" s="81">
        <v>47.535077230725854</v>
      </c>
      <c r="Y53" s="81"/>
      <c r="Z53" s="81">
        <v>43.737344810194564</v>
      </c>
      <c r="AA53" s="83"/>
      <c r="AB53" s="81">
        <v>40.051261609203273</v>
      </c>
    </row>
    <row r="54" spans="1:28" x14ac:dyDescent="0.2">
      <c r="A54" s="72"/>
      <c r="B54" s="72"/>
      <c r="C54" s="72"/>
      <c r="D54" s="81"/>
      <c r="E54" s="81"/>
      <c r="F54" s="81"/>
      <c r="G54" s="81"/>
      <c r="H54" s="80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3"/>
      <c r="AA54" s="83"/>
      <c r="AB54" s="83"/>
    </row>
    <row r="55" spans="1:28" x14ac:dyDescent="0.2">
      <c r="A55" s="72"/>
      <c r="B55" s="72"/>
      <c r="C55" s="72"/>
      <c r="D55" s="81"/>
      <c r="E55" s="81"/>
      <c r="F55" s="81"/>
      <c r="G55" s="81"/>
      <c r="H55" s="80"/>
      <c r="I55" s="81"/>
      <c r="J55" s="81"/>
      <c r="K55" s="81"/>
      <c r="L55" s="81"/>
      <c r="M55" s="81"/>
      <c r="N55" s="116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3"/>
      <c r="AA55" s="83"/>
      <c r="AB55" s="83"/>
    </row>
    <row r="56" spans="1:28" x14ac:dyDescent="0.2">
      <c r="A56" s="72"/>
      <c r="B56" s="72" t="s">
        <v>89</v>
      </c>
      <c r="C56" s="85">
        <v>0.04</v>
      </c>
      <c r="D56" s="81"/>
      <c r="E56" s="120">
        <v>0.04</v>
      </c>
      <c r="F56" s="86"/>
      <c r="G56" s="120">
        <v>0.04</v>
      </c>
      <c r="H56" s="80"/>
      <c r="I56" s="120">
        <v>0.04</v>
      </c>
      <c r="J56" s="81"/>
      <c r="K56" s="120">
        <v>0.04</v>
      </c>
      <c r="L56" s="81"/>
      <c r="M56" s="120">
        <v>0.04</v>
      </c>
      <c r="N56" s="116"/>
      <c r="O56" s="120">
        <v>0.04</v>
      </c>
      <c r="P56" s="81"/>
      <c r="Q56" s="120">
        <v>0.04</v>
      </c>
      <c r="R56" s="81"/>
      <c r="S56" s="120">
        <v>0.04</v>
      </c>
      <c r="T56" s="81"/>
      <c r="U56" s="120">
        <v>0.04</v>
      </c>
      <c r="V56" s="81"/>
      <c r="W56" s="120">
        <v>0.04</v>
      </c>
      <c r="X56" s="81"/>
      <c r="Y56" s="120">
        <v>0.04</v>
      </c>
      <c r="Z56" s="83"/>
      <c r="AA56" s="120">
        <v>0.04</v>
      </c>
      <c r="AB56" s="83"/>
    </row>
    <row r="57" spans="1:28" x14ac:dyDescent="0.2">
      <c r="A57" s="72"/>
      <c r="B57" s="72" t="s">
        <v>90</v>
      </c>
      <c r="C57" s="85">
        <v>0.56000000000000005</v>
      </c>
      <c r="D57" s="81"/>
      <c r="E57" s="120">
        <v>0.56000000000000005</v>
      </c>
      <c r="F57" s="86"/>
      <c r="G57" s="120">
        <v>0.56000000000000005</v>
      </c>
      <c r="H57" s="80"/>
      <c r="I57" s="120">
        <v>0.56000000000000005</v>
      </c>
      <c r="J57" s="81"/>
      <c r="K57" s="120">
        <v>0.56000000000000005</v>
      </c>
      <c r="L57" s="86"/>
      <c r="M57" s="120">
        <v>0.56000000000000005</v>
      </c>
      <c r="N57" s="116"/>
      <c r="O57" s="120">
        <v>0.56000000000000005</v>
      </c>
      <c r="P57" s="81"/>
      <c r="Q57" s="120">
        <v>0.56000000000000005</v>
      </c>
      <c r="R57" s="81"/>
      <c r="S57" s="120">
        <v>0.56000000000000005</v>
      </c>
      <c r="T57" s="81"/>
      <c r="U57" s="120">
        <v>0.56000000000000005</v>
      </c>
      <c r="V57" s="81"/>
      <c r="W57" s="120">
        <v>0.56000000000000005</v>
      </c>
      <c r="X57" s="81"/>
      <c r="Y57" s="120">
        <v>0.56000000000000005</v>
      </c>
      <c r="Z57" s="83"/>
      <c r="AA57" s="120">
        <v>0.56000000000000005</v>
      </c>
      <c r="AB57" s="83"/>
    </row>
    <row r="58" spans="1:28" x14ac:dyDescent="0.2">
      <c r="A58" s="72"/>
      <c r="B58" s="72" t="s">
        <v>91</v>
      </c>
      <c r="C58" s="85">
        <v>0.4</v>
      </c>
      <c r="D58" s="86"/>
      <c r="E58" s="120">
        <v>0.4</v>
      </c>
      <c r="F58" s="86"/>
      <c r="G58" s="120">
        <v>0.4</v>
      </c>
      <c r="H58" s="80"/>
      <c r="I58" s="120">
        <v>0.4</v>
      </c>
      <c r="J58" s="81"/>
      <c r="K58" s="120">
        <v>0.4</v>
      </c>
      <c r="L58" s="86"/>
      <c r="M58" s="120">
        <v>0.4</v>
      </c>
      <c r="N58" s="116"/>
      <c r="O58" s="120">
        <v>0.4</v>
      </c>
      <c r="P58" s="86"/>
      <c r="Q58" s="120">
        <v>0.4</v>
      </c>
      <c r="R58" s="81"/>
      <c r="S58" s="120">
        <v>0.4</v>
      </c>
      <c r="T58" s="81"/>
      <c r="U58" s="120">
        <v>0.4</v>
      </c>
      <c r="V58" s="81"/>
      <c r="W58" s="120">
        <v>0.4</v>
      </c>
      <c r="X58" s="81"/>
      <c r="Y58" s="120">
        <v>0.4</v>
      </c>
      <c r="Z58" s="83"/>
      <c r="AA58" s="120">
        <v>0.4</v>
      </c>
      <c r="AB58" s="83"/>
    </row>
    <row r="59" spans="1:28" x14ac:dyDescent="0.2">
      <c r="A59" s="72"/>
      <c r="B59" s="72" t="s">
        <v>92</v>
      </c>
      <c r="C59" s="72"/>
      <c r="D59" s="86">
        <v>3.1469424359208467E-4</v>
      </c>
      <c r="E59" s="81"/>
      <c r="F59" s="86"/>
      <c r="G59" s="81"/>
      <c r="H59" s="80"/>
      <c r="I59" s="81"/>
      <c r="J59" s="81"/>
      <c r="K59" s="81"/>
      <c r="L59" s="86"/>
      <c r="M59" s="81"/>
      <c r="N59" s="116"/>
      <c r="O59" s="81"/>
      <c r="P59" s="86"/>
      <c r="Q59" s="81"/>
      <c r="R59" s="81"/>
      <c r="S59" s="87"/>
      <c r="T59" s="80"/>
      <c r="U59" s="87"/>
      <c r="V59" s="80"/>
      <c r="W59" s="87"/>
      <c r="X59" s="80"/>
      <c r="Y59" s="80"/>
      <c r="Z59" s="83"/>
      <c r="AA59" s="83"/>
      <c r="AB59" s="83"/>
    </row>
    <row r="60" spans="1:28" x14ac:dyDescent="0.2">
      <c r="A60" s="72"/>
      <c r="B60" s="72" t="s">
        <v>93</v>
      </c>
      <c r="C60" s="120">
        <v>2.07E-2</v>
      </c>
      <c r="D60" s="86">
        <v>1.854963397629724E-4</v>
      </c>
      <c r="E60" s="120">
        <v>2.4299999999999999E-2</v>
      </c>
      <c r="F60" s="86">
        <v>2.8058683263545979E-3</v>
      </c>
      <c r="G60" s="120">
        <v>2.4299999999999999E-2</v>
      </c>
      <c r="H60" s="80">
        <v>5.9613144906648869E-3</v>
      </c>
      <c r="I60" s="120">
        <v>2.0799999999999999E-2</v>
      </c>
      <c r="J60" s="81">
        <v>6.2606965550141506E-3</v>
      </c>
      <c r="K60" s="120">
        <v>2.0799999999999999E-2</v>
      </c>
      <c r="L60" s="86">
        <v>1.3964682599327403E-2</v>
      </c>
      <c r="M60" s="120">
        <v>2.27411E-2</v>
      </c>
      <c r="N60" s="81">
        <v>2.941515265801381E-2</v>
      </c>
      <c r="O60" s="120">
        <v>1.6535747619047619E-2</v>
      </c>
      <c r="P60" s="86">
        <v>2.9406568312235339E-2</v>
      </c>
      <c r="Q60" s="120">
        <v>1.7592890476190476E-2</v>
      </c>
      <c r="R60" s="81">
        <v>3.4856672510416381E-2</v>
      </c>
      <c r="S60" s="120">
        <v>2.29E-2</v>
      </c>
      <c r="T60" s="81">
        <v>4.4896813844834689E-2</v>
      </c>
      <c r="U60" s="120">
        <v>2.29E-2</v>
      </c>
      <c r="V60" s="81">
        <v>4.5178905114053015E-2</v>
      </c>
      <c r="W60" s="120">
        <v>2.29E-2</v>
      </c>
      <c r="X60" s="81">
        <v>4.3542130743344884E-2</v>
      </c>
      <c r="Y60" s="120">
        <v>2.29E-2</v>
      </c>
      <c r="Z60" s="81">
        <v>4.0063407846138224E-2</v>
      </c>
      <c r="AA60" s="120">
        <v>2.29E-2</v>
      </c>
      <c r="AB60" s="81">
        <v>3.6686955634030204E-2</v>
      </c>
    </row>
    <row r="61" spans="1:28" x14ac:dyDescent="0.2">
      <c r="A61" s="72"/>
      <c r="B61" s="72" t="s">
        <v>94</v>
      </c>
      <c r="C61" s="120">
        <v>5.6733247692772937E-2</v>
      </c>
      <c r="D61" s="86">
        <v>7.1175525148916285E-3</v>
      </c>
      <c r="E61" s="120">
        <v>5.6043163287542455E-2</v>
      </c>
      <c r="F61" s="86">
        <v>9.0596556167953868E-2</v>
      </c>
      <c r="G61" s="120">
        <v>5.6043163287542455E-2</v>
      </c>
      <c r="H61" s="80">
        <v>0.19248036624371004</v>
      </c>
      <c r="I61" s="120">
        <v>5.0299999999999997E-2</v>
      </c>
      <c r="J61" s="81">
        <v>0.21196069779043097</v>
      </c>
      <c r="K61" s="120">
        <v>4.87E-2</v>
      </c>
      <c r="L61" s="86">
        <v>0.45774618251064542</v>
      </c>
      <c r="M61" s="120">
        <v>4.9097285575755177E-2</v>
      </c>
      <c r="N61" s="81">
        <v>0.88908883494066404</v>
      </c>
      <c r="O61" s="120">
        <v>4.7761714378376917E-2</v>
      </c>
      <c r="P61" s="86">
        <v>1.1891275849802487</v>
      </c>
      <c r="Q61" s="120">
        <v>4.4421389282556498E-2</v>
      </c>
      <c r="R61" s="81">
        <v>1.2321650891224698</v>
      </c>
      <c r="S61" s="120">
        <v>4.4723029633028433E-2</v>
      </c>
      <c r="T61" s="81">
        <v>1.2275502840242554</v>
      </c>
      <c r="U61" s="120">
        <v>4.4723029633028433E-2</v>
      </c>
      <c r="V61" s="81">
        <v>1.2352631078973808</v>
      </c>
      <c r="W61" s="120">
        <v>4.4723029633028433E-2</v>
      </c>
      <c r="X61" s="81">
        <v>1.1905110938549066</v>
      </c>
      <c r="Y61" s="120">
        <v>4.4723029633028433E-2</v>
      </c>
      <c r="Z61" s="81">
        <v>1.0953972780891357</v>
      </c>
      <c r="AA61" s="120">
        <v>4.4723029633028433E-2</v>
      </c>
      <c r="AB61" s="86">
        <v>1.0030797054816005</v>
      </c>
    </row>
    <row r="62" spans="1:28" x14ac:dyDescent="0.2">
      <c r="A62" s="72"/>
      <c r="B62" s="72" t="s">
        <v>95</v>
      </c>
      <c r="C62" s="120">
        <v>9.8500000000000004E-2</v>
      </c>
      <c r="D62" s="86">
        <v>8.8267581964506202E-3</v>
      </c>
      <c r="E62" s="120">
        <v>9.6600000000000005E-2</v>
      </c>
      <c r="F62" s="86">
        <v>0.11154192606002231</v>
      </c>
      <c r="G62" s="120">
        <v>9.6600000000000005E-2</v>
      </c>
      <c r="H62" s="80">
        <v>0.23698065012272762</v>
      </c>
      <c r="I62" s="120">
        <v>8.9300000000000004E-2</v>
      </c>
      <c r="J62" s="81">
        <v>0.26878855882825181</v>
      </c>
      <c r="K62" s="120">
        <v>9.3600000000000003E-2</v>
      </c>
      <c r="L62" s="86">
        <v>0.62841071696973327</v>
      </c>
      <c r="M62" s="120">
        <v>9.35E-2</v>
      </c>
      <c r="N62" s="81">
        <v>1.209403579213095</v>
      </c>
      <c r="O62" s="120">
        <v>9.1899999999999996E-2</v>
      </c>
      <c r="P62" s="86">
        <v>1.6343159620926029</v>
      </c>
      <c r="Q62" s="120">
        <v>8.77E-2</v>
      </c>
      <c r="R62" s="81">
        <v>1.7375940487440908</v>
      </c>
      <c r="S62" s="120">
        <v>0.09</v>
      </c>
      <c r="T62" s="81">
        <v>1.7645036008886996</v>
      </c>
      <c r="U62" s="120">
        <v>0.09</v>
      </c>
      <c r="V62" s="81">
        <v>1.775590157320861</v>
      </c>
      <c r="W62" s="120">
        <v>0.09</v>
      </c>
      <c r="X62" s="81">
        <v>1.7112627803061309</v>
      </c>
      <c r="Y62" s="120">
        <v>0.09</v>
      </c>
      <c r="Z62" s="81">
        <v>1.5745444131670043</v>
      </c>
      <c r="AA62" s="120">
        <v>0.09</v>
      </c>
      <c r="AB62" s="81">
        <v>1.4418454179313178</v>
      </c>
    </row>
    <row r="63" spans="1:28" x14ac:dyDescent="0.2">
      <c r="A63" s="72"/>
      <c r="B63" s="72"/>
      <c r="C63" s="72"/>
      <c r="D63" s="88">
        <v>1.6444501294697305E-2</v>
      </c>
      <c r="E63" s="81"/>
      <c r="F63" s="89">
        <v>0.20494435055433077</v>
      </c>
      <c r="G63" s="81"/>
      <c r="H63" s="157">
        <v>0.43542233085710258</v>
      </c>
      <c r="I63" s="81"/>
      <c r="J63" s="88">
        <v>0.48700995317369694</v>
      </c>
      <c r="K63" s="81"/>
      <c r="L63" s="89">
        <v>1.1001215820797061</v>
      </c>
      <c r="M63" s="81"/>
      <c r="N63" s="88">
        <v>2.1279075668117731</v>
      </c>
      <c r="O63" s="81"/>
      <c r="P63" s="89">
        <v>2.8528501153850869</v>
      </c>
      <c r="Q63" s="81"/>
      <c r="R63" s="88">
        <v>3.0046158103769773</v>
      </c>
      <c r="S63" s="81"/>
      <c r="T63" s="88">
        <v>3.0369506987577894</v>
      </c>
      <c r="U63" s="81"/>
      <c r="V63" s="88">
        <v>3.056032170332295</v>
      </c>
      <c r="W63" s="81"/>
      <c r="X63" s="88">
        <v>2.9453160049043823</v>
      </c>
      <c r="Y63" s="81"/>
      <c r="Z63" s="88">
        <v>2.7100050991022782</v>
      </c>
      <c r="AA63" s="83"/>
      <c r="AB63" s="88">
        <v>2.4816120790469487</v>
      </c>
    </row>
    <row r="64" spans="1:28" x14ac:dyDescent="0.2">
      <c r="A64" s="72"/>
      <c r="B64" s="72"/>
      <c r="C64" s="72"/>
      <c r="D64" s="81"/>
      <c r="E64" s="81"/>
      <c r="F64" s="86"/>
      <c r="G64" s="81"/>
      <c r="H64" s="80"/>
      <c r="I64" s="81"/>
      <c r="J64" s="81"/>
      <c r="K64" s="81"/>
      <c r="L64" s="86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3"/>
      <c r="AA64" s="83"/>
      <c r="AB64" s="83"/>
    </row>
    <row r="65" spans="1:32" ht="15.75" x14ac:dyDescent="0.25">
      <c r="A65" s="72"/>
      <c r="B65" s="72" t="s">
        <v>96</v>
      </c>
      <c r="C65" s="72"/>
      <c r="D65" s="81"/>
      <c r="E65" s="81"/>
      <c r="F65" s="90">
        <v>4.3416536268799995</v>
      </c>
      <c r="G65" s="81"/>
      <c r="H65" s="90">
        <v>4.1870026287547866</v>
      </c>
      <c r="I65" s="81"/>
      <c r="J65" s="90">
        <v>1.9777110480662603</v>
      </c>
      <c r="K65" s="81"/>
      <c r="L65" s="90">
        <v>1.3091366419662236</v>
      </c>
      <c r="M65" s="81"/>
      <c r="N65" s="90">
        <v>2.1101839999999998</v>
      </c>
      <c r="O65" s="81"/>
      <c r="P65" s="90">
        <v>2.3105334595165363</v>
      </c>
      <c r="Q65" s="81"/>
      <c r="R65" s="90">
        <v>2.3966210267061068</v>
      </c>
      <c r="S65" s="81"/>
      <c r="T65" s="90">
        <v>1.614195008351925</v>
      </c>
      <c r="U65" s="81"/>
      <c r="V65" s="90">
        <v>2.180050034333548</v>
      </c>
      <c r="W65" s="81"/>
      <c r="X65" s="90">
        <v>1.6642053169823894</v>
      </c>
      <c r="Y65" s="83"/>
      <c r="Z65" s="158">
        <v>2.02850149948984</v>
      </c>
      <c r="AA65" s="83"/>
      <c r="AB65" s="158">
        <v>1.9181458620799998</v>
      </c>
    </row>
    <row r="66" spans="1:32" x14ac:dyDescent="0.2">
      <c r="A66" s="72"/>
      <c r="B66" s="72" t="s">
        <v>97</v>
      </c>
      <c r="C66" s="72"/>
      <c r="D66" s="92">
        <v>1.3792127838484301E-2</v>
      </c>
      <c r="E66" s="81"/>
      <c r="F66" s="91">
        <v>0.14793243190635902</v>
      </c>
      <c r="G66" s="81"/>
      <c r="H66" s="92">
        <v>0.3579885379873784</v>
      </c>
      <c r="I66" s="81"/>
      <c r="J66" s="91">
        <v>0.4844222616421433</v>
      </c>
      <c r="K66" s="81"/>
      <c r="L66" s="93">
        <v>1.0890348068149283</v>
      </c>
      <c r="M66" s="81"/>
      <c r="N66" s="91">
        <v>1.8844796169504141</v>
      </c>
      <c r="O66" s="81"/>
      <c r="P66" s="91">
        <v>3.1659358183482325</v>
      </c>
      <c r="Q66" s="81"/>
      <c r="R66" s="91">
        <v>3.6300150151455601</v>
      </c>
      <c r="S66" s="81"/>
      <c r="T66" s="91">
        <v>3.808466481705183</v>
      </c>
      <c r="U66" s="81"/>
      <c r="V66" s="91">
        <v>4.1939801327082336</v>
      </c>
      <c r="W66" s="81"/>
      <c r="X66" s="91">
        <v>4.360451238506772</v>
      </c>
      <c r="Y66" s="83"/>
      <c r="Z66" s="91">
        <v>3.9501469576770507</v>
      </c>
      <c r="AA66" s="83"/>
      <c r="AB66" s="91">
        <v>4.0665297509391714</v>
      </c>
    </row>
    <row r="67" spans="1:32" x14ac:dyDescent="0.2">
      <c r="A67" s="72"/>
      <c r="B67" s="72" t="s">
        <v>98</v>
      </c>
      <c r="C67" s="72"/>
      <c r="D67" s="92">
        <v>1.8621786501121862E-3</v>
      </c>
      <c r="E67" s="81"/>
      <c r="F67" s="92">
        <v>2.4727057382131365E-2</v>
      </c>
      <c r="G67" s="81"/>
      <c r="H67" s="92">
        <v>4.7221056382234533E-2</v>
      </c>
      <c r="I67" s="81"/>
      <c r="J67" s="92">
        <v>5.7161089478111549E-2</v>
      </c>
      <c r="K67" s="81"/>
      <c r="L67" s="93">
        <v>0.12997389625378197</v>
      </c>
      <c r="M67" s="81"/>
      <c r="N67" s="92">
        <v>0.17555557517473963</v>
      </c>
      <c r="O67" s="81"/>
      <c r="P67" s="92">
        <v>0.44354079522607959</v>
      </c>
      <c r="Q67" s="81"/>
      <c r="R67" s="92">
        <v>0.50750848421692629</v>
      </c>
      <c r="S67" s="81"/>
      <c r="T67" s="92">
        <v>0.60169686158859825</v>
      </c>
      <c r="U67" s="81"/>
      <c r="V67" s="92">
        <v>0.73430957024491383</v>
      </c>
      <c r="W67" s="81"/>
      <c r="X67" s="92">
        <v>0.81158609859364406</v>
      </c>
      <c r="Y67" s="83"/>
      <c r="Z67" s="92">
        <v>0.71505173919904053</v>
      </c>
      <c r="AA67" s="83"/>
      <c r="AB67" s="92">
        <v>0.80087937468589709</v>
      </c>
    </row>
    <row r="68" spans="1:32" x14ac:dyDescent="0.2">
      <c r="A68" s="72"/>
      <c r="B68" s="72"/>
      <c r="C68" s="72"/>
      <c r="D68" s="81"/>
      <c r="E68" s="81"/>
      <c r="F68" s="81"/>
      <c r="G68" s="81"/>
      <c r="H68" s="80"/>
      <c r="I68" s="81"/>
      <c r="J68" s="81"/>
      <c r="K68" s="81"/>
      <c r="L68" s="86"/>
      <c r="M68" s="81"/>
      <c r="N68" s="116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3"/>
      <c r="Z68" s="83"/>
      <c r="AA68" s="83"/>
      <c r="AB68" s="83"/>
    </row>
    <row r="69" spans="1:32" s="96" customFormat="1" ht="15.75" x14ac:dyDescent="0.25">
      <c r="A69" s="4"/>
      <c r="B69" s="4" t="s">
        <v>99</v>
      </c>
      <c r="C69" s="4"/>
      <c r="D69" s="169">
        <v>3.2098807783293791E-2</v>
      </c>
      <c r="E69" s="94"/>
      <c r="F69" s="169">
        <v>4.7192574667228202</v>
      </c>
      <c r="G69" s="94"/>
      <c r="H69" s="170">
        <v>5.0276345539815015</v>
      </c>
      <c r="I69" s="94"/>
      <c r="J69" s="169">
        <v>3.0063043523602122</v>
      </c>
      <c r="K69" s="94"/>
      <c r="L69" s="169">
        <v>3.6282669271146402</v>
      </c>
      <c r="M69" s="94"/>
      <c r="N69" s="169">
        <v>6.2981267589369274</v>
      </c>
      <c r="O69" s="94"/>
      <c r="P69" s="169">
        <v>8.772860188475935</v>
      </c>
      <c r="Q69" s="94"/>
      <c r="R69" s="169">
        <v>9.53876033644557</v>
      </c>
      <c r="S69" s="94"/>
      <c r="T69" s="169">
        <v>9.0613090504034961</v>
      </c>
      <c r="U69" s="94"/>
      <c r="V69" s="169">
        <v>10.164371907618991</v>
      </c>
      <c r="W69" s="94"/>
      <c r="X69" s="169">
        <v>9.781558658987187</v>
      </c>
      <c r="Y69" s="94"/>
      <c r="Z69" s="169">
        <v>9.4037052954682103</v>
      </c>
      <c r="AA69" s="95"/>
      <c r="AB69" s="169">
        <v>9.2671670667520161</v>
      </c>
      <c r="AF69" s="95"/>
    </row>
    <row r="70" spans="1:32" s="96" customFormat="1" ht="15.75" x14ac:dyDescent="0.25">
      <c r="A70" s="4"/>
      <c r="B70" s="4"/>
      <c r="C70" s="4"/>
      <c r="D70" s="94"/>
      <c r="E70" s="94"/>
      <c r="F70" s="94"/>
      <c r="G70" s="94"/>
      <c r="H70" s="171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5"/>
      <c r="AA70" s="95"/>
      <c r="AB70" s="95"/>
    </row>
    <row r="71" spans="1:32" s="96" customFormat="1" ht="15.75" x14ac:dyDescent="0.25">
      <c r="A71" s="4"/>
      <c r="B71" s="4"/>
      <c r="C71" s="4"/>
      <c r="D71" s="94"/>
      <c r="E71" s="94"/>
      <c r="F71" s="94"/>
      <c r="G71" s="94"/>
      <c r="H71" s="171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7"/>
      <c r="U71" s="98"/>
      <c r="V71" s="97"/>
      <c r="W71" s="98"/>
      <c r="X71" s="97"/>
      <c r="Y71" s="97"/>
      <c r="Z71" s="95"/>
      <c r="AA71" s="95"/>
      <c r="AB71" s="95"/>
    </row>
    <row r="72" spans="1:32" x14ac:dyDescent="0.2">
      <c r="A72" s="72"/>
      <c r="B72" s="72"/>
      <c r="C72" s="72"/>
      <c r="D72" s="81"/>
      <c r="E72" s="81"/>
      <c r="F72" s="81"/>
      <c r="G72" s="81"/>
      <c r="H72" s="80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3"/>
      <c r="AA72" s="83"/>
      <c r="AB72" s="83"/>
    </row>
    <row r="73" spans="1:32" x14ac:dyDescent="0.2">
      <c r="A73" s="72"/>
      <c r="B73" s="72"/>
      <c r="C73" s="72"/>
      <c r="D73" s="81"/>
      <c r="E73" s="81"/>
      <c r="F73" s="81"/>
      <c r="G73" s="81"/>
      <c r="H73" s="80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3"/>
      <c r="AA73" s="83"/>
      <c r="AB73" s="83"/>
    </row>
    <row r="74" spans="1:32" ht="16.5" customHeight="1" x14ac:dyDescent="0.25">
      <c r="B74" s="4" t="s">
        <v>115</v>
      </c>
      <c r="D74" s="187">
        <f t="shared" ref="D74:AB74" si="0">D28-D69</f>
        <v>-2.0197510459710917E-3</v>
      </c>
      <c r="E74" s="81"/>
      <c r="F74" s="187">
        <f t="shared" si="0"/>
        <v>6.3857198389544401E-2</v>
      </c>
      <c r="G74" s="81"/>
      <c r="H74" s="187">
        <f t="shared" si="0"/>
        <v>-0.31960954765099103</v>
      </c>
      <c r="I74" s="81"/>
      <c r="J74" s="187">
        <f t="shared" si="0"/>
        <v>-8.8312935408211057E-2</v>
      </c>
      <c r="K74" s="81"/>
      <c r="L74" s="187">
        <f t="shared" si="0"/>
        <v>-1.5709686739407314E-2</v>
      </c>
      <c r="M74" s="81"/>
      <c r="N74" s="187">
        <f t="shared" si="0"/>
        <v>-1.1160449734781253E-2</v>
      </c>
      <c r="O74" s="81"/>
      <c r="P74" s="187">
        <f t="shared" si="0"/>
        <v>-0.2704072071913739</v>
      </c>
      <c r="Q74" s="81"/>
      <c r="R74" s="187">
        <f t="shared" si="0"/>
        <v>0.21540252966048001</v>
      </c>
      <c r="S74" s="81"/>
      <c r="T74" s="187">
        <f t="shared" si="0"/>
        <v>-8.853987547318809E-3</v>
      </c>
      <c r="U74" s="81"/>
      <c r="V74" s="187">
        <f t="shared" si="0"/>
        <v>-0.3699477691167754</v>
      </c>
      <c r="W74" s="81"/>
      <c r="X74" s="187">
        <f t="shared" si="0"/>
        <v>0.10609375786737552</v>
      </c>
      <c r="Y74" s="81"/>
      <c r="Z74" s="187">
        <f t="shared" si="0"/>
        <v>0.1001289688803233</v>
      </c>
      <c r="AA74" s="81"/>
      <c r="AB74" s="187">
        <f t="shared" si="0"/>
        <v>-8.6191851538970354E-3</v>
      </c>
    </row>
    <row r="76" spans="1:32" x14ac:dyDescent="0.2">
      <c r="C76" s="72"/>
      <c r="D76" s="72"/>
      <c r="E76" s="72"/>
      <c r="F76" s="72"/>
      <c r="G76" s="72"/>
      <c r="H76" s="75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</row>
    <row r="77" spans="1:32" x14ac:dyDescent="0.2">
      <c r="A77" s="72" t="s">
        <v>13</v>
      </c>
      <c r="B77" s="72"/>
      <c r="C77" s="72"/>
      <c r="D77" s="72"/>
      <c r="E77" s="72"/>
      <c r="F77" s="72"/>
      <c r="G77" s="72"/>
      <c r="H77" s="75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AB77" s="172">
        <f>SUM(D74:AB74)</f>
        <v>-0.60915806479100365</v>
      </c>
      <c r="AC77" s="76" t="s">
        <v>107</v>
      </c>
    </row>
    <row r="78" spans="1:32" x14ac:dyDescent="0.2">
      <c r="C78" s="72"/>
      <c r="D78" s="72"/>
      <c r="E78" s="72"/>
      <c r="F78" s="72"/>
      <c r="G78" s="72"/>
      <c r="H78" s="75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</row>
    <row r="79" spans="1:32" x14ac:dyDescent="0.2">
      <c r="A79" s="99" t="s">
        <v>15</v>
      </c>
      <c r="B79" s="72" t="s">
        <v>106</v>
      </c>
      <c r="C79" s="72"/>
      <c r="D79" s="72"/>
      <c r="E79" s="72"/>
      <c r="F79" s="72"/>
      <c r="G79" s="72"/>
      <c r="H79" s="75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</row>
    <row r="80" spans="1:32" ht="15" customHeight="1" x14ac:dyDescent="0.2">
      <c r="A80" s="99" t="s">
        <v>17</v>
      </c>
      <c r="B80" s="72" t="s">
        <v>102</v>
      </c>
    </row>
    <row r="81" spans="1:2" ht="15" customHeight="1" x14ac:dyDescent="0.2">
      <c r="A81" s="99" t="s">
        <v>103</v>
      </c>
      <c r="B81" s="72" t="s">
        <v>116</v>
      </c>
    </row>
  </sheetData>
  <mergeCells count="26">
    <mergeCell ref="Q8:R8"/>
    <mergeCell ref="S8:T8"/>
    <mergeCell ref="U8:V8"/>
    <mergeCell ref="W8:X8"/>
    <mergeCell ref="Y8:Z8"/>
    <mergeCell ref="E8:F8"/>
    <mergeCell ref="G8:H8"/>
    <mergeCell ref="I8:J8"/>
    <mergeCell ref="K8:L8"/>
    <mergeCell ref="M8:N8"/>
    <mergeCell ref="AA8:AB8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O8:P8"/>
    <mergeCell ref="C8:D8"/>
  </mergeCells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39"/>
  <sheetViews>
    <sheetView zoomScale="70" zoomScaleNormal="70" zoomScaleSheetLayoutView="7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D25" sqref="D25"/>
    </sheetView>
  </sheetViews>
  <sheetFormatPr defaultColWidth="8.77734375" defaultRowHeight="15" x14ac:dyDescent="0.25"/>
  <cols>
    <col min="1" max="1" width="3" style="1" customWidth="1"/>
    <col min="2" max="2" width="162.21875" style="1" customWidth="1"/>
    <col min="3" max="3" width="6.44140625" style="1" bestFit="1" customWidth="1"/>
    <col min="4" max="4" width="10.109375" style="1" bestFit="1" customWidth="1"/>
    <col min="5" max="5" width="6.44140625" style="1" bestFit="1" customWidth="1"/>
    <col min="6" max="6" width="10.109375" style="1" bestFit="1" customWidth="1"/>
    <col min="7" max="7" width="6.44140625" style="1" bestFit="1" customWidth="1"/>
    <col min="8" max="8" width="10.109375" style="1" bestFit="1" customWidth="1"/>
    <col min="9" max="9" width="6.44140625" style="1" bestFit="1" customWidth="1"/>
    <col min="10" max="10" width="10.77734375" style="1" bestFit="1" customWidth="1"/>
    <col min="11" max="11" width="6.44140625" style="1" bestFit="1" customWidth="1"/>
    <col min="12" max="12" width="10.77734375" style="1" bestFit="1" customWidth="1"/>
    <col min="13" max="13" width="6.44140625" style="1" bestFit="1" customWidth="1"/>
    <col min="14" max="14" width="10.77734375" style="1" bestFit="1" customWidth="1"/>
    <col min="15" max="15" width="6.44140625" style="1" bestFit="1" customWidth="1"/>
    <col min="16" max="16" width="10.109375" style="1" bestFit="1" customWidth="1"/>
    <col min="17" max="17" width="7.109375" style="1" customWidth="1"/>
    <col min="18" max="18" width="10.77734375" style="1" customWidth="1"/>
    <col min="19" max="19" width="8.77734375" style="1" customWidth="1"/>
    <col min="20" max="20" width="10.77734375" style="1" customWidth="1"/>
    <col min="21" max="21" width="7.109375" style="1" customWidth="1"/>
    <col min="22" max="23" width="10.77734375" style="1" customWidth="1"/>
    <col min="24" max="24" width="10.109375" style="1" bestFit="1" customWidth="1"/>
    <col min="25" max="25" width="8.77734375" style="1"/>
    <col min="26" max="26" width="10.109375" style="1" bestFit="1" customWidth="1"/>
    <col min="27" max="27" width="11.77734375" style="1" customWidth="1"/>
    <col min="28" max="28" width="10.109375" style="1" bestFit="1" customWidth="1"/>
    <col min="29" max="16384" width="8.77734375" style="1"/>
  </cols>
  <sheetData>
    <row r="1" spans="1:28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8" ht="15.75" x14ac:dyDescent="0.25">
      <c r="A2" s="33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3"/>
      <c r="R2" s="33"/>
      <c r="S2" s="33"/>
      <c r="T2" s="33"/>
      <c r="U2" s="33"/>
      <c r="V2" s="33"/>
      <c r="W2" s="33"/>
    </row>
    <row r="3" spans="1:28" ht="15.75" x14ac:dyDescent="0.25">
      <c r="A3" s="33"/>
      <c r="B3" s="35" t="s">
        <v>85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3"/>
      <c r="R3" s="33"/>
      <c r="S3" s="33"/>
      <c r="T3" s="33"/>
      <c r="U3" s="33"/>
      <c r="V3" s="33"/>
      <c r="W3" s="33"/>
    </row>
    <row r="4" spans="1:28" ht="15.75" x14ac:dyDescent="0.25">
      <c r="A4" s="33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3"/>
      <c r="R4" s="33"/>
      <c r="S4" s="33"/>
      <c r="T4" s="33"/>
      <c r="U4" s="33"/>
      <c r="V4" s="33"/>
      <c r="W4" s="33"/>
    </row>
    <row r="5" spans="1:28" ht="15.75" x14ac:dyDescent="0.25">
      <c r="A5" s="3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3"/>
      <c r="R5" s="33"/>
      <c r="S5" s="33"/>
      <c r="T5" s="33"/>
      <c r="U5" s="33"/>
      <c r="V5" s="33"/>
      <c r="W5" s="33"/>
    </row>
    <row r="6" spans="1:28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8" ht="16.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8" s="2" customFormat="1" ht="27.75" customHeight="1" thickBot="1" x14ac:dyDescent="0.25">
      <c r="A8" s="36"/>
      <c r="B8" s="36"/>
      <c r="C8" s="198">
        <v>2011</v>
      </c>
      <c r="D8" s="196"/>
      <c r="E8" s="198">
        <v>2012</v>
      </c>
      <c r="F8" s="196"/>
      <c r="G8" s="198">
        <v>2013</v>
      </c>
      <c r="H8" s="196"/>
      <c r="I8" s="198">
        <v>2014</v>
      </c>
      <c r="J8" s="196"/>
      <c r="K8" s="198">
        <v>2015</v>
      </c>
      <c r="L8" s="196"/>
      <c r="M8" s="198">
        <v>2016</v>
      </c>
      <c r="N8" s="196"/>
      <c r="O8" s="198">
        <v>2017</v>
      </c>
      <c r="P8" s="196"/>
      <c r="Q8" s="199">
        <v>2018</v>
      </c>
      <c r="R8" s="200"/>
      <c r="S8" s="198">
        <v>2019</v>
      </c>
      <c r="T8" s="200"/>
      <c r="U8" s="198">
        <v>2020</v>
      </c>
      <c r="V8" s="200"/>
      <c r="W8" s="201">
        <v>2021</v>
      </c>
      <c r="X8" s="202"/>
      <c r="Y8" s="201">
        <v>2022</v>
      </c>
      <c r="Z8" s="202"/>
      <c r="AA8" s="201">
        <v>2023</v>
      </c>
      <c r="AB8" s="202"/>
    </row>
    <row r="9" spans="1:28" ht="15.75" x14ac:dyDescent="0.25">
      <c r="A9" s="33"/>
      <c r="B9" s="33" t="s">
        <v>86</v>
      </c>
      <c r="C9" s="33"/>
      <c r="D9" s="38">
        <v>2.237255160162507</v>
      </c>
      <c r="E9" s="33"/>
      <c r="F9" s="38">
        <v>5.2938785463810358</v>
      </c>
      <c r="G9" s="33"/>
      <c r="H9" s="38">
        <v>6.9197644512603578</v>
      </c>
      <c r="I9" s="33"/>
      <c r="J9" s="38">
        <v>16.858336533100115</v>
      </c>
      <c r="K9" s="33"/>
      <c r="L9" s="38">
        <v>32.674624420540198</v>
      </c>
      <c r="M9" s="33"/>
      <c r="N9" s="38">
        <v>44.085276722040845</v>
      </c>
      <c r="O9" s="33"/>
      <c r="P9" s="38">
        <v>49.274288992138011</v>
      </c>
      <c r="Q9" s="37"/>
      <c r="R9" s="38">
        <v>49.597386263235556</v>
      </c>
      <c r="S9" s="37"/>
      <c r="T9" s="38">
        <v>49.972824621500394</v>
      </c>
      <c r="U9" s="37"/>
      <c r="V9" s="38">
        <v>48.182185833643096</v>
      </c>
      <c r="W9" s="38"/>
      <c r="X9" s="38">
        <v>44.365073621318132</v>
      </c>
      <c r="Z9" s="56">
        <v>40.640268292944171</v>
      </c>
      <c r="AB9" s="56">
        <v>37.475017161816197</v>
      </c>
    </row>
    <row r="10" spans="1:28" ht="15.75" x14ac:dyDescent="0.25">
      <c r="A10" s="33"/>
      <c r="B10" s="33" t="s">
        <v>47</v>
      </c>
      <c r="C10" s="40">
        <v>0</v>
      </c>
      <c r="D10" s="33"/>
      <c r="E10" s="40">
        <v>3.9208334399030291</v>
      </c>
      <c r="F10" s="33"/>
      <c r="G10" s="40">
        <v>1.9491219314433545</v>
      </c>
      <c r="H10" s="33"/>
      <c r="I10" s="40">
        <v>1.2762049409690188</v>
      </c>
      <c r="J10" s="33"/>
      <c r="K10" s="40">
        <v>1.8491774569330797</v>
      </c>
      <c r="L10" s="33"/>
      <c r="M10" s="40">
        <v>2.05466792564</v>
      </c>
      <c r="N10" s="33"/>
      <c r="O10" s="40">
        <f>P24</f>
        <v>2.6065995360000001</v>
      </c>
      <c r="P10" s="33"/>
      <c r="Q10" s="40">
        <f>R24</f>
        <v>1.5066996725199997</v>
      </c>
      <c r="R10" s="39"/>
      <c r="S10" s="40">
        <f>T24</f>
        <v>1.6926743119999998</v>
      </c>
      <c r="T10" s="33"/>
      <c r="U10" s="40">
        <f>V24</f>
        <v>1.6501343037999998</v>
      </c>
      <c r="V10" s="33"/>
      <c r="W10" s="40">
        <f>X24</f>
        <v>2.0120534958</v>
      </c>
      <c r="Y10" s="40">
        <f>Z24</f>
        <v>1.7963951577999999</v>
      </c>
      <c r="AA10" s="40">
        <f>1805719.62978/1000000</f>
        <v>1.80571962978</v>
      </c>
    </row>
    <row r="11" spans="1:28" ht="15.75" x14ac:dyDescent="0.25">
      <c r="A11" s="33"/>
      <c r="B11" s="33" t="s">
        <v>87</v>
      </c>
      <c r="C11" s="41">
        <v>0.11460610407981904</v>
      </c>
      <c r="D11" s="42">
        <f>C10*C11</f>
        <v>0</v>
      </c>
      <c r="E11" s="41">
        <v>0.11460610407981904</v>
      </c>
      <c r="F11" s="42">
        <f>E10*E11</f>
        <v>0.44935144529316146</v>
      </c>
      <c r="G11" s="41">
        <v>8.8982804471731458E-2</v>
      </c>
      <c r="H11" s="42">
        <f>G10*G11</f>
        <v>0.17343833571718759</v>
      </c>
      <c r="I11" s="41">
        <v>7.5708076003970795E-2</v>
      </c>
      <c r="J11" s="42">
        <f>I10*I11</f>
        <v>9.6619020667525535E-2</v>
      </c>
      <c r="K11" s="41">
        <v>7.4057363231460172E-2</v>
      </c>
      <c r="L11" s="42">
        <f>K10*K11</f>
        <v>0.13694520660752088</v>
      </c>
      <c r="M11" s="41">
        <v>6.838162194320932E-2</v>
      </c>
      <c r="N11" s="42">
        <f>M10*M11</f>
        <v>0.14050152530995261</v>
      </c>
      <c r="O11" s="41">
        <v>7.7168625635264637E-2</v>
      </c>
      <c r="P11" s="42">
        <f>O10*O11</f>
        <v>0.2011477037746385</v>
      </c>
      <c r="Q11" s="41">
        <v>7.7026292740134811E-2</v>
      </c>
      <c r="R11" s="42">
        <f>Q10*Q11</f>
        <v>0.11605549004699076</v>
      </c>
      <c r="S11" s="41">
        <v>7.7778449156050394E-2</v>
      </c>
      <c r="T11" s="42">
        <f>S10*S11</f>
        <v>0.13165358291364457</v>
      </c>
      <c r="U11" s="41">
        <v>7.7737229269662075E-2</v>
      </c>
      <c r="V11" s="42">
        <f>U10*U11</f>
        <v>0.1282768687002348</v>
      </c>
      <c r="W11" s="41">
        <v>7.6999999999999999E-2</v>
      </c>
      <c r="X11" s="42">
        <f>W10*W11</f>
        <v>0.15492811917659999</v>
      </c>
      <c r="Y11" s="41">
        <v>6.0999999999999999E-2</v>
      </c>
      <c r="Z11" s="42">
        <f>Y10*Y11</f>
        <v>0.10958010462579999</v>
      </c>
      <c r="AA11" s="41">
        <v>6.2406648043844291E-2</v>
      </c>
      <c r="AB11" s="42">
        <f>AA10*AA11</f>
        <v>0.11268890940154128</v>
      </c>
    </row>
    <row r="12" spans="1:28" ht="15.75" x14ac:dyDescent="0.25">
      <c r="A12" s="33"/>
      <c r="B12" s="33" t="s">
        <v>88</v>
      </c>
      <c r="C12" s="33"/>
      <c r="D12" s="64">
        <f>SUM(D9:D11)</f>
        <v>2.237255160162507</v>
      </c>
      <c r="E12" s="33"/>
      <c r="F12" s="64">
        <f>SUM(F9:F11)</f>
        <v>5.7432299916741973</v>
      </c>
      <c r="G12" s="33"/>
      <c r="H12" s="64">
        <f>SUM(H9:H11)</f>
        <v>7.0932027869775451</v>
      </c>
      <c r="I12" s="33"/>
      <c r="J12" s="64">
        <f>SUM(J9:J11)</f>
        <v>16.95495555376764</v>
      </c>
      <c r="K12" s="33"/>
      <c r="L12" s="64">
        <f>SUM(L9:L11)</f>
        <v>32.811569627147719</v>
      </c>
      <c r="M12" s="33"/>
      <c r="N12" s="64">
        <f>SUM(N9:N11)</f>
        <v>44.225778247350796</v>
      </c>
      <c r="O12" s="33"/>
      <c r="P12" s="39">
        <f>SUM(P9:P11)</f>
        <v>49.475436695912649</v>
      </c>
      <c r="Q12" s="33"/>
      <c r="R12" s="39">
        <f>SUM(R9:R11)</f>
        <v>49.713441753282545</v>
      </c>
      <c r="S12" s="33"/>
      <c r="T12" s="39">
        <f>SUM(T9:T11)</f>
        <v>50.104478204414036</v>
      </c>
      <c r="U12" s="33"/>
      <c r="V12" s="39">
        <f>SUM(V9:V11)</f>
        <v>48.31046270234333</v>
      </c>
      <c r="W12" s="39"/>
      <c r="X12" s="39">
        <f>SUM(X9:X11)</f>
        <v>44.520001740494735</v>
      </c>
      <c r="Z12" s="39">
        <f>SUM(Z9:Z11)</f>
        <v>40.74984839756997</v>
      </c>
      <c r="AA12" s="33"/>
      <c r="AB12" s="56">
        <f>SUM(AB9:AB11)</f>
        <v>37.587706071217738</v>
      </c>
    </row>
    <row r="13" spans="1:28" ht="15.7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8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8" ht="15.75" x14ac:dyDescent="0.25">
      <c r="A15" s="33"/>
      <c r="B15" s="33" t="s">
        <v>89</v>
      </c>
      <c r="C15" s="43">
        <v>0.04</v>
      </c>
      <c r="D15" s="33"/>
      <c r="E15" s="43">
        <v>0.04</v>
      </c>
      <c r="F15" s="33"/>
      <c r="G15" s="43">
        <v>0.04</v>
      </c>
      <c r="H15" s="33"/>
      <c r="I15" s="43">
        <v>0.04</v>
      </c>
      <c r="J15" s="33"/>
      <c r="K15" s="43">
        <v>0.04</v>
      </c>
      <c r="L15" s="33"/>
      <c r="M15" s="43">
        <v>0.04</v>
      </c>
      <c r="N15" s="33"/>
      <c r="O15" s="43">
        <v>0.04</v>
      </c>
      <c r="P15" s="33"/>
      <c r="Q15" s="43">
        <v>0.04</v>
      </c>
      <c r="R15" s="44"/>
      <c r="S15" s="43">
        <v>0.04</v>
      </c>
      <c r="T15" s="44"/>
      <c r="U15" s="43">
        <v>0.04</v>
      </c>
      <c r="V15" s="44"/>
      <c r="W15" s="43">
        <v>0.04</v>
      </c>
      <c r="Y15" s="43">
        <v>0.04</v>
      </c>
      <c r="AA15" s="43">
        <v>0.04</v>
      </c>
    </row>
    <row r="16" spans="1:28" ht="15.75" x14ac:dyDescent="0.25">
      <c r="A16" s="33"/>
      <c r="B16" s="33" t="s">
        <v>90</v>
      </c>
      <c r="C16" s="43">
        <v>0.56000000000000005</v>
      </c>
      <c r="D16" s="33"/>
      <c r="E16" s="43">
        <v>0.56000000000000005</v>
      </c>
      <c r="F16" s="33"/>
      <c r="G16" s="43">
        <v>0.56000000000000005</v>
      </c>
      <c r="H16" s="33"/>
      <c r="I16" s="43">
        <v>0.56000000000000005</v>
      </c>
      <c r="J16" s="33"/>
      <c r="K16" s="43">
        <v>0.56000000000000005</v>
      </c>
      <c r="L16" s="33"/>
      <c r="M16" s="43">
        <v>0.56000000000000005</v>
      </c>
      <c r="N16" s="33"/>
      <c r="O16" s="43">
        <v>0.56000000000000005</v>
      </c>
      <c r="P16" s="33"/>
      <c r="Q16" s="43">
        <v>0.56000000000000005</v>
      </c>
      <c r="R16" s="44"/>
      <c r="S16" s="43">
        <v>0.56000000000000005</v>
      </c>
      <c r="T16" s="44"/>
      <c r="U16" s="43">
        <v>0.56000000000000005</v>
      </c>
      <c r="V16" s="44"/>
      <c r="W16" s="43">
        <v>0.56000000000000005</v>
      </c>
      <c r="Y16" s="43">
        <v>0.56000000000000005</v>
      </c>
      <c r="AA16" s="43">
        <v>0.56000000000000005</v>
      </c>
    </row>
    <row r="17" spans="1:28" ht="15.75" x14ac:dyDescent="0.25">
      <c r="A17" s="33"/>
      <c r="B17" s="33" t="s">
        <v>91</v>
      </c>
      <c r="C17" s="43">
        <v>0.4</v>
      </c>
      <c r="D17" s="33"/>
      <c r="E17" s="43">
        <v>0.4</v>
      </c>
      <c r="F17" s="33"/>
      <c r="G17" s="43">
        <v>0.4</v>
      </c>
      <c r="H17" s="33"/>
      <c r="I17" s="43">
        <v>0.4</v>
      </c>
      <c r="J17" s="33"/>
      <c r="K17" s="43">
        <v>0.4</v>
      </c>
      <c r="L17" s="33"/>
      <c r="M17" s="43">
        <v>0.4</v>
      </c>
      <c r="N17" s="33"/>
      <c r="O17" s="43">
        <v>0.4</v>
      </c>
      <c r="P17" s="33"/>
      <c r="Q17" s="43">
        <v>0.4</v>
      </c>
      <c r="R17" s="44"/>
      <c r="S17" s="43">
        <v>0.4</v>
      </c>
      <c r="T17" s="44"/>
      <c r="U17" s="43">
        <v>0.4</v>
      </c>
      <c r="V17" s="44"/>
      <c r="W17" s="43">
        <v>0.4</v>
      </c>
      <c r="Y17" s="43">
        <v>0.4</v>
      </c>
      <c r="AA17" s="43">
        <v>0.4</v>
      </c>
    </row>
    <row r="18" spans="1:28" ht="15.7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46"/>
      <c r="R18" s="45"/>
      <c r="S18" s="46"/>
      <c r="T18" s="45"/>
      <c r="U18" s="46"/>
      <c r="V18" s="45"/>
      <c r="W18" s="45"/>
    </row>
    <row r="19" spans="1:28" ht="15.75" x14ac:dyDescent="0.25">
      <c r="A19" s="33"/>
      <c r="B19" s="33" t="s">
        <v>93</v>
      </c>
      <c r="C19" s="47">
        <v>2.4299999999999999E-2</v>
      </c>
      <c r="D19" s="39">
        <f>$D$12*C15*C19</f>
        <v>2.1746120156779566E-3</v>
      </c>
      <c r="E19" s="47">
        <v>2.4299999999999999E-2</v>
      </c>
      <c r="F19" s="39">
        <f>$F$12*E15*E19</f>
        <v>5.5824195519073192E-3</v>
      </c>
      <c r="G19" s="47">
        <v>2.0799999999999999E-2</v>
      </c>
      <c r="H19" s="39">
        <f>$H$12*G15*G19</f>
        <v>5.901544718765318E-3</v>
      </c>
      <c r="I19" s="47">
        <v>2.0799999999999999E-2</v>
      </c>
      <c r="J19" s="39">
        <f>$J$12*I15*I19</f>
        <v>1.4106523020734675E-2</v>
      </c>
      <c r="K19" s="47">
        <v>2.27411E-2</v>
      </c>
      <c r="L19" s="39">
        <f>$L$12*K15*K19</f>
        <v>2.9846847441917158E-2</v>
      </c>
      <c r="M19" s="47">
        <v>1.6535747619047619E-2</v>
      </c>
      <c r="N19" s="39">
        <f>$N$12*M15*M19</f>
        <v>2.9252252294166354E-2</v>
      </c>
      <c r="O19" s="47">
        <v>1.7592890476190476E-2</v>
      </c>
      <c r="P19" s="39">
        <f>$P$12*O15*O19</f>
        <v>3.4816637562115456E-2</v>
      </c>
      <c r="Q19" s="47">
        <v>2.29E-2</v>
      </c>
      <c r="R19" s="39">
        <f>$R$12*Q15*Q19</f>
        <v>4.5537512646006813E-2</v>
      </c>
      <c r="S19" s="47">
        <v>2.29E-2</v>
      </c>
      <c r="T19" s="39">
        <f>$T$12*S15*S19</f>
        <v>4.5895702035243256E-2</v>
      </c>
      <c r="U19" s="47">
        <v>2.29E-2</v>
      </c>
      <c r="V19" s="39">
        <f>$V$12*U15*U19</f>
        <v>4.4252383835346493E-2</v>
      </c>
      <c r="W19" s="47">
        <v>2.29E-2</v>
      </c>
      <c r="X19" s="39">
        <f>$V$12*W15*W19</f>
        <v>4.4252383835346493E-2</v>
      </c>
      <c r="Y19" s="47">
        <v>2.29E-2</v>
      </c>
      <c r="Z19" s="39">
        <f>$Z$12*Y15*Y19</f>
        <v>3.7326861132174094E-2</v>
      </c>
      <c r="AA19" s="47">
        <v>2.29E-2</v>
      </c>
      <c r="AB19" s="39">
        <f>$AB$12*AA15*AA19</f>
        <v>3.4430338761235454E-2</v>
      </c>
    </row>
    <row r="20" spans="1:28" ht="15.75" x14ac:dyDescent="0.25">
      <c r="A20" s="33"/>
      <c r="B20" s="33" t="s">
        <v>94</v>
      </c>
      <c r="C20" s="47">
        <v>5.6043163287542455E-2</v>
      </c>
      <c r="D20" s="39">
        <f>$D$12*C16*C20</f>
        <v>7.0214399503855232E-2</v>
      </c>
      <c r="E20" s="47">
        <v>5.6043163287542455E-2</v>
      </c>
      <c r="F20" s="39">
        <f>$F$12*E16*E20</f>
        <v>0.18024651468393257</v>
      </c>
      <c r="G20" s="47">
        <v>5.0299999999999997E-2</v>
      </c>
      <c r="H20" s="39">
        <f>$H$12*G16*G20</f>
        <v>0.1998013361035835</v>
      </c>
      <c r="I20" s="47">
        <v>4.87E-2</v>
      </c>
      <c r="J20" s="39">
        <f>$J$12*I16*I20</f>
        <v>0.4623955478623511</v>
      </c>
      <c r="K20" s="47">
        <v>4.9097285575755177E-2</v>
      </c>
      <c r="L20" s="39">
        <f>$L$12*K16*K20</f>
        <v>0.90213704233679404</v>
      </c>
      <c r="M20" s="47">
        <v>4.7761714378376917E-2</v>
      </c>
      <c r="N20" s="39">
        <f>$N$12*M16*M20</f>
        <v>1.1828874337343862</v>
      </c>
      <c r="O20" s="47">
        <v>4.4421389282556498E-2</v>
      </c>
      <c r="P20" s="39">
        <f>$P$12*O16*O20</f>
        <v>1.2307498747004255</v>
      </c>
      <c r="Q20" s="47">
        <v>4.4723029633028433E-2</v>
      </c>
      <c r="R20" s="39">
        <f>$R$12*Q16*Q20</f>
        <v>1.2450680080674574</v>
      </c>
      <c r="S20" s="47">
        <v>4.4723029633028433E-2</v>
      </c>
      <c r="T20" s="39">
        <f>$T$12*S16*S20</f>
        <v>1.2548614755507244</v>
      </c>
      <c r="U20" s="47">
        <v>4.4723029633028433E-2</v>
      </c>
      <c r="V20" s="39">
        <f>$V$12*U16*U20</f>
        <v>1.2099305428124409</v>
      </c>
      <c r="W20" s="47">
        <v>4.4723029633028433E-2</v>
      </c>
      <c r="X20" s="39">
        <f>$X$12*W16*W20</f>
        <v>1.1149988399774693</v>
      </c>
      <c r="Y20" s="47">
        <v>4.4723029633028433E-2</v>
      </c>
      <c r="Z20" s="65">
        <f>$Z$12*Y16*Y20</f>
        <v>1.0205757393585253</v>
      </c>
      <c r="AA20" s="47">
        <v>4.4723029633028433E-2</v>
      </c>
      <c r="AB20" s="39">
        <f>$AB$12*AA16*AA20</f>
        <v>0.94138021177795483</v>
      </c>
    </row>
    <row r="21" spans="1:28" ht="15.75" x14ac:dyDescent="0.25">
      <c r="A21" s="33"/>
      <c r="B21" s="33" t="s">
        <v>95</v>
      </c>
      <c r="C21" s="47">
        <v>9.6600000000000005E-2</v>
      </c>
      <c r="D21" s="39">
        <f>$D$12*C17*C21</f>
        <v>8.6447539388679273E-2</v>
      </c>
      <c r="E21" s="47">
        <v>9.6600000000000005E-2</v>
      </c>
      <c r="F21" s="39">
        <f>$F$12*E17*E21</f>
        <v>0.22191840687829104</v>
      </c>
      <c r="G21" s="47">
        <v>8.9300000000000004E-2</v>
      </c>
      <c r="H21" s="39">
        <f>$H$12*G17*G21</f>
        <v>0.25336920355083797</v>
      </c>
      <c r="I21" s="47">
        <v>9.3600000000000003E-2</v>
      </c>
      <c r="J21" s="39">
        <f>$J$12*I17*I21</f>
        <v>0.63479353593306054</v>
      </c>
      <c r="K21" s="47">
        <v>9.35E-2</v>
      </c>
      <c r="L21" s="39">
        <f>$L$12*K17*K21</f>
        <v>1.2271527040553247</v>
      </c>
      <c r="M21" s="47">
        <v>9.1899999999999996E-2</v>
      </c>
      <c r="N21" s="39">
        <f>$N$12*M17*M21</f>
        <v>1.6257396083726152</v>
      </c>
      <c r="O21" s="47">
        <v>8.77E-2</v>
      </c>
      <c r="P21" s="39">
        <f>$P$12*O17*O21</f>
        <v>1.7355983192926159</v>
      </c>
      <c r="Q21" s="47">
        <v>0.09</v>
      </c>
      <c r="R21" s="39">
        <f>$R$12*Q17*Q21</f>
        <v>1.7896839031181717</v>
      </c>
      <c r="S21" s="47">
        <v>0.09</v>
      </c>
      <c r="T21" s="39">
        <f>$T$12*S17*S21</f>
        <v>1.8037612153589053</v>
      </c>
      <c r="U21" s="47">
        <v>0.09</v>
      </c>
      <c r="V21" s="39">
        <f>$V$12*U17*U21</f>
        <v>1.7391766572843599</v>
      </c>
      <c r="W21" s="47">
        <v>0.09</v>
      </c>
      <c r="X21" s="39">
        <f>$X$12*W17*W21</f>
        <v>1.6027200626578104</v>
      </c>
      <c r="Y21" s="47">
        <v>0.09</v>
      </c>
      <c r="Z21" s="39">
        <f>$Z$12*Y17*Y21</f>
        <v>1.4669945423125188</v>
      </c>
      <c r="AA21" s="47">
        <v>0.09</v>
      </c>
      <c r="AB21" s="39">
        <f>$AB$12*AA17*AA21</f>
        <v>1.3531574185638386</v>
      </c>
    </row>
    <row r="22" spans="1:28" ht="15.75" x14ac:dyDescent="0.25">
      <c r="A22" s="33"/>
      <c r="B22" s="33"/>
      <c r="C22" s="33"/>
      <c r="D22" s="48">
        <f>SUM(D19:D21)</f>
        <v>0.15883655090821247</v>
      </c>
      <c r="E22" s="33"/>
      <c r="F22" s="48">
        <f>SUM(F19:F21)</f>
        <v>0.40774734111413091</v>
      </c>
      <c r="G22" s="33"/>
      <c r="H22" s="48">
        <f>SUM(H19:H21)</f>
        <v>0.45907208437318681</v>
      </c>
      <c r="I22" s="33"/>
      <c r="J22" s="48">
        <f>SUM(J19:J21)</f>
        <v>1.1112956068161464</v>
      </c>
      <c r="K22" s="33"/>
      <c r="L22" s="48">
        <f>SUM(L19:L21)</f>
        <v>2.1591365938340359</v>
      </c>
      <c r="M22" s="33"/>
      <c r="N22" s="48">
        <f>SUM(N19:N21)</f>
        <v>2.8378792944011675</v>
      </c>
      <c r="O22" s="33"/>
      <c r="P22" s="48">
        <f>SUM(P19:P21)</f>
        <v>3.0011648315551569</v>
      </c>
      <c r="Q22" s="33"/>
      <c r="R22" s="48">
        <f>SUM(R19:R21)</f>
        <v>3.0802894238316361</v>
      </c>
      <c r="S22" s="33"/>
      <c r="T22" s="48">
        <f>SUM(T19:T21)</f>
        <v>3.1045183929448728</v>
      </c>
      <c r="U22" s="33"/>
      <c r="V22" s="48">
        <f>SUM(V19:V21)</f>
        <v>2.9933595839321474</v>
      </c>
      <c r="W22" s="39"/>
      <c r="X22" s="48">
        <f>SUM(X19:X21)</f>
        <v>2.7619712864706263</v>
      </c>
      <c r="Z22" s="48">
        <f>SUM(Z19:Z21)</f>
        <v>2.5248971428032183</v>
      </c>
      <c r="AB22" s="48">
        <f>SUM(AB19:AB21)</f>
        <v>2.3289679691030289</v>
      </c>
    </row>
    <row r="23" spans="1:28" ht="15.7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8" ht="15.75" x14ac:dyDescent="0.25">
      <c r="A24" s="33"/>
      <c r="B24" s="33" t="s">
        <v>96</v>
      </c>
      <c r="C24" s="33"/>
      <c r="D24" s="49">
        <v>0</v>
      </c>
      <c r="E24" s="33"/>
      <c r="F24" s="49">
        <v>3.9208334399030291</v>
      </c>
      <c r="G24" s="33"/>
      <c r="H24" s="49">
        <v>1.9491219314433545</v>
      </c>
      <c r="I24" s="33"/>
      <c r="J24" s="49">
        <v>1.2762049409690188</v>
      </c>
      <c r="K24" s="33"/>
      <c r="L24" s="49">
        <v>1.8491774569330797</v>
      </c>
      <c r="M24" s="33"/>
      <c r="N24" s="49">
        <v>2.05466792564</v>
      </c>
      <c r="O24" s="33"/>
      <c r="P24" s="49">
        <v>2.6065995360000001</v>
      </c>
      <c r="Q24" s="33"/>
      <c r="R24" s="49">
        <v>1.5066996725199997</v>
      </c>
      <c r="S24" s="33"/>
      <c r="T24" s="49">
        <v>1.6926743119999998</v>
      </c>
      <c r="U24" s="33"/>
      <c r="V24" s="49">
        <v>1.6501343037999998</v>
      </c>
      <c r="X24" s="49">
        <f>2012053.4958/1000000</f>
        <v>2.0120534958</v>
      </c>
      <c r="Z24" s="49">
        <v>1.7963951577999999</v>
      </c>
      <c r="AB24" s="49">
        <f>1805719.62978/1000000</f>
        <v>1.80571962978</v>
      </c>
    </row>
    <row r="25" spans="1:28" ht="15.75" x14ac:dyDescent="0.25">
      <c r="A25" s="33"/>
      <c r="B25" s="33" t="s">
        <v>97</v>
      </c>
      <c r="C25" s="33"/>
      <c r="D25" s="50">
        <v>0.13852934989464388</v>
      </c>
      <c r="E25" s="33"/>
      <c r="F25" s="50">
        <v>0.33523547782465141</v>
      </c>
      <c r="G25" s="33"/>
      <c r="H25" s="50">
        <v>0.4559697980442583</v>
      </c>
      <c r="I25" s="33"/>
      <c r="J25" s="50">
        <v>1.0958985443881901</v>
      </c>
      <c r="K25" s="33"/>
      <c r="L25" s="50">
        <v>1.9107488171316387</v>
      </c>
      <c r="M25" s="33"/>
      <c r="N25" s="50">
        <v>3.1638628276670691</v>
      </c>
      <c r="O25" s="33"/>
      <c r="P25" s="50">
        <v>3.6358471175186073</v>
      </c>
      <c r="Q25" s="33"/>
      <c r="R25" s="50">
        <v>3.8581821577662927</v>
      </c>
      <c r="S25" s="33"/>
      <c r="T25" s="50">
        <v>4.2545042817440244</v>
      </c>
      <c r="U25" s="33"/>
      <c r="V25" s="50">
        <v>4.4230328037705853</v>
      </c>
      <c r="X25" s="50">
        <f>4009445.82071934/1000000</f>
        <v>4.00944582071934</v>
      </c>
      <c r="Z25" s="50">
        <v>4.1261523968285818</v>
      </c>
      <c r="AB25" s="50">
        <v>3.5814206164904521</v>
      </c>
    </row>
    <row r="26" spans="1:28" ht="15.75" x14ac:dyDescent="0.25">
      <c r="A26" s="33"/>
      <c r="B26" s="33" t="s">
        <v>98</v>
      </c>
      <c r="C26" s="33"/>
      <c r="D26" s="51">
        <v>1.6066497009377095E-2</v>
      </c>
      <c r="E26" s="33"/>
      <c r="F26" s="51">
        <v>4.4219684563212208E-2</v>
      </c>
      <c r="G26" s="33"/>
      <c r="H26" s="51">
        <v>5.3842123252870078E-2</v>
      </c>
      <c r="I26" s="33"/>
      <c r="J26" s="51">
        <v>0.12919328418374287</v>
      </c>
      <c r="K26" s="33"/>
      <c r="L26" s="51">
        <v>0.17657946592031459</v>
      </c>
      <c r="M26" s="33"/>
      <c r="N26" s="51">
        <v>0.44616405076703569</v>
      </c>
      <c r="O26" s="33"/>
      <c r="P26" s="51">
        <v>0.51066681963556571</v>
      </c>
      <c r="Q26" s="33"/>
      <c r="R26" s="51">
        <v>0.60701039403005252</v>
      </c>
      <c r="S26" s="33"/>
      <c r="T26" s="51">
        <v>0.74149288445951211</v>
      </c>
      <c r="U26" s="33"/>
      <c r="V26" s="51">
        <v>0.82089458048096386</v>
      </c>
      <c r="X26" s="51" t="e">
        <f>'3 - Income Taxes &amp; UCC'!#REF!</f>
        <v>#REF!</v>
      </c>
      <c r="Z26" s="51">
        <v>0.81041619846634427</v>
      </c>
      <c r="AB26" s="51" t="e">
        <f>'3 - Income Taxes &amp; UCC'!#REF!</f>
        <v>#REF!</v>
      </c>
    </row>
    <row r="27" spans="1:28" ht="15.7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8" s="3" customFormat="1" ht="16.5" thickBot="1" x14ac:dyDescent="0.3">
      <c r="A28" s="35"/>
      <c r="B28" s="35" t="s">
        <v>99</v>
      </c>
      <c r="C28" s="35"/>
      <c r="D28" s="66">
        <f>SUM(D22:D26)</f>
        <v>0.31343239781223342</v>
      </c>
      <c r="E28" s="67"/>
      <c r="F28" s="66">
        <f>SUM(F22:F26)</f>
        <v>4.7080359434050241</v>
      </c>
      <c r="G28" s="67"/>
      <c r="H28" s="66">
        <f>SUM(H22:H26)</f>
        <v>2.9180059371136697</v>
      </c>
      <c r="I28" s="67"/>
      <c r="J28" s="66">
        <f>SUM(J22:J26)</f>
        <v>3.6125923763570977</v>
      </c>
      <c r="K28" s="67"/>
      <c r="L28" s="66">
        <f>SUM(L22:L26)</f>
        <v>6.0956423338190682</v>
      </c>
      <c r="M28" s="67"/>
      <c r="N28" s="66">
        <f>SUM(N22:N26)</f>
        <v>8.5025740984752733</v>
      </c>
      <c r="O28" s="67"/>
      <c r="P28" s="66">
        <f>SUM(P22:P26)</f>
        <v>9.7542783047093291</v>
      </c>
      <c r="Q28" s="67"/>
      <c r="R28" s="66">
        <f>SUM(R22:R26)</f>
        <v>9.0521816481479807</v>
      </c>
      <c r="S28" s="67"/>
      <c r="T28" s="66">
        <f>SUM(T22:T26)</f>
        <v>9.7931898711484102</v>
      </c>
      <c r="U28" s="67"/>
      <c r="V28" s="66">
        <f>SUM(V22:V26)</f>
        <v>9.8874212719836958</v>
      </c>
      <c r="W28" s="67"/>
      <c r="X28" s="66" t="e">
        <f>SUM(X22:X26)</f>
        <v>#REF!</v>
      </c>
      <c r="Y28" s="68"/>
      <c r="Z28" s="66">
        <f>SUM(Z22:Z26)</f>
        <v>9.2578608958981441</v>
      </c>
      <c r="AA28" s="68"/>
      <c r="AB28" s="66" t="e">
        <f>SUM(AB22:AB26)</f>
        <v>#REF!</v>
      </c>
    </row>
    <row r="29" spans="1:28" s="3" customFormat="1" ht="15.75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3"/>
      <c r="S29" s="35"/>
      <c r="T29" s="53"/>
      <c r="U29" s="35"/>
      <c r="V29" s="53"/>
      <c r="W29" s="53"/>
    </row>
    <row r="30" spans="1:28" s="3" customFormat="1" ht="15.75" x14ac:dyDescent="0.25">
      <c r="A30" s="35"/>
      <c r="B30" s="35" t="s">
        <v>100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54"/>
      <c r="S30" s="55"/>
      <c r="T30" s="54"/>
      <c r="U30" s="55"/>
      <c r="V30" s="54"/>
      <c r="W30" s="54"/>
    </row>
    <row r="31" spans="1:28" ht="15.7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8" ht="15.7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6.5" customHeight="1" x14ac:dyDescent="0.25">
      <c r="A33" s="33" t="s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5" spans="1:23" ht="15.75" x14ac:dyDescent="0.25">
      <c r="A35" s="34" t="s">
        <v>15</v>
      </c>
      <c r="B35" s="33" t="s">
        <v>108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5.75" x14ac:dyDescent="0.25">
      <c r="A36" s="34" t="s">
        <v>17</v>
      </c>
      <c r="B36" s="33" t="s">
        <v>102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5.75" x14ac:dyDescent="0.25">
      <c r="A37" s="34" t="s">
        <v>103</v>
      </c>
      <c r="B37" s="33" t="s">
        <v>104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ht="15.75" x14ac:dyDescent="0.25">
      <c r="A38" s="33" t="s">
        <v>109</v>
      </c>
      <c r="B38" s="33" t="s">
        <v>110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</sheetData>
  <mergeCells count="13">
    <mergeCell ref="Q8:R8"/>
    <mergeCell ref="S8:T8"/>
    <mergeCell ref="U8:V8"/>
    <mergeCell ref="AA8:AB8"/>
    <mergeCell ref="W8:X8"/>
    <mergeCell ref="Y8:Z8"/>
    <mergeCell ref="E8:F8"/>
    <mergeCell ref="C8:D8"/>
    <mergeCell ref="O8:P8"/>
    <mergeCell ref="M8:N8"/>
    <mergeCell ref="K8:L8"/>
    <mergeCell ref="I8:J8"/>
    <mergeCell ref="G8:H8"/>
  </mergeCells>
  <phoneticPr fontId="3" type="noConversion"/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  <ignoredErrors>
    <ignoredError sqref="Q12:V13 T11 Q14:V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8"/>
  <sheetViews>
    <sheetView zoomScaleNormal="100" workbookViewId="0">
      <pane ySplit="2" topLeftCell="A3" activePane="bottomLeft" state="frozen"/>
      <selection pane="bottomLeft" activeCell="H38" sqref="H38"/>
    </sheetView>
  </sheetViews>
  <sheetFormatPr defaultColWidth="8.77734375" defaultRowHeight="15" x14ac:dyDescent="0.25"/>
  <cols>
    <col min="1" max="1" width="22.109375" style="8" customWidth="1"/>
    <col min="2" max="2" width="10.5546875" style="8" customWidth="1"/>
    <col min="3" max="5" width="8.77734375" style="8"/>
    <col min="6" max="8" width="8.77734375" style="57"/>
    <col min="9" max="16384" width="8.77734375" style="8"/>
  </cols>
  <sheetData>
    <row r="2" spans="1:8" s="7" customFormat="1" x14ac:dyDescent="0.25">
      <c r="A2" s="7" t="s">
        <v>111</v>
      </c>
      <c r="C2" s="7">
        <v>2018</v>
      </c>
      <c r="D2" s="7">
        <v>2019</v>
      </c>
      <c r="E2" s="7">
        <v>2020</v>
      </c>
      <c r="F2" s="7">
        <v>2021</v>
      </c>
      <c r="G2" s="7">
        <v>2022</v>
      </c>
      <c r="H2" s="7">
        <v>2023</v>
      </c>
    </row>
    <row r="3" spans="1:8" x14ac:dyDescent="0.25">
      <c r="A3" s="7"/>
    </row>
    <row r="4" spans="1:8" x14ac:dyDescent="0.25">
      <c r="A4" s="7" t="s">
        <v>32</v>
      </c>
    </row>
    <row r="5" spans="1:8" x14ac:dyDescent="0.25">
      <c r="A5" s="9" t="s">
        <v>33</v>
      </c>
      <c r="C5" s="10">
        <v>60.066297927028316</v>
      </c>
      <c r="D5" s="10">
        <v>64.484672370528315</v>
      </c>
      <c r="E5" s="10">
        <v>68.929861083068317</v>
      </c>
      <c r="F5" s="57">
        <f>E7</f>
        <v>69.580931880328322</v>
      </c>
      <c r="G5" s="58">
        <v>69.72811528290832</v>
      </c>
      <c r="H5" s="58">
        <f>+G7</f>
        <v>70.266919441128323</v>
      </c>
    </row>
    <row r="6" spans="1:8" x14ac:dyDescent="0.25">
      <c r="A6" s="9" t="s">
        <v>34</v>
      </c>
      <c r="C6" s="10">
        <f t="shared" ref="C6:H6" si="0">C33</f>
        <v>4.4183744435000003</v>
      </c>
      <c r="D6" s="10">
        <f t="shared" si="0"/>
        <v>4.4451887125400038</v>
      </c>
      <c r="E6" s="10">
        <f t="shared" si="0"/>
        <v>0.6510707972600005</v>
      </c>
      <c r="F6" s="57">
        <f t="shared" si="0"/>
        <v>0.14718340257999996</v>
      </c>
      <c r="G6" s="57">
        <f t="shared" si="0"/>
        <v>0.53880415821999994</v>
      </c>
      <c r="H6" s="57">
        <f t="shared" si="0"/>
        <v>0.61288877403999997</v>
      </c>
    </row>
    <row r="7" spans="1:8" x14ac:dyDescent="0.25">
      <c r="A7" s="9" t="s">
        <v>35</v>
      </c>
      <c r="C7" s="11">
        <f>C5+C6</f>
        <v>64.484672370528315</v>
      </c>
      <c r="D7" s="11">
        <f>D5+D6</f>
        <v>68.929861083068317</v>
      </c>
      <c r="E7" s="11">
        <f>E5+E6</f>
        <v>69.580931880328322</v>
      </c>
      <c r="F7" s="59">
        <f>F5+F6</f>
        <v>69.72811528290832</v>
      </c>
      <c r="G7" s="60">
        <v>70.266919441128323</v>
      </c>
      <c r="H7" s="60">
        <f>+H5+H6</f>
        <v>70.879808215168325</v>
      </c>
    </row>
    <row r="8" spans="1:8" x14ac:dyDescent="0.25">
      <c r="A8" s="7"/>
    </row>
    <row r="9" spans="1:8" x14ac:dyDescent="0.25">
      <c r="A9" s="7" t="s">
        <v>36</v>
      </c>
    </row>
    <row r="10" spans="1:8" x14ac:dyDescent="0.25">
      <c r="A10" s="9" t="s">
        <v>33</v>
      </c>
      <c r="C10" s="10">
        <v>10.749007806659613</v>
      </c>
      <c r="D10" s="10">
        <v>14.607189964425906</v>
      </c>
      <c r="E10" s="10">
        <v>18.861694246169932</v>
      </c>
      <c r="F10" s="57">
        <f>E12</f>
        <v>23.284727049940518</v>
      </c>
      <c r="G10" s="58">
        <v>27.294172870659864</v>
      </c>
      <c r="H10" s="58">
        <f>+G12</f>
        <v>31.420325267488444</v>
      </c>
    </row>
    <row r="11" spans="1:8" x14ac:dyDescent="0.25">
      <c r="A11" s="9" t="s">
        <v>34</v>
      </c>
      <c r="C11" s="10">
        <f>C48</f>
        <v>3.8581821577662927</v>
      </c>
      <c r="D11" s="10">
        <f>D48</f>
        <v>4.2545042817440244</v>
      </c>
      <c r="E11" s="10">
        <f>E48</f>
        <v>4.4230328037705853</v>
      </c>
      <c r="F11" s="57">
        <f>F48</f>
        <v>4.0094458207193444</v>
      </c>
      <c r="G11" s="58">
        <v>4.1261523968285818</v>
      </c>
      <c r="H11" s="58">
        <v>3.5814206164904521</v>
      </c>
    </row>
    <row r="12" spans="1:8" x14ac:dyDescent="0.25">
      <c r="A12" s="9" t="s">
        <v>35</v>
      </c>
      <c r="C12" s="11">
        <f>C10+C11</f>
        <v>14.607189964425906</v>
      </c>
      <c r="D12" s="11">
        <f>D10+D11</f>
        <v>18.861694246169932</v>
      </c>
      <c r="E12" s="11">
        <f>E10+E11</f>
        <v>23.284727049940518</v>
      </c>
      <c r="F12" s="59">
        <f>F10+F11</f>
        <v>27.294172870659864</v>
      </c>
      <c r="G12" s="60">
        <v>31.420325267488444</v>
      </c>
      <c r="H12" s="60">
        <f>+H10+H11</f>
        <v>35.001745883978899</v>
      </c>
    </row>
    <row r="13" spans="1:8" x14ac:dyDescent="0.25">
      <c r="A13" s="7"/>
    </row>
    <row r="14" spans="1:8" x14ac:dyDescent="0.25">
      <c r="A14" s="7" t="s">
        <v>37</v>
      </c>
      <c r="C14" s="10">
        <f t="shared" ref="C14:H14" si="1">C7-C12</f>
        <v>49.877482406102409</v>
      </c>
      <c r="D14" s="10">
        <f t="shared" si="1"/>
        <v>50.068166836898385</v>
      </c>
      <c r="E14" s="10">
        <f t="shared" si="1"/>
        <v>46.296204830387808</v>
      </c>
      <c r="F14" s="57">
        <f t="shared" si="1"/>
        <v>42.433942412248456</v>
      </c>
      <c r="G14" s="57">
        <f t="shared" si="1"/>
        <v>38.846594173639879</v>
      </c>
      <c r="H14" s="57">
        <f t="shared" si="1"/>
        <v>35.878062331189426</v>
      </c>
    </row>
    <row r="15" spans="1:8" x14ac:dyDescent="0.25">
      <c r="A15" s="7"/>
      <c r="C15" s="10"/>
      <c r="D15" s="10"/>
      <c r="E15" s="10"/>
    </row>
    <row r="16" spans="1:8" x14ac:dyDescent="0.25">
      <c r="A16" s="8" t="s">
        <v>38</v>
      </c>
      <c r="C16" s="12">
        <f>AVERAGE(C14:C14)</f>
        <v>49.877482406102409</v>
      </c>
      <c r="D16" s="12">
        <f>AVERAGE(C14:D14)</f>
        <v>49.972824621500394</v>
      </c>
      <c r="E16" s="12">
        <f>AVERAGE(D14:E14)</f>
        <v>48.182185833643096</v>
      </c>
      <c r="F16" s="61">
        <f>AVERAGE(E14:F14)</f>
        <v>44.365073621318132</v>
      </c>
      <c r="G16" s="61">
        <f>AVERAGE(F14:G14)</f>
        <v>40.640268292944171</v>
      </c>
      <c r="H16" s="61">
        <f>AVERAGE(G14:H14)</f>
        <v>37.362328252414656</v>
      </c>
    </row>
    <row r="17" spans="1:8" x14ac:dyDescent="0.25">
      <c r="A17" s="8" t="s">
        <v>39</v>
      </c>
      <c r="C17" s="12">
        <v>0.11605549004699076</v>
      </c>
      <c r="D17" s="12">
        <v>0.13165358291364457</v>
      </c>
      <c r="E17" s="12">
        <v>0.1282768687002348</v>
      </c>
      <c r="F17" s="57">
        <v>0.15590689762037591</v>
      </c>
      <c r="G17" s="57">
        <v>0.11011902317314</v>
      </c>
      <c r="H17" s="57">
        <v>0.11268890940154126</v>
      </c>
    </row>
    <row r="18" spans="1:8" x14ac:dyDescent="0.25">
      <c r="A18" s="7" t="s">
        <v>40</v>
      </c>
      <c r="C18" s="13">
        <f t="shared" ref="C18:H18" si="2">C16+C17</f>
        <v>49.993537896149398</v>
      </c>
      <c r="D18" s="13">
        <f t="shared" si="2"/>
        <v>50.104478204414036</v>
      </c>
      <c r="E18" s="13">
        <f t="shared" si="2"/>
        <v>48.31046270234333</v>
      </c>
      <c r="F18" s="62">
        <f t="shared" si="2"/>
        <v>44.520980518938508</v>
      </c>
      <c r="G18" s="62">
        <f t="shared" si="2"/>
        <v>40.750387316117312</v>
      </c>
      <c r="H18" s="62">
        <f t="shared" si="2"/>
        <v>37.475017161816197</v>
      </c>
    </row>
    <row r="21" spans="1:8" x14ac:dyDescent="0.25">
      <c r="A21" s="7" t="s">
        <v>54</v>
      </c>
      <c r="B21" s="14" t="s">
        <v>55</v>
      </c>
      <c r="C21" s="14">
        <v>2018</v>
      </c>
      <c r="D21" s="14">
        <v>2019</v>
      </c>
      <c r="E21" s="14">
        <v>2020</v>
      </c>
      <c r="F21" s="14">
        <v>2021</v>
      </c>
      <c r="G21" s="14">
        <v>2022</v>
      </c>
      <c r="H21" s="14">
        <v>2023</v>
      </c>
    </row>
    <row r="22" spans="1:8" x14ac:dyDescent="0.25">
      <c r="A22" s="8" t="s">
        <v>56</v>
      </c>
      <c r="B22" s="15">
        <v>1.8200000000000001E-2</v>
      </c>
      <c r="C22" s="16">
        <v>0</v>
      </c>
      <c r="D22" s="16">
        <v>0</v>
      </c>
      <c r="E22" s="16">
        <v>0</v>
      </c>
    </row>
    <row r="23" spans="1:8" x14ac:dyDescent="0.25">
      <c r="A23" s="8" t="s">
        <v>57</v>
      </c>
      <c r="B23" s="15">
        <v>2.23E-2</v>
      </c>
      <c r="C23" s="16">
        <v>0</v>
      </c>
      <c r="D23" s="16">
        <v>0</v>
      </c>
      <c r="E23" s="16">
        <v>0</v>
      </c>
    </row>
    <row r="24" spans="1:8" x14ac:dyDescent="0.25">
      <c r="A24" s="8" t="s">
        <v>58</v>
      </c>
      <c r="B24" s="15">
        <v>2.7E-2</v>
      </c>
      <c r="C24" s="16">
        <v>0.92785863313500005</v>
      </c>
      <c r="D24" s="16">
        <v>0.93348962963340076</v>
      </c>
      <c r="E24" s="16">
        <v>0.13672486742460011</v>
      </c>
      <c r="F24" s="57">
        <v>3.0908514541799988E-2</v>
      </c>
      <c r="G24" s="57">
        <v>0.11314887322619999</v>
      </c>
      <c r="H24" s="57">
        <v>0.1287066425484</v>
      </c>
    </row>
    <row r="25" spans="1:8" x14ac:dyDescent="0.25">
      <c r="A25" s="8" t="s">
        <v>59</v>
      </c>
      <c r="B25" s="15">
        <v>1.7000000000000001E-2</v>
      </c>
      <c r="C25" s="16">
        <v>0.39765369991499999</v>
      </c>
      <c r="D25" s="16">
        <v>0.40006698412860031</v>
      </c>
      <c r="E25" s="16">
        <v>5.8596371753400045E-2</v>
      </c>
      <c r="F25" s="57">
        <v>1.3246506232199995E-2</v>
      </c>
      <c r="G25" s="57">
        <v>4.849237423979999E-2</v>
      </c>
      <c r="H25" s="57">
        <v>5.5159989663599994E-2</v>
      </c>
    </row>
    <row r="26" spans="1:8" x14ac:dyDescent="0.25">
      <c r="A26" s="8" t="s">
        <v>60</v>
      </c>
      <c r="B26" s="15">
        <v>1.6899999999999998E-2</v>
      </c>
      <c r="C26" s="16">
        <v>0.26510246661000003</v>
      </c>
      <c r="D26" s="16">
        <v>0.26671132275240023</v>
      </c>
      <c r="E26" s="16">
        <v>3.906424783560003E-2</v>
      </c>
      <c r="F26" s="57">
        <v>8.8310041547999974E-3</v>
      </c>
      <c r="G26" s="57">
        <v>3.2328249493199998E-2</v>
      </c>
      <c r="H26" s="57">
        <v>3.6773326442399994E-2</v>
      </c>
    </row>
    <row r="27" spans="1:8" x14ac:dyDescent="0.25">
      <c r="A27" s="8" t="s">
        <v>61</v>
      </c>
      <c r="B27" s="15">
        <v>2.3099999999999999E-2</v>
      </c>
      <c r="C27" s="16">
        <v>1.2371448441800001</v>
      </c>
      <c r="D27" s="16">
        <v>1.2446528395112011</v>
      </c>
      <c r="E27" s="16">
        <v>0.18229982323280017</v>
      </c>
      <c r="F27" s="57">
        <v>4.1211352722399994E-2</v>
      </c>
      <c r="G27" s="57">
        <v>0.15086516430159999</v>
      </c>
      <c r="H27" s="57">
        <v>0.17160885673120002</v>
      </c>
    </row>
    <row r="28" spans="1:8" x14ac:dyDescent="0.25">
      <c r="A28" s="8" t="s">
        <v>62</v>
      </c>
      <c r="B28" s="15">
        <v>4.8899999999999999E-2</v>
      </c>
      <c r="C28" s="16">
        <v>0.35346995548000004</v>
      </c>
      <c r="D28" s="16">
        <v>0.35561509700320032</v>
      </c>
      <c r="E28" s="16">
        <v>5.208566378080004E-2</v>
      </c>
      <c r="F28" s="57">
        <v>1.1774672206399996E-2</v>
      </c>
      <c r="G28" s="57">
        <v>4.3104332657599997E-2</v>
      </c>
      <c r="H28" s="57">
        <v>4.9031101923199996E-2</v>
      </c>
    </row>
    <row r="29" spans="1:8" x14ac:dyDescent="0.25">
      <c r="A29" s="8" t="s">
        <v>66</v>
      </c>
      <c r="B29" s="15">
        <v>0.2</v>
      </c>
      <c r="C29" s="16">
        <v>0</v>
      </c>
      <c r="D29" s="16">
        <v>0</v>
      </c>
      <c r="E29" s="16">
        <v>0</v>
      </c>
    </row>
    <row r="30" spans="1:8" x14ac:dyDescent="0.25">
      <c r="A30" s="8" t="s">
        <v>67</v>
      </c>
      <c r="B30" s="15">
        <v>0</v>
      </c>
      <c r="C30" s="16">
        <v>0</v>
      </c>
      <c r="D30" s="16">
        <v>0</v>
      </c>
      <c r="E30" s="16">
        <v>0</v>
      </c>
    </row>
    <row r="31" spans="1:8" x14ac:dyDescent="0.25">
      <c r="A31" s="8" t="s">
        <v>68</v>
      </c>
      <c r="B31" s="15">
        <v>0</v>
      </c>
      <c r="C31" s="16">
        <v>0</v>
      </c>
      <c r="D31" s="16">
        <v>0</v>
      </c>
      <c r="E31" s="16">
        <v>0</v>
      </c>
    </row>
    <row r="32" spans="1:8" x14ac:dyDescent="0.25">
      <c r="A32" s="8" t="s">
        <v>69</v>
      </c>
      <c r="B32" s="15">
        <v>0.13638608401664667</v>
      </c>
      <c r="C32" s="16">
        <v>1.2371448441800001</v>
      </c>
      <c r="D32" s="16">
        <v>1.2446528395112011</v>
      </c>
      <c r="E32" s="16">
        <v>0.18229982323280017</v>
      </c>
      <c r="F32" s="57">
        <v>4.1211352722399994E-2</v>
      </c>
      <c r="G32" s="57">
        <v>0.15086516430159999</v>
      </c>
      <c r="H32" s="57">
        <v>0.17160885673120002</v>
      </c>
    </row>
    <row r="33" spans="1:8" s="7" customFormat="1" x14ac:dyDescent="0.25">
      <c r="A33" s="17" t="s">
        <v>112</v>
      </c>
      <c r="B33" s="17"/>
      <c r="C33" s="18">
        <f t="shared" ref="C33:H33" si="3">SUM(C22:C32)</f>
        <v>4.4183744435000003</v>
      </c>
      <c r="D33" s="18">
        <f t="shared" si="3"/>
        <v>4.4451887125400038</v>
      </c>
      <c r="E33" s="18">
        <f t="shared" si="3"/>
        <v>0.6510707972600005</v>
      </c>
      <c r="F33" s="63">
        <f t="shared" si="3"/>
        <v>0.14718340257999996</v>
      </c>
      <c r="G33" s="63">
        <f t="shared" si="3"/>
        <v>0.53880415821999994</v>
      </c>
      <c r="H33" s="63">
        <f t="shared" si="3"/>
        <v>0.61288877403999997</v>
      </c>
    </row>
    <row r="34" spans="1:8" x14ac:dyDescent="0.25">
      <c r="C34" s="19"/>
      <c r="D34" s="19"/>
      <c r="E34" s="19"/>
    </row>
    <row r="35" spans="1:8" x14ac:dyDescent="0.25">
      <c r="C35" s="19"/>
      <c r="D35" s="19"/>
      <c r="E35" s="19"/>
    </row>
    <row r="36" spans="1:8" x14ac:dyDescent="0.25">
      <c r="A36" s="7" t="s">
        <v>113</v>
      </c>
      <c r="C36" s="14">
        <v>2018</v>
      </c>
      <c r="D36" s="14">
        <v>2019</v>
      </c>
      <c r="E36" s="14">
        <v>2020</v>
      </c>
      <c r="F36" s="14">
        <v>2021</v>
      </c>
      <c r="G36" s="14">
        <v>2022</v>
      </c>
      <c r="H36" s="14">
        <v>2023</v>
      </c>
    </row>
    <row r="37" spans="1:8" x14ac:dyDescent="0.25">
      <c r="A37" s="8" t="s">
        <v>56</v>
      </c>
      <c r="C37" s="16">
        <v>0</v>
      </c>
      <c r="D37" s="16">
        <v>0</v>
      </c>
      <c r="E37" s="16">
        <v>0</v>
      </c>
    </row>
    <row r="38" spans="1:8" x14ac:dyDescent="0.25">
      <c r="A38" s="8" t="s">
        <v>57</v>
      </c>
      <c r="C38" s="16">
        <v>3.8002216086024991E-2</v>
      </c>
      <c r="D38" s="16">
        <v>3.8002216086024991E-2</v>
      </c>
      <c r="E38" s="16">
        <v>3.8002216086024991E-2</v>
      </c>
      <c r="F38" s="57">
        <v>3.8002216086024991E-2</v>
      </c>
      <c r="G38" s="57">
        <v>3.8002216086024991E-2</v>
      </c>
      <c r="H38" s="57">
        <v>3.2620027866350564E-2</v>
      </c>
    </row>
    <row r="39" spans="1:8" x14ac:dyDescent="0.25">
      <c r="A39" s="8" t="s">
        <v>58</v>
      </c>
      <c r="C39" s="16">
        <v>0.19179882262281508</v>
      </c>
      <c r="D39" s="16">
        <v>0.2169270241701885</v>
      </c>
      <c r="E39" s="16">
        <v>0.23137491988047151</v>
      </c>
      <c r="F39" s="57">
        <v>0.23363797053701793</v>
      </c>
      <c r="G39" s="57">
        <v>0.23558274527188591</v>
      </c>
      <c r="H39" s="57">
        <v>0.18179668855358469</v>
      </c>
    </row>
    <row r="40" spans="1:8" x14ac:dyDescent="0.25">
      <c r="A40" s="8" t="s">
        <v>59</v>
      </c>
      <c r="C40" s="16">
        <v>8.211843296650484E-2</v>
      </c>
      <c r="D40" s="16">
        <v>8.8899058780875437E-2</v>
      </c>
      <c r="E40" s="16">
        <v>9.2797697305872451E-2</v>
      </c>
      <c r="F40" s="57">
        <v>9.3408361768750045E-2</v>
      </c>
      <c r="G40" s="57">
        <v>9.3933142252762059E-2</v>
      </c>
      <c r="H40" s="57">
        <v>9.5130274363984496E-2</v>
      </c>
    </row>
    <row r="41" spans="1:8" x14ac:dyDescent="0.25">
      <c r="A41" s="8" t="s">
        <v>60</v>
      </c>
      <c r="C41" s="16">
        <v>5.2152612942596183E-2</v>
      </c>
      <c r="D41" s="16">
        <v>5.6646439462708469E-2</v>
      </c>
      <c r="E41" s="16">
        <v>5.9230243034177073E-2</v>
      </c>
      <c r="F41" s="57">
        <v>5.9634957913495955E-2</v>
      </c>
      <c r="G41" s="57">
        <v>5.9982753606821551E-2</v>
      </c>
      <c r="H41" s="57">
        <v>5.705300101618125E-2</v>
      </c>
    </row>
    <row r="42" spans="1:8" x14ac:dyDescent="0.25">
      <c r="A42" s="8" t="s">
        <v>61</v>
      </c>
      <c r="C42" s="16">
        <v>0.42944100310424521</v>
      </c>
      <c r="D42" s="16">
        <v>0.45810576635087857</v>
      </c>
      <c r="E42" s="16">
        <v>0.47458706960557179</v>
      </c>
      <c r="F42" s="57">
        <v>0.47716862368785434</v>
      </c>
      <c r="G42" s="57">
        <v>0.47938710745948154</v>
      </c>
      <c r="H42" s="57">
        <v>0.47302158395191168</v>
      </c>
    </row>
    <row r="43" spans="1:8" x14ac:dyDescent="0.25">
      <c r="A43" s="8" t="s">
        <v>62</v>
      </c>
      <c r="C43" s="16">
        <v>0.24810577789127528</v>
      </c>
      <c r="D43" s="16">
        <v>0.2654429074244895</v>
      </c>
      <c r="E43" s="16">
        <v>0.27541119102565831</v>
      </c>
      <c r="F43" s="57">
        <v>0.27697257624054533</v>
      </c>
      <c r="G43" s="57">
        <v>0.377346474282165</v>
      </c>
      <c r="H43" s="57">
        <v>0.30841162269622557</v>
      </c>
    </row>
    <row r="44" spans="1:8" x14ac:dyDescent="0.25">
      <c r="A44" s="8" t="s">
        <v>66</v>
      </c>
      <c r="C44" s="16">
        <v>0</v>
      </c>
      <c r="D44" s="16">
        <v>0</v>
      </c>
      <c r="E44" s="16">
        <v>0</v>
      </c>
    </row>
    <row r="45" spans="1:8" x14ac:dyDescent="0.25">
      <c r="A45" s="8" t="s">
        <v>67</v>
      </c>
      <c r="C45" s="16">
        <v>0</v>
      </c>
      <c r="D45" s="16">
        <v>0</v>
      </c>
      <c r="E45" s="16">
        <v>0</v>
      </c>
    </row>
    <row r="46" spans="1:8" x14ac:dyDescent="0.25">
      <c r="A46" s="8" t="s">
        <v>68</v>
      </c>
      <c r="C46" s="16">
        <v>0</v>
      </c>
      <c r="D46" s="16">
        <v>0</v>
      </c>
      <c r="E46" s="16">
        <v>0</v>
      </c>
    </row>
    <row r="47" spans="1:8" x14ac:dyDescent="0.25">
      <c r="A47" s="8" t="s">
        <v>69</v>
      </c>
      <c r="C47" s="16">
        <v>2.8165632921528312</v>
      </c>
      <c r="D47" s="16">
        <v>3.1304808694688586</v>
      </c>
      <c r="E47" s="16">
        <v>3.2516294668328092</v>
      </c>
      <c r="F47" s="57">
        <v>2.8306211144856559</v>
      </c>
      <c r="G47" s="57">
        <v>2.8419179578694402</v>
      </c>
      <c r="H47" s="57">
        <v>2.4333874180422139</v>
      </c>
    </row>
    <row r="48" spans="1:8" s="7" customFormat="1" x14ac:dyDescent="0.25">
      <c r="A48" s="17" t="s">
        <v>70</v>
      </c>
      <c r="B48" s="17"/>
      <c r="C48" s="18">
        <f t="shared" ref="C48:H48" si="4">SUM(C37:C47)</f>
        <v>3.8581821577662927</v>
      </c>
      <c r="D48" s="18">
        <f t="shared" si="4"/>
        <v>4.2545042817440244</v>
      </c>
      <c r="E48" s="18">
        <f t="shared" si="4"/>
        <v>4.4230328037705853</v>
      </c>
      <c r="F48" s="63">
        <f t="shared" si="4"/>
        <v>4.0094458207193444</v>
      </c>
      <c r="G48" s="63">
        <f t="shared" si="4"/>
        <v>4.1261523968285818</v>
      </c>
      <c r="H48" s="63">
        <f t="shared" si="4"/>
        <v>3.5814206164904521</v>
      </c>
    </row>
  </sheetData>
  <printOptions horizontalCentered="1"/>
  <pageMargins left="0.2" right="0.2" top="0.5" bottom="0.2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RA xmlns="7e651a3a-8d05-4ee0-9344-b668032e30e0">
      <UserInfo>
        <DisplayName/>
        <AccountId xsi:nil="true"/>
        <AccountType/>
      </UserInfo>
    </RA>
    <RAContact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2023-10-03T04:00:00+00:00</IssueDate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Allmapsinthefolder xmlns="7e651a3a-8d05-4ee0-9344-b668032e30e0">false</Allmapsinthefolder>
    <RRA xmlns="7e651a3a-8d05-4ee0-9344-b668032e30e0" xsi:nil="true"/>
    <ReadyforPrinting xmlns="7e651a3a-8d05-4ee0-9344-b668032e30e0">false</ReadyforPrinting>
    <PRINTED xmlns="7e651a3a-8d05-4ee0-9344-b668032e30e0">false</PRINTED>
    <MegafileReady xmlns="7e651a3a-8d05-4ee0-9344-b668032e30e0">false</MegafileReady>
    <AcceptedService_x002d_Legal xmlns="7e651a3a-8d05-4ee0-9344-b668032e30e0">true</AcceptedService_x002d_Legal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FCF4C-95B5-4639-8956-C21C9AABA99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1f5e108a-442b-424d-88d6-fdac133e65d6"/>
    <ds:schemaRef ds:uri="http://schemas.microsoft.com/office/infopath/2007/PartnerControls"/>
    <ds:schemaRef ds:uri="7e651a3a-8d05-4ee0-9344-b668032e30e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E02701-C525-4D14-86C3-A6626A5845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5F790-C4C0-407D-A195-F51193F76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1 - Renewable Gen Invst Summary</vt:lpstr>
      <vt:lpstr>2 - Fixed Asset Cont.</vt:lpstr>
      <vt:lpstr>3 - Income Taxes &amp; UCC</vt:lpstr>
      <vt:lpstr>4 - Revenue Requirement </vt:lpstr>
      <vt:lpstr>Revenue Requirement</vt:lpstr>
      <vt:lpstr>Fixed Asset Continuity</vt:lpstr>
      <vt:lpstr>'4 - Revenue Requirement '!Print_Area</vt:lpstr>
      <vt:lpstr>'Revenue Requirement'!Print_Area</vt:lpstr>
      <vt:lpstr>Summary!Print_Area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BenumMa</dc:creator>
  <cp:keywords/>
  <dc:description/>
  <cp:lastModifiedBy>LEE Julie(Qiu Ling)</cp:lastModifiedBy>
  <cp:revision/>
  <cp:lastPrinted>2023-10-03T14:15:16Z</cp:lastPrinted>
  <dcterms:created xsi:type="dcterms:W3CDTF">2009-03-31T14:51:00Z</dcterms:created>
  <dcterms:modified xsi:type="dcterms:W3CDTF">2023-10-03T14:15:22Z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0x01010062A9886C0063524695E58E529275A6AB</vt:lpwstr>
  </property>
  <property fmtid="{D5CDD505-2E9C-101B-9397-08002B2CF9AE}" pid="4" name="_dlc_DocIdItemGuid">
    <vt:lpwstr>96448eef-d9a5-4ced-8947-e23ea8425cff</vt:lpwstr>
  </property>
  <property fmtid="{D5CDD505-2E9C-101B-9397-08002B2CF9AE}" pid="5" name="MediaServiceImageTags">
    <vt:lpwstr/>
  </property>
</Properties>
</file>