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f9b79c41025c21/Documents/Utilis/Consulting/InnPower/2024 CoS/Settlement/Settlement Drafting/Sep26 BATU/"/>
    </mc:Choice>
  </mc:AlternateContent>
  <xr:revisionPtr revIDLastSave="10" documentId="8_{6D94DFF3-A04C-401A-8A09-98FEEE60EFAA}" xr6:coauthVersionLast="47" xr6:coauthVersionMax="47" xr10:uidLastSave="{2CAA367C-D1B5-4B6E-8974-F21927F93721}"/>
  <bookViews>
    <workbookView xWindow="-120" yWindow="-120" windowWidth="20730" windowHeight="11160" tabRatio="874" xr2:uid="{797B346F-C8B4-4461-A357-3300EC3217DF}"/>
  </bookViews>
  <sheets>
    <sheet name="BATU Installment DVA-Standard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5" l="1"/>
  <c r="D22" i="15" s="1"/>
  <c r="E22" i="15" s="1"/>
  <c r="F22" i="15" s="1"/>
  <c r="C88" i="15"/>
  <c r="B88" i="15"/>
  <c r="B89" i="15" s="1"/>
  <c r="C89" i="15" s="1"/>
  <c r="G80" i="15"/>
  <c r="C71" i="15"/>
  <c r="D69" i="15"/>
  <c r="D78" i="15" s="1"/>
  <c r="B55" i="15"/>
  <c r="B56" i="15" s="1"/>
  <c r="F52" i="15"/>
  <c r="F71" i="15" s="1"/>
  <c r="E52" i="15"/>
  <c r="E71" i="15" s="1"/>
  <c r="D52" i="15"/>
  <c r="D71" i="15" s="1"/>
  <c r="C52" i="15"/>
  <c r="B52" i="15"/>
  <c r="B71" i="15" s="1"/>
  <c r="B72" i="15" s="1"/>
  <c r="C72" i="15" s="1"/>
  <c r="D72" i="15" s="1"/>
  <c r="F50" i="15"/>
  <c r="F69" i="15" s="1"/>
  <c r="F78" i="15" s="1"/>
  <c r="E50" i="15"/>
  <c r="E69" i="15" s="1"/>
  <c r="E78" i="15" s="1"/>
  <c r="D50" i="15"/>
  <c r="C50" i="15"/>
  <c r="C69" i="15" s="1"/>
  <c r="C78" i="15" s="1"/>
  <c r="B50" i="15"/>
  <c r="B69" i="15" s="1"/>
  <c r="B78" i="15" s="1"/>
  <c r="C41" i="15"/>
  <c r="C58" i="15" s="1"/>
  <c r="C74" i="15" s="1"/>
  <c r="B41" i="15"/>
  <c r="B58" i="15" s="1"/>
  <c r="D31" i="15"/>
  <c r="E31" i="15" s="1"/>
  <c r="F31" i="15" s="1"/>
  <c r="C31" i="15"/>
  <c r="B30" i="15"/>
  <c r="D23" i="15"/>
  <c r="E23" i="15" s="1"/>
  <c r="F23" i="15" s="1"/>
  <c r="E17" i="15"/>
  <c r="F17" i="15" s="1"/>
  <c r="D17" i="15"/>
  <c r="C11" i="15"/>
  <c r="B11" i="15"/>
  <c r="B13" i="15" s="1"/>
  <c r="C10" i="15"/>
  <c r="D8" i="15" s="1"/>
  <c r="B10" i="15"/>
  <c r="D9" i="15"/>
  <c r="D30" i="15" s="1"/>
  <c r="C9" i="15"/>
  <c r="C30" i="15" s="1"/>
  <c r="C6" i="15"/>
  <c r="C13" i="15" s="1"/>
  <c r="C5" i="15"/>
  <c r="B5" i="15"/>
  <c r="D3" i="15"/>
  <c r="D5" i="15" s="1"/>
  <c r="E3" i="15" s="1"/>
  <c r="C20" i="15" l="1"/>
  <c r="C21" i="15"/>
  <c r="C16" i="15"/>
  <c r="C18" i="15" s="1"/>
  <c r="D10" i="15"/>
  <c r="E8" i="15" s="1"/>
  <c r="D11" i="15"/>
  <c r="E5" i="15"/>
  <c r="F3" i="15" s="1"/>
  <c r="E6" i="15"/>
  <c r="E72" i="15"/>
  <c r="F72" i="15" s="1"/>
  <c r="B20" i="15"/>
  <c r="B21" i="15"/>
  <c r="B16" i="15"/>
  <c r="B18" i="15" s="1"/>
  <c r="B74" i="15"/>
  <c r="B75" i="15" s="1"/>
  <c r="C75" i="15" s="1"/>
  <c r="B59" i="15"/>
  <c r="C59" i="15" s="1"/>
  <c r="D6" i="15"/>
  <c r="D13" i="15" s="1"/>
  <c r="E9" i="15"/>
  <c r="B53" i="15"/>
  <c r="C53" i="15" s="1"/>
  <c r="D53" i="15" s="1"/>
  <c r="E53" i="15" s="1"/>
  <c r="F53" i="15" s="1"/>
  <c r="D41" i="15"/>
  <c r="C55" i="15"/>
  <c r="C56" i="15" s="1"/>
  <c r="E41" i="15" l="1"/>
  <c r="E30" i="15"/>
  <c r="F9" i="15"/>
  <c r="E10" i="15"/>
  <c r="F8" i="15" s="1"/>
  <c r="E11" i="15"/>
  <c r="E13" i="15" s="1"/>
  <c r="B29" i="15"/>
  <c r="B33" i="15" s="1"/>
  <c r="B35" i="15" s="1"/>
  <c r="B36" i="15" s="1"/>
  <c r="B42" i="15" s="1"/>
  <c r="D59" i="15"/>
  <c r="C29" i="15"/>
  <c r="C33" i="15" s="1"/>
  <c r="C35" i="15" s="1"/>
  <c r="C36" i="15" s="1"/>
  <c r="C42" i="15" s="1"/>
  <c r="F5" i="15"/>
  <c r="F6" i="15"/>
  <c r="D75" i="15"/>
  <c r="D55" i="15"/>
  <c r="D56" i="15" s="1"/>
  <c r="D58" i="15"/>
  <c r="D74" i="15" s="1"/>
  <c r="B24" i="15"/>
  <c r="B26" i="15" s="1"/>
  <c r="D21" i="15"/>
  <c r="D16" i="15"/>
  <c r="D18" i="15" s="1"/>
  <c r="D20" i="15"/>
  <c r="D24" i="15" s="1"/>
  <c r="D26" i="15" s="1"/>
  <c r="C24" i="15"/>
  <c r="C26" i="15" s="1"/>
  <c r="B40" i="15" l="1"/>
  <c r="B43" i="15" s="1"/>
  <c r="E21" i="15"/>
  <c r="E16" i="15"/>
  <c r="E18" i="15" s="1"/>
  <c r="E20" i="15"/>
  <c r="E24" i="15" s="1"/>
  <c r="E26" i="15" s="1"/>
  <c r="E75" i="15"/>
  <c r="F10" i="15"/>
  <c r="F11" i="15" s="1"/>
  <c r="F13" i="15" s="1"/>
  <c r="F41" i="15"/>
  <c r="F30" i="15"/>
  <c r="D29" i="15"/>
  <c r="D33" i="15" s="1"/>
  <c r="D35" i="15" s="1"/>
  <c r="D36" i="15" s="1"/>
  <c r="D42" i="15" s="1"/>
  <c r="D40" i="15"/>
  <c r="C40" i="15"/>
  <c r="E55" i="15"/>
  <c r="E56" i="15" s="1"/>
  <c r="E58" i="15"/>
  <c r="E74" i="15" s="1"/>
  <c r="E59" i="15"/>
  <c r="B61" i="15" l="1"/>
  <c r="B62" i="15" s="1"/>
  <c r="F16" i="15"/>
  <c r="F18" i="15" s="1"/>
  <c r="F21" i="15"/>
  <c r="F20" i="15"/>
  <c r="F24" i="15" s="1"/>
  <c r="F26" i="15" s="1"/>
  <c r="D43" i="15"/>
  <c r="D61" i="15"/>
  <c r="D80" i="15" s="1"/>
  <c r="B47" i="15"/>
  <c r="B64" i="15" s="1"/>
  <c r="B46" i="15"/>
  <c r="C43" i="15"/>
  <c r="C61" i="15"/>
  <c r="C80" i="15" s="1"/>
  <c r="C84" i="15" s="1"/>
  <c r="E29" i="15"/>
  <c r="E33" i="15" s="1"/>
  <c r="E35" i="15" s="1"/>
  <c r="E36" i="15" s="1"/>
  <c r="E42" i="15" s="1"/>
  <c r="E40" i="15"/>
  <c r="F58" i="15"/>
  <c r="F74" i="15" s="1"/>
  <c r="F75" i="15" s="1"/>
  <c r="F55" i="15"/>
  <c r="F56" i="15" s="1"/>
  <c r="B80" i="15" l="1"/>
  <c r="B82" i="15" s="1"/>
  <c r="C82" i="15" s="1"/>
  <c r="E61" i="15"/>
  <c r="E80" i="15" s="1"/>
  <c r="E43" i="15"/>
  <c r="C62" i="15"/>
  <c r="D62" i="15" s="1"/>
  <c r="E62" i="15" s="1"/>
  <c r="C46" i="15"/>
  <c r="B48" i="15"/>
  <c r="C47" i="15"/>
  <c r="C64" i="15" s="1"/>
  <c r="B84" i="15"/>
  <c r="B86" i="15" s="1"/>
  <c r="C86" i="15" s="1"/>
  <c r="B65" i="15"/>
  <c r="F59" i="15"/>
  <c r="F29" i="15"/>
  <c r="F33" i="15" s="1"/>
  <c r="F35" i="15" s="1"/>
  <c r="F36" i="15" s="1"/>
  <c r="F42" i="15" s="1"/>
  <c r="F40" i="15"/>
  <c r="C65" i="15" l="1"/>
  <c r="C48" i="15"/>
  <c r="D46" i="15"/>
  <c r="D47" i="15"/>
  <c r="D64" i="15" s="1"/>
  <c r="F61" i="15"/>
  <c r="F80" i="15" s="1"/>
  <c r="F43" i="15"/>
  <c r="F44" i="15" s="1"/>
  <c r="D84" i="15"/>
  <c r="D81" i="15"/>
  <c r="D82" i="15" s="1"/>
  <c r="D85" i="15"/>
  <c r="D86" i="15" l="1"/>
  <c r="E85" i="15" s="1"/>
  <c r="D48" i="15"/>
  <c r="E46" i="15"/>
  <c r="E47" i="15"/>
  <c r="E64" i="15" s="1"/>
  <c r="E81" i="15"/>
  <c r="E84" i="15"/>
  <c r="E82" i="15"/>
  <c r="D65" i="15"/>
  <c r="D88" i="15"/>
  <c r="F62" i="15"/>
  <c r="E86" i="15" l="1"/>
  <c r="F85" i="15" s="1"/>
  <c r="E88" i="15"/>
  <c r="F81" i="15"/>
  <c r="F88" i="15" s="1"/>
  <c r="F84" i="15"/>
  <c r="F86" i="15" s="1"/>
  <c r="F82" i="15"/>
  <c r="E48" i="15"/>
  <c r="F46" i="15"/>
  <c r="F47" i="15"/>
  <c r="F64" i="15" s="1"/>
  <c r="D89" i="15"/>
  <c r="E65" i="15"/>
  <c r="E89" i="15" l="1"/>
  <c r="F65" i="15"/>
  <c r="F67" i="15" s="1"/>
  <c r="F89" i="15"/>
  <c r="G81" i="15"/>
  <c r="G84" i="15"/>
  <c r="G85" i="15" s="1"/>
  <c r="H85" i="15" s="1"/>
  <c r="F48" i="15"/>
  <c r="G88" i="15" l="1"/>
  <c r="H88" i="15" s="1"/>
  <c r="H93" i="15" s="1"/>
  <c r="H81" i="15"/>
  <c r="H92" i="15" s="1"/>
  <c r="G82" i="15"/>
  <c r="G86" i="15"/>
  <c r="G89" i="15" l="1"/>
  <c r="H94" i="15"/>
</calcChain>
</file>

<file path=xl/sharedStrings.xml><?xml version="1.0" encoding="utf-8"?>
<sst xmlns="http://schemas.openxmlformats.org/spreadsheetml/2006/main" count="85" uniqueCount="61">
  <si>
    <t>BATU Contribution Rate Base (2025-28)</t>
  </si>
  <si>
    <t>Opening Gross PP&amp;E</t>
  </si>
  <si>
    <t>Assumptions</t>
  </si>
  <si>
    <t xml:space="preserve">Additions </t>
  </si>
  <si>
    <t>EUL of Assets</t>
  </si>
  <si>
    <t>Closing Gross PP&amp;E</t>
  </si>
  <si>
    <t>CCA Rate (Class 47)</t>
  </si>
  <si>
    <t>Average Gross PP&amp;E</t>
  </si>
  <si>
    <t>Half-Year Rule</t>
  </si>
  <si>
    <t>In effect for purpose of depreciation and return</t>
  </si>
  <si>
    <t>AIIP</t>
  </si>
  <si>
    <t>2024-2027 Phase Out (suspension of half-year rule for CCA)</t>
  </si>
  <si>
    <t>Opening Accumulated Depreciation</t>
  </si>
  <si>
    <t>Additions</t>
  </si>
  <si>
    <t>Closing Accumulated Depreciation</t>
  </si>
  <si>
    <t>Average Accumulated Depreciation</t>
  </si>
  <si>
    <t>Average Net PP&amp;E</t>
  </si>
  <si>
    <t>Return on Rate Base</t>
  </si>
  <si>
    <t>Equity</t>
  </si>
  <si>
    <t>ROE</t>
  </si>
  <si>
    <t>Deemed Return on Equity</t>
  </si>
  <si>
    <t>Long Term Debt</t>
  </si>
  <si>
    <t>Short Term Debt</t>
  </si>
  <si>
    <t>Long Term Rate</t>
  </si>
  <si>
    <t>Short Term Rate</t>
  </si>
  <si>
    <t>Deemed Interest</t>
  </si>
  <si>
    <t>Taxes / PILs</t>
  </si>
  <si>
    <t>Regulatory Taxable Income</t>
  </si>
  <si>
    <t>Add Back Amortization Expense</t>
  </si>
  <si>
    <t>Deduct CCA</t>
  </si>
  <si>
    <t>Taxable Income</t>
  </si>
  <si>
    <t>Income Tax / PILs Before Gross-Up</t>
  </si>
  <si>
    <t>Income Tax / PILs Grossed Up</t>
  </si>
  <si>
    <t>Incremental Revenue Requirement</t>
  </si>
  <si>
    <t>Return on Rate Base - Total</t>
  </si>
  <si>
    <t>Amortization Expense - Total</t>
  </si>
  <si>
    <t>Grossed Up Taxes / PILs - Total</t>
  </si>
  <si>
    <t>Total Deferred Revenue Requirement</t>
  </si>
  <si>
    <t>Principal Balance</t>
  </si>
  <si>
    <t xml:space="preserve">Interest </t>
  </si>
  <si>
    <t>Q3 2023 OEB Prescribed Interest Rate for DVAs</t>
  </si>
  <si>
    <t>Combined Balance</t>
  </si>
  <si>
    <t>BATU Installment Sub-Accounts: Full Recovery</t>
  </si>
  <si>
    <t>BATU Installments Paid</t>
  </si>
  <si>
    <t>Debits</t>
  </si>
  <si>
    <t>Balance</t>
  </si>
  <si>
    <t>BATU Installment Depreciation Expense</t>
  </si>
  <si>
    <t>BATU Installment Accumulated Depreciation</t>
  </si>
  <si>
    <t>BATU Installment Revenue Requirement Impact</t>
  </si>
  <si>
    <t>BATU Installment Carrying Charges</t>
  </si>
  <si>
    <t>Amount for Disposition</t>
  </si>
  <si>
    <t>BATU Internal Net Book Value Tracking</t>
  </si>
  <si>
    <t xml:space="preserve">BATU Installment Sub-Accounts </t>
  </si>
  <si>
    <t>Forecast Final Disposition</t>
  </si>
  <si>
    <t>Interim Disposition</t>
  </si>
  <si>
    <t xml:space="preserve">BATU Installment Rate Rider Revenues </t>
  </si>
  <si>
    <t>Credits</t>
  </si>
  <si>
    <t>Dispostion to Ratepayers</t>
  </si>
  <si>
    <t>Sum of Disposition Amounts (Revenue Requirement Impact &amp; Carrying Charge Debits)</t>
  </si>
  <si>
    <t>Sum of Rate Rider Revenues</t>
  </si>
  <si>
    <t>Forecast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</si>
</sst>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\-&quot;$&quot;#,##0"/>
    <numFmt numFmtId="165" formatCode="&quot;$&quot;#,##0;[Red]\-&quot;$&quot;#,##0"/>
    <numFmt numFmtId="166" formatCode="&quot;$&quot;#,##0.00;[Red]\-&quot;$&quot;#,##0.00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0.0%"/>
    <numFmt numFmtId="170" formatCode="_-&quot;$&quot;* #,##0_-;\-&quot;$&quot;* #,##0_-;_-&quot;$&quot;* &quot;-&quot;??_-;_-@_-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_(* #,##0_);_(* \(#,##0\);_(* &quot;-&quot;??_);_(@_)"/>
    <numFmt numFmtId="177" formatCode="&quot;£ &quot;#,##0.00;[Red]\-&quot;£ &quot;#,##0.00"/>
    <numFmt numFmtId="178" formatCode="_-* #,##0.00_-;\-* #,##0.00_-;_-* \-??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Mangal"/>
      <family val="2"/>
      <charset val="1"/>
    </font>
    <font>
      <sz val="11"/>
      <color theme="1"/>
      <name val="Calibri"/>
      <family val="2"/>
    </font>
    <font>
      <sz val="12"/>
      <name val="Arial"/>
      <family val="2"/>
    </font>
    <font>
      <u/>
      <sz val="11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1" applyNumberFormat="0" applyAlignment="0" applyProtection="0"/>
    <xf numFmtId="0" fontId="24" fillId="52" borderId="12" applyNumberFormat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1" applyNumberFormat="0" applyAlignment="0" applyProtection="0"/>
    <xf numFmtId="0" fontId="31" fillId="0" borderId="16" applyNumberFormat="0" applyFill="0" applyAlignment="0" applyProtection="0"/>
    <xf numFmtId="0" fontId="32" fillId="53" borderId="0" applyNumberFormat="0" applyBorder="0" applyAlignment="0" applyProtection="0"/>
    <xf numFmtId="0" fontId="3" fillId="54" borderId="17" applyNumberFormat="0" applyFont="0" applyAlignment="0" applyProtection="0"/>
    <xf numFmtId="0" fontId="33" fillId="51" borderId="18" applyNumberFormat="0" applyAlignment="0" applyProtection="0"/>
    <xf numFmtId="0" fontId="18" fillId="0" borderId="0"/>
    <xf numFmtId="0" fontId="34" fillId="0" borderId="0" applyNumberFormat="0" applyFill="0" applyBorder="0" applyAlignment="0" applyProtection="0"/>
    <xf numFmtId="0" fontId="35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4" fillId="0" borderId="2" applyNumberFormat="0" applyFill="0" applyAlignment="0" applyProtection="0"/>
    <xf numFmtId="0" fontId="1" fillId="0" borderId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3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5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3" fillId="0" borderId="0"/>
    <xf numFmtId="172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3" fontId="3" fillId="0" borderId="0"/>
    <xf numFmtId="174" fontId="3" fillId="0" borderId="0"/>
    <xf numFmtId="173" fontId="3" fillId="0" borderId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38" fontId="19" fillId="55" borderId="0" applyNumberFormat="0" applyBorder="0" applyAlignment="0" applyProtection="0"/>
    <xf numFmtId="10" fontId="19" fillId="56" borderId="20" applyNumberFormat="0" applyBorder="0" applyAlignment="0" applyProtection="0"/>
    <xf numFmtId="175" fontId="3" fillId="0" borderId="0"/>
    <xf numFmtId="176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7" fontId="3" fillId="0" borderId="0"/>
    <xf numFmtId="10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9" fillId="0" borderId="0" applyFill="0" applyBorder="0" applyAlignment="0" applyProtection="0"/>
    <xf numFmtId="9" fontId="39" fillId="0" borderId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0" borderId="0"/>
    <xf numFmtId="0" fontId="40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/>
    <xf numFmtId="0" fontId="3" fillId="0" borderId="0"/>
    <xf numFmtId="0" fontId="30" fillId="38" borderId="11" applyNumberFormat="0" applyAlignment="0" applyProtection="0"/>
    <xf numFmtId="0" fontId="18" fillId="0" borderId="0"/>
    <xf numFmtId="0" fontId="30" fillId="38" borderId="11" applyNumberFormat="0" applyAlignment="0" applyProtection="0"/>
    <xf numFmtId="9" fontId="3" fillId="0" borderId="0" applyFont="0" applyFill="0" applyBorder="0" applyAlignment="0" applyProtection="0"/>
    <xf numFmtId="0" fontId="1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9" fontId="3" fillId="0" borderId="0" applyFont="0" applyFill="0" applyBorder="0" applyAlignment="0" applyProtection="0"/>
    <xf numFmtId="0" fontId="30" fillId="38" borderId="11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0" fontId="30" fillId="38" borderId="11" applyNumberForma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1" fillId="0" borderId="0"/>
    <xf numFmtId="167" fontId="41" fillId="0" borderId="0" applyFont="0" applyFill="0" applyBorder="0" applyAlignment="0" applyProtection="0"/>
    <xf numFmtId="9" fontId="41" fillId="0" borderId="0" applyFont="0" applyFill="0" applyBorder="0" applyAlignment="0" applyProtection="0"/>
  </cellStyleXfs>
  <cellXfs count="98">
    <xf numFmtId="0" fontId="0" fillId="0" borderId="0" xfId="0"/>
    <xf numFmtId="170" fontId="0" fillId="0" borderId="0" xfId="0" applyNumberFormat="1"/>
    <xf numFmtId="170" fontId="0" fillId="0" borderId="1" xfId="1" applyNumberFormat="1" applyFont="1" applyBorder="1"/>
    <xf numFmtId="170" fontId="0" fillId="0" borderId="0" xfId="1" applyNumberFormat="1" applyFont="1" applyBorder="1"/>
    <xf numFmtId="169" fontId="0" fillId="0" borderId="0" xfId="2" applyNumberFormat="1" applyFont="1"/>
    <xf numFmtId="170" fontId="0" fillId="0" borderId="0" xfId="1" applyNumberFormat="1" applyFont="1" applyFill="1" applyBorder="1"/>
    <xf numFmtId="170" fontId="0" fillId="0" borderId="1" xfId="1" applyNumberFormat="1" applyFont="1" applyFill="1" applyBorder="1"/>
    <xf numFmtId="10" fontId="0" fillId="0" borderId="1" xfId="2" applyNumberFormat="1" applyFont="1" applyFill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170" fontId="0" fillId="0" borderId="1" xfId="0" applyNumberFormat="1" applyBorder="1"/>
    <xf numFmtId="0" fontId="17" fillId="0" borderId="21" xfId="0" applyFont="1" applyBorder="1"/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0" fillId="0" borderId="24" xfId="0" applyBorder="1" applyAlignment="1">
      <alignment horizontal="right"/>
    </xf>
    <xf numFmtId="170" fontId="0" fillId="0" borderId="25" xfId="0" applyNumberForma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9" xfId="0" applyBorder="1"/>
    <xf numFmtId="10" fontId="0" fillId="0" borderId="30" xfId="2" applyNumberFormat="1" applyFont="1" applyBorder="1" applyAlignment="1">
      <alignment horizontal="center" vertical="center"/>
    </xf>
    <xf numFmtId="10" fontId="0" fillId="0" borderId="0" xfId="2" applyNumberFormat="1" applyFont="1" applyFill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10" fontId="0" fillId="0" borderId="25" xfId="2" applyNumberFormat="1" applyFont="1" applyBorder="1" applyAlignment="1">
      <alignment horizontal="center" vertical="center"/>
    </xf>
    <xf numFmtId="0" fontId="0" fillId="0" borderId="26" xfId="0" applyBorder="1"/>
    <xf numFmtId="170" fontId="0" fillId="0" borderId="25" xfId="1" applyNumberFormat="1" applyFont="1" applyFill="1" applyBorder="1"/>
    <xf numFmtId="170" fontId="0" fillId="0" borderId="25" xfId="1" applyNumberFormat="1" applyFont="1" applyBorder="1"/>
    <xf numFmtId="170" fontId="0" fillId="0" borderId="30" xfId="0" applyNumberFormat="1" applyBorder="1"/>
    <xf numFmtId="0" fontId="0" fillId="0" borderId="29" xfId="0" applyBorder="1" applyAlignment="1">
      <alignment horizontal="right"/>
    </xf>
    <xf numFmtId="0" fontId="0" fillId="0" borderId="1" xfId="0" applyBorder="1"/>
    <xf numFmtId="0" fontId="0" fillId="0" borderId="30" xfId="0" applyBorder="1"/>
    <xf numFmtId="170" fontId="0" fillId="0" borderId="30" xfId="1" applyNumberFormat="1" applyFont="1" applyBorder="1"/>
    <xf numFmtId="0" fontId="2" fillId="0" borderId="26" xfId="0" applyFont="1" applyBorder="1"/>
    <xf numFmtId="170" fontId="2" fillId="0" borderId="27" xfId="0" applyNumberFormat="1" applyFont="1" applyBorder="1"/>
    <xf numFmtId="170" fontId="2" fillId="0" borderId="28" xfId="0" applyNumberFormat="1" applyFont="1" applyBorder="1"/>
    <xf numFmtId="0" fontId="2" fillId="0" borderId="26" xfId="0" applyFont="1" applyBorder="1" applyAlignment="1">
      <alignment horizontal="right"/>
    </xf>
    <xf numFmtId="170" fontId="2" fillId="0" borderId="27" xfId="1" applyNumberFormat="1" applyFont="1" applyFill="1" applyBorder="1"/>
    <xf numFmtId="170" fontId="2" fillId="0" borderId="28" xfId="1" applyNumberFormat="1" applyFont="1" applyFill="1" applyBorder="1"/>
    <xf numFmtId="170" fontId="0" fillId="0" borderId="27" xfId="1" applyNumberFormat="1" applyFont="1" applyBorder="1"/>
    <xf numFmtId="0" fontId="2" fillId="0" borderId="27" xfId="1" applyNumberFormat="1" applyFont="1" applyBorder="1" applyAlignment="1">
      <alignment horizontal="right"/>
    </xf>
    <xf numFmtId="170" fontId="2" fillId="0" borderId="28" xfId="1" applyNumberFormat="1" applyFont="1" applyBorder="1"/>
    <xf numFmtId="1" fontId="0" fillId="0" borderId="0" xfId="0" applyNumberFormat="1" applyAlignment="1">
      <alignment horizontal="left" vertical="center"/>
    </xf>
    <xf numFmtId="1" fontId="0" fillId="0" borderId="23" xfId="0" applyNumberFormat="1" applyBorder="1" applyAlignment="1">
      <alignment horizontal="left" vertical="center"/>
    </xf>
    <xf numFmtId="1" fontId="0" fillId="0" borderId="25" xfId="1" applyNumberFormat="1" applyFont="1" applyFill="1" applyBorder="1" applyAlignment="1">
      <alignment horizontal="left" vertical="center"/>
    </xf>
    <xf numFmtId="9" fontId="0" fillId="0" borderId="25" xfId="2" applyFont="1" applyBorder="1" applyAlignment="1">
      <alignment horizontal="left" vertical="center"/>
    </xf>
    <xf numFmtId="1" fontId="0" fillId="0" borderId="25" xfId="0" applyNumberFormat="1" applyBorder="1" applyAlignment="1">
      <alignment horizontal="left" vertical="center"/>
    </xf>
    <xf numFmtId="1" fontId="0" fillId="0" borderId="28" xfId="0" applyNumberFormat="1" applyBorder="1" applyAlignment="1">
      <alignment horizontal="left" vertical="center"/>
    </xf>
    <xf numFmtId="170" fontId="0" fillId="0" borderId="30" xfId="1" applyNumberFormat="1" applyFont="1" applyFill="1" applyBorder="1"/>
    <xf numFmtId="0" fontId="0" fillId="0" borderId="27" xfId="0" applyBorder="1"/>
    <xf numFmtId="0" fontId="0" fillId="0" borderId="25" xfId="0" applyBorder="1"/>
    <xf numFmtId="1" fontId="2" fillId="0" borderId="22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0" fontId="2" fillId="0" borderId="33" xfId="0" applyFont="1" applyBorder="1"/>
    <xf numFmtId="170" fontId="2" fillId="0" borderId="34" xfId="1" applyNumberFormat="1" applyFont="1" applyBorder="1"/>
    <xf numFmtId="170" fontId="2" fillId="0" borderId="35" xfId="1" applyNumberFormat="1" applyFont="1" applyBorder="1"/>
    <xf numFmtId="10" fontId="2" fillId="0" borderId="0" xfId="2" applyNumberFormat="1" applyFont="1" applyAlignment="1">
      <alignment horizontal="center"/>
    </xf>
    <xf numFmtId="1" fontId="2" fillId="0" borderId="0" xfId="0" applyNumberFormat="1" applyFont="1" applyAlignment="1">
      <alignment horizontal="left" vertical="center"/>
    </xf>
    <xf numFmtId="0" fontId="0" fillId="0" borderId="21" xfId="0" applyBorder="1"/>
    <xf numFmtId="170" fontId="0" fillId="0" borderId="22" xfId="0" applyNumberFormat="1" applyBorder="1"/>
    <xf numFmtId="170" fontId="0" fillId="0" borderId="23" xfId="0" applyNumberFormat="1" applyBorder="1"/>
    <xf numFmtId="0" fontId="0" fillId="0" borderId="0" xfId="0" applyAlignment="1">
      <alignment horizontal="right"/>
    </xf>
    <xf numFmtId="170" fontId="0" fillId="0" borderId="36" xfId="0" applyNumberFormat="1" applyBorder="1"/>
    <xf numFmtId="170" fontId="0" fillId="0" borderId="37" xfId="0" applyNumberFormat="1" applyBorder="1"/>
    <xf numFmtId="170" fontId="0" fillId="0" borderId="38" xfId="0" applyNumberFormat="1" applyBorder="1"/>
    <xf numFmtId="170" fontId="0" fillId="0" borderId="39" xfId="0" applyNumberFormat="1" applyBorder="1"/>
    <xf numFmtId="1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1" xfId="0" applyFont="1" applyBorder="1"/>
    <xf numFmtId="0" fontId="0" fillId="0" borderId="40" xfId="0" applyBorder="1" applyAlignment="1">
      <alignment horizontal="right"/>
    </xf>
    <xf numFmtId="0" fontId="0" fillId="0" borderId="32" xfId="0" applyBorder="1" applyAlignment="1">
      <alignment horizontal="right"/>
    </xf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42" fillId="0" borderId="0" xfId="0" applyFont="1" applyAlignment="1">
      <alignment horizontal="left"/>
    </xf>
    <xf numFmtId="165" fontId="0" fillId="0" borderId="38" xfId="0" applyNumberFormat="1" applyBorder="1"/>
    <xf numFmtId="165" fontId="0" fillId="0" borderId="1" xfId="0" applyNumberFormat="1" applyBorder="1"/>
    <xf numFmtId="165" fontId="0" fillId="0" borderId="36" xfId="0" applyNumberFormat="1" applyBorder="1"/>
    <xf numFmtId="165" fontId="0" fillId="0" borderId="37" xfId="0" applyNumberFormat="1" applyBorder="1"/>
    <xf numFmtId="165" fontId="0" fillId="0" borderId="39" xfId="0" applyNumberFormat="1" applyBorder="1"/>
    <xf numFmtId="165" fontId="0" fillId="0" borderId="0" xfId="0" applyNumberFormat="1"/>
    <xf numFmtId="0" fontId="0" fillId="0" borderId="41" xfId="0" applyBorder="1"/>
    <xf numFmtId="0" fontId="0" fillId="0" borderId="36" xfId="0" applyBorder="1"/>
    <xf numFmtId="166" fontId="0" fillId="0" borderId="36" xfId="0" applyNumberFormat="1" applyBorder="1"/>
    <xf numFmtId="0" fontId="2" fillId="0" borderId="37" xfId="0" applyFont="1" applyBorder="1" applyAlignment="1">
      <alignment horizontal="right"/>
    </xf>
    <xf numFmtId="0" fontId="0" fillId="0" borderId="42" xfId="0" applyBorder="1"/>
    <xf numFmtId="0" fontId="0" fillId="0" borderId="38" xfId="0" applyBorder="1" applyAlignment="1">
      <alignment horizontal="right"/>
    </xf>
    <xf numFmtId="170" fontId="0" fillId="0" borderId="42" xfId="0" applyNumberFormat="1" applyBorder="1"/>
    <xf numFmtId="0" fontId="0" fillId="0" borderId="43" xfId="0" applyBorder="1"/>
    <xf numFmtId="0" fontId="0" fillId="0" borderId="39" xfId="0" applyBorder="1" applyAlignment="1">
      <alignment horizontal="right"/>
    </xf>
    <xf numFmtId="0" fontId="0" fillId="0" borderId="31" xfId="0" applyBorder="1"/>
    <xf numFmtId="165" fontId="0" fillId="0" borderId="40" xfId="0" applyNumberFormat="1" applyBorder="1"/>
    <xf numFmtId="165" fontId="0" fillId="0" borderId="32" xfId="0" applyNumberFormat="1" applyBorder="1"/>
    <xf numFmtId="170" fontId="0" fillId="0" borderId="41" xfId="0" applyNumberFormat="1" applyBorder="1"/>
    <xf numFmtId="165" fontId="0" fillId="0" borderId="42" xfId="0" applyNumberFormat="1" applyBorder="1"/>
    <xf numFmtId="165" fontId="0" fillId="0" borderId="43" xfId="0" applyNumberFormat="1" applyBorder="1"/>
    <xf numFmtId="165" fontId="0" fillId="0" borderId="41" xfId="0" applyNumberFormat="1" applyBorder="1"/>
    <xf numFmtId="0" fontId="0" fillId="0" borderId="40" xfId="0" applyBorder="1"/>
    <xf numFmtId="0" fontId="0" fillId="0" borderId="32" xfId="0" applyBorder="1"/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right"/>
    </xf>
  </cellXfs>
  <cellStyles count="175">
    <cellStyle name="$" xfId="105" xr:uid="{E08FC031-D031-422F-951C-71A40251C322}"/>
    <cellStyle name="$.00" xfId="106" xr:uid="{44D4FFA4-4382-48CD-AEDC-3FC17E5E5F30}"/>
    <cellStyle name="$_9. Rev2Cost_GDPIPI" xfId="107" xr:uid="{2B83FF5D-3D67-4A6B-AA49-A9988F4797E6}"/>
    <cellStyle name="$_lists" xfId="108" xr:uid="{BD4D6678-0084-4545-93B8-DCBA92B2568B}"/>
    <cellStyle name="$_lists_4. Current Monthly Fixed Charge" xfId="109" xr:uid="{8D155C0F-03A1-4B78-AB2C-C9A11F00F836}"/>
    <cellStyle name="$_Sheet4" xfId="110" xr:uid="{C3C3958D-E282-4313-AA2B-D037E883423D}"/>
    <cellStyle name="$M" xfId="111" xr:uid="{33DCDEF3-3708-4F60-95FC-1662E581E332}"/>
    <cellStyle name="$M.00" xfId="112" xr:uid="{341F658B-D54C-4B90-B803-96FF079C49DD}"/>
    <cellStyle name="$M_9. Rev2Cost_GDPIPI" xfId="113" xr:uid="{74FC2177-65DB-4FF3-9F2A-A62D9DF2AAF9}"/>
    <cellStyle name="20% - Accent1 2" xfId="72" xr:uid="{F9A040A5-5913-4162-B720-80A37A7227B3}"/>
    <cellStyle name="20% - Accent1 3" xfId="9" xr:uid="{7B1B4103-4529-42B2-8EF6-C52A4AD63F4D}"/>
    <cellStyle name="20% - Accent2 2" xfId="76" xr:uid="{D1D4C726-2672-4DD7-A189-66BDE0C7FB0D}"/>
    <cellStyle name="20% - Accent2 3" xfId="10" xr:uid="{D0DA67BB-0DE5-4310-BA59-203971C65314}"/>
    <cellStyle name="20% - Accent3 2" xfId="80" xr:uid="{AB742864-B7A5-4845-982F-9A7840EA9E22}"/>
    <cellStyle name="20% - Accent3 3" xfId="11" xr:uid="{A1978BA6-8DE2-419A-BDF4-DA27B7A150BC}"/>
    <cellStyle name="20% - Accent4 2" xfId="84" xr:uid="{FD0B3528-4801-4FE8-BF26-E6935F9ACFC4}"/>
    <cellStyle name="20% - Accent4 3" xfId="12" xr:uid="{9138516D-E1B5-4F07-A8F4-B6DAF759010B}"/>
    <cellStyle name="20% - Accent5 2" xfId="88" xr:uid="{906E8C90-AA2A-43C5-9000-1430B56A0960}"/>
    <cellStyle name="20% - Accent5 3" xfId="13" xr:uid="{48FEEE62-8746-40DD-A815-43BA1B0B40EE}"/>
    <cellStyle name="20% - Accent6 2" xfId="92" xr:uid="{59BC35F9-8CB5-48D7-89A3-2D88D1A4C4E2}"/>
    <cellStyle name="20% - Accent6 3" xfId="14" xr:uid="{4582A141-C7FB-4076-9A5A-449F3834EF21}"/>
    <cellStyle name="40% - Accent1 2" xfId="73" xr:uid="{A0C81D4B-C739-4E8A-8166-393ABC9251F1}"/>
    <cellStyle name="40% - Accent1 3" xfId="15" xr:uid="{2BFF0E16-F48E-4DE7-B2AC-6A7C8A1FCAFC}"/>
    <cellStyle name="40% - Accent2 2" xfId="77" xr:uid="{6B96760D-0D88-47FD-B127-F7BDD279A243}"/>
    <cellStyle name="40% - Accent2 3" xfId="16" xr:uid="{F0E96E0D-AB55-4990-9C15-31DE94548C1E}"/>
    <cellStyle name="40% - Accent3 2" xfId="81" xr:uid="{49CFCD61-1716-49E7-8A49-F0B0DCE360BA}"/>
    <cellStyle name="40% - Accent3 3" xfId="17" xr:uid="{1D092DF8-DF8E-4D81-9968-2F0538DC6E93}"/>
    <cellStyle name="40% - Accent4 2" xfId="85" xr:uid="{D00C696D-F1E1-4603-A819-F86FF5BEBED6}"/>
    <cellStyle name="40% - Accent4 3" xfId="18" xr:uid="{C21087CA-9B48-4494-A7D5-768D19F03387}"/>
    <cellStyle name="40% - Accent5 2" xfId="89" xr:uid="{5BF80D19-3960-40EB-9011-E0F191E8683E}"/>
    <cellStyle name="40% - Accent5 3" xfId="19" xr:uid="{1484B3E3-FA15-40A6-8F95-964D3F591827}"/>
    <cellStyle name="40% - Accent6 2" xfId="93" xr:uid="{FE569AB8-7808-4519-AA51-EA04DBCDB4FA}"/>
    <cellStyle name="40% - Accent6 3" xfId="20" xr:uid="{E25E9D91-FCBB-4629-8F04-90E88F9B0CD4}"/>
    <cellStyle name="60% - Accent1 2" xfId="74" xr:uid="{2F2DD733-0504-41EA-8E92-A5FE66AA1D2D}"/>
    <cellStyle name="60% - Accent1 3" xfId="21" xr:uid="{E43D3BF5-8150-4754-8A13-F97D03010DED}"/>
    <cellStyle name="60% - Accent2 2" xfId="78" xr:uid="{9A8C9D20-33C6-4C60-8770-B5D56A36849A}"/>
    <cellStyle name="60% - Accent2 3" xfId="22" xr:uid="{724941A5-5831-428C-A5B9-1EBA89CE4B1F}"/>
    <cellStyle name="60% - Accent3 2" xfId="82" xr:uid="{2F400662-EFF1-4066-840D-ECC2B34B6607}"/>
    <cellStyle name="60% - Accent3 3" xfId="23" xr:uid="{1B96BE99-ABCA-4B82-8484-E2007724E653}"/>
    <cellStyle name="60% - Accent4 2" xfId="86" xr:uid="{40683E20-FE00-45A1-8078-BDDFCF41F718}"/>
    <cellStyle name="60% - Accent4 3" xfId="24" xr:uid="{7C60B315-F5A6-43C1-B18F-7DC62DC1D20A}"/>
    <cellStyle name="60% - Accent5 2" xfId="90" xr:uid="{85736E3F-B6A3-42CA-B2CF-AB0DDD20CEA0}"/>
    <cellStyle name="60% - Accent5 3" xfId="25" xr:uid="{802F56D6-2585-4A0D-A71B-E4D777362D3F}"/>
    <cellStyle name="60% - Accent6 2" xfId="94" xr:uid="{7C65D377-C8B1-41BA-9594-B380DDA33F46}"/>
    <cellStyle name="60% - Accent6 3" xfId="26" xr:uid="{37237529-5226-4010-9874-CCA34B5DB7BA}"/>
    <cellStyle name="Accent1 2" xfId="71" xr:uid="{854338E5-6023-464F-A667-ADC9868317BE}"/>
    <cellStyle name="Accent1 3" xfId="27" xr:uid="{BA335EB6-FC23-4BB6-821C-948A03739358}"/>
    <cellStyle name="Accent2 2" xfId="75" xr:uid="{81A955FC-C437-43D2-A05D-1FD8EC59653E}"/>
    <cellStyle name="Accent2 3" xfId="28" xr:uid="{ACD63FF2-2AC0-4933-83B9-E06550D4072B}"/>
    <cellStyle name="Accent3 2" xfId="79" xr:uid="{5F64CD3D-EBD9-4DF5-B9D7-4D6536B2DC9C}"/>
    <cellStyle name="Accent3 3" xfId="29" xr:uid="{1002AEA9-43F0-4E86-88A3-3BA03B97959B}"/>
    <cellStyle name="Accent4 2" xfId="83" xr:uid="{4A2B92CB-5620-420F-8D48-D0DBC1B8044A}"/>
    <cellStyle name="Accent4 3" xfId="30" xr:uid="{ABF8C71E-94E5-40ED-B0A0-0B1E916D4178}"/>
    <cellStyle name="Accent5 2" xfId="87" xr:uid="{D8F35278-8790-4829-BB6D-A4D349F24C5A}"/>
    <cellStyle name="Accent5 3" xfId="31" xr:uid="{AF7A47A5-B2C1-4F7D-B6F3-390F47F1B7FE}"/>
    <cellStyle name="Accent6 2" xfId="91" xr:uid="{1889BA4C-1656-4515-BDE8-93DD42A8409C}"/>
    <cellStyle name="Accent6 3" xfId="32" xr:uid="{4211D181-A79F-49FA-A61A-7175C608B602}"/>
    <cellStyle name="Bad 2" xfId="60" xr:uid="{62DED261-6197-4623-A74F-53194927F28E}"/>
    <cellStyle name="Bad 3" xfId="33" xr:uid="{E224A1E3-D99F-4558-B45F-055C695470DB}"/>
    <cellStyle name="Calculation 2" xfId="64" xr:uid="{AE2A3F0A-9C83-4B46-915A-025AE1548D9D}"/>
    <cellStyle name="Calculation 3" xfId="34" xr:uid="{2F064D22-AEAD-4CD1-BB9E-BA26BB31121A}"/>
    <cellStyle name="Check Cell 2" xfId="66" xr:uid="{9E086A95-2982-4F8A-B251-D6D5FF87738F}"/>
    <cellStyle name="Check Cell 3" xfId="35" xr:uid="{A581DC3E-AF53-4B77-8D9D-11A66A0D9F7A}"/>
    <cellStyle name="Comma 2" xfId="5" xr:uid="{96FF78F5-7CCA-429E-9445-6860299FF817}"/>
    <cellStyle name="Comma 2 2" xfId="96" xr:uid="{2879E106-C1E3-4AB8-B984-0977D48A18DA}"/>
    <cellStyle name="Comma 2 3" xfId="171" xr:uid="{F8A28FEB-C29D-4CE4-83F8-017BBC7E1BFF}"/>
    <cellStyle name="Comma 3" xfId="99" xr:uid="{B6088168-16C0-47BB-A997-A78B08E85EC2}"/>
    <cellStyle name="Comma 3 2" xfId="129" xr:uid="{D5A1A822-EF10-4E93-9B4B-B957779E7BE7}"/>
    <cellStyle name="Comma 3 2 2" xfId="133" xr:uid="{1EFBCF96-8C66-4629-B5B4-A89C1484AA18}"/>
    <cellStyle name="Comma 4" xfId="104" xr:uid="{6B139352-4148-41DD-B21B-D253EB12EDED}"/>
    <cellStyle name="Comma 5" xfId="137" xr:uid="{4FBE9916-7E2A-4430-B4B0-7F2031C0DC1B}"/>
    <cellStyle name="Comma 6" xfId="140" xr:uid="{5EAB9BFA-940E-4FE9-A4DC-2F8D804D8BB6}"/>
    <cellStyle name="Comma 7" xfId="144" xr:uid="{04E8F28C-763B-4FF5-8BF2-A7CEF5B6612D}"/>
    <cellStyle name="Comma 7 2" xfId="150" xr:uid="{01305AEF-5563-4000-9A6C-945304C9F41E}"/>
    <cellStyle name="Comma 8" xfId="149" xr:uid="{DF2A281C-05C7-4ACF-A374-CDFDDA91D33B}"/>
    <cellStyle name="Comma 9" xfId="36" xr:uid="{E7D3726D-803E-4609-B5C0-56B60E4B311C}"/>
    <cellStyle name="Comma0" xfId="114" xr:uid="{E5219A96-E75F-4F6E-846E-BBE1EC405EE6}"/>
    <cellStyle name="Currency" xfId="1" builtinId="4"/>
    <cellStyle name="Currency 2" xfId="6" xr:uid="{6DD963D1-4F49-460B-8C6F-E0B8D2A4B61A}"/>
    <cellStyle name="Currency 2 2" xfId="139" xr:uid="{21F53489-C583-4940-A48A-4228C2F8B0BA}"/>
    <cellStyle name="Currency 2 3" xfId="103" xr:uid="{6A70DD53-FF8F-4B0F-9CB8-1145F641EB8C}"/>
    <cellStyle name="Currency 2 4" xfId="170" xr:uid="{D10201DE-54CB-42D1-9D12-3788B947947F}"/>
    <cellStyle name="Currency 3" xfId="131" xr:uid="{370EB0B5-C64B-4284-A70B-FA8CC9E65735}"/>
    <cellStyle name="Currency 3 2" xfId="173" xr:uid="{07F8530E-4AF3-4960-879C-634BB3EC8855}"/>
    <cellStyle name="Currency 4" xfId="136" xr:uid="{97BBB0E2-255E-403F-BDF5-5EB09BCD8F84}"/>
    <cellStyle name="Currency 5" xfId="143" xr:uid="{055C275C-2F64-4FAD-A160-AE80A00013D4}"/>
    <cellStyle name="Currency 6" xfId="37" xr:uid="{BA8E70B0-4E25-4E0A-8E56-C6C5115BDEC7}"/>
    <cellStyle name="Currency0" xfId="115" xr:uid="{83A3A893-42CF-4B46-9737-C6A8762CE6A0}"/>
    <cellStyle name="Date" xfId="116" xr:uid="{B3DFE421-03DB-490A-973A-3052E36F7155}"/>
    <cellStyle name="Explanatory Text 2" xfId="69" xr:uid="{C46371AC-FBCE-4807-8F7A-F679E37F89F4}"/>
    <cellStyle name="Explanatory Text 3" xfId="38" xr:uid="{0E905C60-CC4C-4744-B51F-558DACD8302C}"/>
    <cellStyle name="Fixed" xfId="117" xr:uid="{6786249C-9F59-4F9C-B866-F9994BB48FBF}"/>
    <cellStyle name="Good 2" xfId="59" xr:uid="{C50CDCD1-63FA-476E-B502-4F953836E9DA}"/>
    <cellStyle name="Good 3" xfId="39" xr:uid="{AB66A5C5-E96A-4FF4-BCA9-1980CF43DE16}"/>
    <cellStyle name="Grey" xfId="118" xr:uid="{395FB1BA-380D-434E-BEF8-7AC1BD99EFC5}"/>
    <cellStyle name="Heading 1 2" xfId="55" xr:uid="{F4FF4137-4778-45F2-BBB0-A0ED4012058E}"/>
    <cellStyle name="Heading 1 3" xfId="40" xr:uid="{8C8E3162-4466-4808-8D0E-EE9F93EE4C2B}"/>
    <cellStyle name="Heading 2 2" xfId="54" xr:uid="{B9C5BD42-AC46-4AC7-B48A-6F3DA6CA028A}"/>
    <cellStyle name="Heading 2 3" xfId="41" xr:uid="{B1437D71-A16C-488F-98FA-4464D10A2B85}"/>
    <cellStyle name="Heading 3 2" xfId="57" xr:uid="{937888B5-0FF9-49A9-A312-DEF4D5B96546}"/>
    <cellStyle name="Heading 3 3" xfId="42" xr:uid="{26289B19-79FF-48E2-92A6-ED16C56CD57C}"/>
    <cellStyle name="Heading 4 2" xfId="58" xr:uid="{CB4795D0-503A-4D45-9F93-7792DCC52798}"/>
    <cellStyle name="Heading 4 3" xfId="43" xr:uid="{7EF69CC2-79D2-4BD4-9825-1853764BEC22}"/>
    <cellStyle name="Input [yellow]" xfId="119" xr:uid="{61E2FCF9-B296-4D3D-876C-A112A46CD7C5}"/>
    <cellStyle name="Input 2" xfId="62" xr:uid="{897B6BD3-E7CA-4B00-888E-23898D8876AE}"/>
    <cellStyle name="Input 3" xfId="44" xr:uid="{A1419B9E-11C9-45A1-8E71-114BCE3F00B9}"/>
    <cellStyle name="Input 4" xfId="155" xr:uid="{B427F64C-34DB-4600-BB88-DE042EA6AA9A}"/>
    <cellStyle name="Input 5" xfId="162" xr:uid="{F8287E0B-7A5A-4496-85EE-416D228DEA67}"/>
    <cellStyle name="Input 6" xfId="153" xr:uid="{5F3FC0EF-CED0-44DE-838A-EE4BED76324B}"/>
    <cellStyle name="Input 7" xfId="165" xr:uid="{8D404342-D1B4-4F89-800E-C146403AED06}"/>
    <cellStyle name="Linked Cell 2" xfId="65" xr:uid="{8BF2A03C-386A-4EC7-A009-2187408485E5}"/>
    <cellStyle name="Linked Cell 3" xfId="45" xr:uid="{FA0D5DB5-1892-4557-B2FA-B6F1782E3650}"/>
    <cellStyle name="M" xfId="120" xr:uid="{857EED2D-F528-4673-802C-2C9B47757564}"/>
    <cellStyle name="M.00" xfId="121" xr:uid="{2B88456D-C3FA-4664-871E-5F96DDB9FEE5}"/>
    <cellStyle name="M_9. Rev2Cost_GDPIPI" xfId="122" xr:uid="{9AE880B9-BED1-4BE1-A0FD-D5271880EC63}"/>
    <cellStyle name="M_lists" xfId="123" xr:uid="{D11E9435-3900-42FC-8EE3-247B6B765843}"/>
    <cellStyle name="M_lists_4. Current Monthly Fixed Charge" xfId="124" xr:uid="{631C515F-898E-46B9-A045-5C8EF61EA2D0}"/>
    <cellStyle name="M_Sheet4" xfId="125" xr:uid="{BAC3C5FD-6546-466F-8C67-C963CB52FD38}"/>
    <cellStyle name="Neutral 2" xfId="61" xr:uid="{0F7803EE-51CE-40A1-A17A-D74D4F9B45EA}"/>
    <cellStyle name="Neutral 3" xfId="46" xr:uid="{2408F505-2D19-45B6-AA00-C779D4B1FAE4}"/>
    <cellStyle name="Normal" xfId="0" builtinId="0"/>
    <cellStyle name="Normal - Style1" xfId="126" xr:uid="{B586FAF6-DAF0-4D7C-94FC-C61FFD6B459C}"/>
    <cellStyle name="Normal 10" xfId="147" xr:uid="{E952B448-E2FF-4F14-8809-AD359802B2B2}"/>
    <cellStyle name="Normal 11" xfId="148" xr:uid="{7225953D-D611-4DA4-9A4B-D3DFE51F25B6}"/>
    <cellStyle name="Normal 12" xfId="151" xr:uid="{336A77E1-6B1D-41F0-BA2A-28E70D4438B6}"/>
    <cellStyle name="Normal 122 2" xfId="4" xr:uid="{13EF5C93-6BDB-4AAE-ABA2-B5F08075792F}"/>
    <cellStyle name="Normal 13" xfId="8" xr:uid="{1C9CB966-E6B9-43B1-85CD-51444EA05F2B}"/>
    <cellStyle name="Normal 14" xfId="49" xr:uid="{24DF811C-37D9-4B1C-9AFE-15B338F6CD90}"/>
    <cellStyle name="Normal 15" xfId="157" xr:uid="{F44F3B62-5774-46E6-BEE4-FD44BB4E56B7}"/>
    <cellStyle name="Normal 16" xfId="152" xr:uid="{7D6FFB60-817A-4C37-8EF1-C460148938A1}"/>
    <cellStyle name="Normal 17" xfId="160" xr:uid="{78A66FDE-684E-45EA-B003-8770EC1E7176}"/>
    <cellStyle name="Normal 18" xfId="154" xr:uid="{B1E5C6FE-B19D-4793-AD83-221FE52FFBD4}"/>
    <cellStyle name="Normal 19" xfId="164" xr:uid="{A95C1C38-25E9-4D26-8F2D-6CE5E11FD2D1}"/>
    <cellStyle name="Normal 2" xfId="3" xr:uid="{0A617BE9-95CF-4EF6-ACDB-00FD80C23337}"/>
    <cellStyle name="Normal 20" xfId="166" xr:uid="{2618F337-E8D8-480F-AC60-5B9B0AA3B892}"/>
    <cellStyle name="Normal 21" xfId="167" xr:uid="{16E896DC-184B-4EAF-A47D-332C8C4FBCF6}"/>
    <cellStyle name="Normal 3" xfId="56" xr:uid="{2B056AEB-8E53-4396-9BA5-DCFD3758FF22}"/>
    <cellStyle name="Normal 4" xfId="95" xr:uid="{94486F8F-4921-44F2-96AC-5D19E96B00F7}"/>
    <cellStyle name="Normal 4 2" xfId="142" xr:uid="{F314D08D-7672-4206-8BF9-EB11D8064DC8}"/>
    <cellStyle name="Normal 5" xfId="98" xr:uid="{F481504B-CB18-4296-B3DB-5F02BB569B95}"/>
    <cellStyle name="Normal 5 2" xfId="128" xr:uid="{4CFFCEF8-3405-4908-9628-944B903DC599}"/>
    <cellStyle name="Normal 5 2 2" xfId="132" xr:uid="{63962183-F5AA-454B-8B43-ADE1991DA706}"/>
    <cellStyle name="Normal 6" xfId="101" xr:uid="{6692808E-52A2-4543-8E48-5A1AEDEFFED5}"/>
    <cellStyle name="Normal 6 2" xfId="172" xr:uid="{1C835B09-9337-49E8-AF1E-93B8949A8565}"/>
    <cellStyle name="Normal 7" xfId="135" xr:uid="{DECBC89F-18D1-40F9-8B60-B8DC5F1A307C}"/>
    <cellStyle name="Normal 8" xfId="145" xr:uid="{2E78A8F5-3A0E-46AA-9419-E18DF4E64717}"/>
    <cellStyle name="Normal 9" xfId="146" xr:uid="{0772B4C4-E2FD-41DC-BC34-82B0416B46FF}"/>
    <cellStyle name="Note 2" xfId="68" xr:uid="{55A6468E-409E-4F70-9CAB-A4837B36AC7E}"/>
    <cellStyle name="Note 3" xfId="47" xr:uid="{EB493320-E506-425A-92D9-EE005DB56882}"/>
    <cellStyle name="Output 2" xfId="63" xr:uid="{D6B02702-CCCD-41E6-A9CD-A4805B5378EB}"/>
    <cellStyle name="Output 3" xfId="48" xr:uid="{38F0790A-387C-4973-9E52-2DDA1C319869}"/>
    <cellStyle name="Percent" xfId="2" builtinId="5"/>
    <cellStyle name="Percent [2]" xfId="127" xr:uid="{C69BB281-8644-4342-9187-F1CBE5A315DE}"/>
    <cellStyle name="Percent 10" xfId="163" xr:uid="{F93C178D-C793-4320-94A4-69D80CB5695B}"/>
    <cellStyle name="Percent 11" xfId="159" xr:uid="{F804E64F-5E97-44AB-999E-FB99FEE97F1C}"/>
    <cellStyle name="Percent 12" xfId="168" xr:uid="{AE9FEEA7-7AA9-4EA9-912C-EB4E460DC547}"/>
    <cellStyle name="Percent 13" xfId="169" xr:uid="{630FB5BC-C894-417C-8750-F8315C4BCA7A}"/>
    <cellStyle name="Percent 2" xfId="7" xr:uid="{C9B9BB6F-95F0-428A-BC06-1D44B3D91749}"/>
    <cellStyle name="Percent 2 2" xfId="97" xr:uid="{A4701986-1F50-4013-B10D-4A3694AA343A}"/>
    <cellStyle name="Percent 3" xfId="100" xr:uid="{1D1F6AA9-5E2F-48F9-BB83-D931CF4105F9}"/>
    <cellStyle name="Percent 3 2" xfId="130" xr:uid="{D060BF3E-3C19-4160-956F-10B043388FE6}"/>
    <cellStyle name="Percent 3 2 2" xfId="134" xr:uid="{96CEAAC7-D4FE-4640-8D28-433D7B11F617}"/>
    <cellStyle name="Percent 4" xfId="102" xr:uid="{8C66A5A1-4E67-4AE7-A8C9-CC8570D485D2}"/>
    <cellStyle name="Percent 4 2" xfId="174" xr:uid="{D06B65DA-DCF9-4B84-B498-5C4A7C64A828}"/>
    <cellStyle name="Percent 5" xfId="138" xr:uid="{227E057F-D786-4797-A52A-48E3442B9773}"/>
    <cellStyle name="Percent 6" xfId="141" xr:uid="{3B64C13B-0C47-4793-BD3F-D918E1214780}"/>
    <cellStyle name="Percent 7" xfId="156" xr:uid="{8F642487-5AB0-40D4-85E7-92A488E08AE9}"/>
    <cellStyle name="Percent 8" xfId="161" xr:uid="{2E086753-B4DC-4D33-990A-281C5548C606}"/>
    <cellStyle name="Percent 9" xfId="158" xr:uid="{6D460A6D-3695-4215-A946-3837BB3299A7}"/>
    <cellStyle name="Title 2" xfId="53" xr:uid="{EBD980ED-5E01-4F1A-A9E0-C7CDC4490596}"/>
    <cellStyle name="Title 3" xfId="50" xr:uid="{3501E150-39BC-4D1D-9358-D9F6D6849085}"/>
    <cellStyle name="Total 2" xfId="70" xr:uid="{91927036-11D4-422D-8550-7338A99DA72D}"/>
    <cellStyle name="Total 3" xfId="51" xr:uid="{22CDA42B-819B-43D3-B684-9CEF699BEA6C}"/>
    <cellStyle name="Warning Text 2" xfId="67" xr:uid="{F6098067-B352-4296-B548-0A99D669B424}"/>
    <cellStyle name="Warning Text 3" xfId="52" xr:uid="{7ACE3158-E712-4787-AB4D-E89B7916D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1F6A2-D1C1-417A-8671-32C99A6C9ED6}">
  <dimension ref="A1:I103"/>
  <sheetViews>
    <sheetView showGridLines="0" tabSelected="1" topLeftCell="A77" zoomScale="115" zoomScaleNormal="115" workbookViewId="0">
      <selection activeCell="I90" sqref="I90"/>
    </sheetView>
  </sheetViews>
  <sheetFormatPr defaultRowHeight="15"/>
  <cols>
    <col min="1" max="1" width="44" customWidth="1"/>
    <col min="2" max="3" width="12.5703125" customWidth="1"/>
    <col min="4" max="4" width="13.42578125" bestFit="1" customWidth="1"/>
    <col min="5" max="5" width="14.140625" customWidth="1"/>
    <col min="6" max="6" width="14.5703125" customWidth="1"/>
    <col min="7" max="7" width="14.85546875" customWidth="1"/>
    <col min="8" max="8" width="16.28515625" style="40" customWidth="1"/>
    <col min="9" max="9" width="54.140625" bestFit="1" customWidth="1"/>
  </cols>
  <sheetData>
    <row r="1" spans="1:9" ht="15.75" thickBot="1">
      <c r="G1" s="4"/>
    </row>
    <row r="2" spans="1:9" ht="15.75" thickBot="1">
      <c r="A2" s="10" t="s">
        <v>0</v>
      </c>
      <c r="B2" s="11">
        <v>2024</v>
      </c>
      <c r="C2" s="11">
        <v>2025</v>
      </c>
      <c r="D2" s="11">
        <v>2026</v>
      </c>
      <c r="E2" s="11">
        <v>2027</v>
      </c>
      <c r="F2" s="12">
        <v>2028</v>
      </c>
      <c r="H2"/>
      <c r="I2" s="40"/>
    </row>
    <row r="3" spans="1:9">
      <c r="A3" s="13" t="s">
        <v>1</v>
      </c>
      <c r="B3" s="5">
        <v>0</v>
      </c>
      <c r="C3" s="3">
        <v>2060000</v>
      </c>
      <c r="D3" s="3">
        <f>C5</f>
        <v>6180000</v>
      </c>
      <c r="E3" s="3">
        <f>D5</f>
        <v>10300000</v>
      </c>
      <c r="F3" s="25">
        <f>E5</f>
        <v>14420000</v>
      </c>
      <c r="H3" s="10" t="s">
        <v>2</v>
      </c>
      <c r="I3" s="41"/>
    </row>
    <row r="4" spans="1:9">
      <c r="A4" s="13" t="s">
        <v>3</v>
      </c>
      <c r="B4" s="5">
        <v>2060000</v>
      </c>
      <c r="C4" s="5">
        <v>4120000</v>
      </c>
      <c r="D4" s="3">
        <v>4120000</v>
      </c>
      <c r="E4" s="3">
        <v>4120000</v>
      </c>
      <c r="F4" s="25">
        <v>0</v>
      </c>
      <c r="H4" s="17" t="s">
        <v>4</v>
      </c>
      <c r="I4" s="42">
        <v>50</v>
      </c>
    </row>
    <row r="5" spans="1:9">
      <c r="A5" s="27" t="s">
        <v>5</v>
      </c>
      <c r="B5" s="6">
        <f>B3+B4</f>
        <v>2060000</v>
      </c>
      <c r="C5" s="6">
        <f>C3+C4</f>
        <v>6180000</v>
      </c>
      <c r="D5" s="6">
        <f>D3+D4</f>
        <v>10300000</v>
      </c>
      <c r="E5" s="6">
        <f>E3+E4</f>
        <v>14420000</v>
      </c>
      <c r="F5" s="46">
        <f>F3+F4</f>
        <v>14420000</v>
      </c>
      <c r="H5" s="17" t="s">
        <v>6</v>
      </c>
      <c r="I5" s="43">
        <v>0.08</v>
      </c>
    </row>
    <row r="6" spans="1:9">
      <c r="A6" s="13" t="s">
        <v>7</v>
      </c>
      <c r="B6" s="5">
        <v>0</v>
      </c>
      <c r="C6" s="5">
        <f>(C3+C5)/2</f>
        <v>4120000</v>
      </c>
      <c r="D6" s="3">
        <f>(D3+D5)/2</f>
        <v>8240000</v>
      </c>
      <c r="E6" s="3">
        <f>(E3+E5)/2</f>
        <v>12360000</v>
      </c>
      <c r="F6" s="25">
        <f>(F3+F5)/2</f>
        <v>14420000</v>
      </c>
      <c r="H6" s="17" t="s">
        <v>8</v>
      </c>
      <c r="I6" s="44" t="s">
        <v>9</v>
      </c>
    </row>
    <row r="7" spans="1:9" ht="15.75" thickBot="1">
      <c r="A7" s="13"/>
      <c r="B7" s="5"/>
      <c r="C7" s="5"/>
      <c r="D7" s="3"/>
      <c r="E7" s="3"/>
      <c r="F7" s="25"/>
      <c r="H7" s="23" t="s">
        <v>10</v>
      </c>
      <c r="I7" s="45" t="s">
        <v>11</v>
      </c>
    </row>
    <row r="8" spans="1:9">
      <c r="A8" s="13" t="s">
        <v>12</v>
      </c>
      <c r="B8" s="5">
        <v>0</v>
      </c>
      <c r="C8" s="5">
        <v>20600</v>
      </c>
      <c r="D8" s="3">
        <f>C10</f>
        <v>103000</v>
      </c>
      <c r="E8" s="3">
        <f>D10</f>
        <v>267800</v>
      </c>
      <c r="F8" s="25">
        <f>E10</f>
        <v>515000</v>
      </c>
      <c r="H8"/>
      <c r="I8" s="40"/>
    </row>
    <row r="9" spans="1:9">
      <c r="A9" s="13" t="s">
        <v>13</v>
      </c>
      <c r="B9" s="5">
        <v>0</v>
      </c>
      <c r="C9" s="5">
        <f>C8+(C3/2)/$I$4+(C4/2)/$I$4</f>
        <v>82400</v>
      </c>
      <c r="D9" s="5">
        <f>C9+(C4/2)/$I$4+(D4/2)/$I$4</f>
        <v>164800</v>
      </c>
      <c r="E9" s="5">
        <f>D9+(D4/2)/$I$4+(E4/2)/$I$4</f>
        <v>247200</v>
      </c>
      <c r="F9" s="24">
        <f>E9+(E4/2)/$I$4+(F4/2)/$I$4</f>
        <v>288400</v>
      </c>
      <c r="H9"/>
      <c r="I9" s="40"/>
    </row>
    <row r="10" spans="1:9">
      <c r="A10" s="27" t="s">
        <v>14</v>
      </c>
      <c r="B10" s="6">
        <f>B8+B9</f>
        <v>0</v>
      </c>
      <c r="C10" s="6">
        <f>C8+C9</f>
        <v>103000</v>
      </c>
      <c r="D10" s="2">
        <f>D8+D9</f>
        <v>267800</v>
      </c>
      <c r="E10" s="2">
        <f>E8+E9</f>
        <v>515000</v>
      </c>
      <c r="F10" s="30">
        <f>F8+F9</f>
        <v>803400</v>
      </c>
      <c r="H10"/>
      <c r="I10" s="40"/>
    </row>
    <row r="11" spans="1:9">
      <c r="A11" s="13" t="s">
        <v>15</v>
      </c>
      <c r="B11" s="5">
        <f>(B8+B10)/2</f>
        <v>0</v>
      </c>
      <c r="C11" s="5">
        <f>(C8+C10)/2</f>
        <v>61800</v>
      </c>
      <c r="D11" s="3">
        <f>(D8+D10)/2</f>
        <v>185400</v>
      </c>
      <c r="E11" s="3">
        <f>(E8+E10)/2</f>
        <v>391400</v>
      </c>
      <c r="F11" s="25">
        <f>(F8+F10)/2</f>
        <v>659200</v>
      </c>
      <c r="H11" s="1"/>
      <c r="I11" s="40"/>
    </row>
    <row r="12" spans="1:9">
      <c r="A12" s="27"/>
      <c r="B12" s="6"/>
      <c r="C12" s="6"/>
      <c r="D12" s="2"/>
      <c r="E12" s="2"/>
      <c r="F12" s="30"/>
      <c r="H12"/>
      <c r="I12" s="40"/>
    </row>
    <row r="13" spans="1:9" ht="15.75" thickBot="1">
      <c r="A13" s="34" t="s">
        <v>16</v>
      </c>
      <c r="B13" s="35">
        <f>B6-B11</f>
        <v>0</v>
      </c>
      <c r="C13" s="35">
        <f>C6-C11</f>
        <v>4058200</v>
      </c>
      <c r="D13" s="35">
        <f>D6-D11</f>
        <v>8054600</v>
      </c>
      <c r="E13" s="35">
        <f>E6-E11</f>
        <v>11968600</v>
      </c>
      <c r="F13" s="36">
        <f>F6-F11</f>
        <v>13760800</v>
      </c>
      <c r="H13"/>
      <c r="I13" s="40"/>
    </row>
    <row r="14" spans="1:9" ht="15.75" thickBot="1">
      <c r="H14"/>
      <c r="I14" s="40"/>
    </row>
    <row r="15" spans="1:9">
      <c r="A15" s="10" t="s">
        <v>17</v>
      </c>
      <c r="B15" s="15"/>
      <c r="C15" s="15"/>
      <c r="D15" s="15"/>
      <c r="E15" s="15"/>
      <c r="F15" s="16"/>
      <c r="H15"/>
      <c r="I15" s="40"/>
    </row>
    <row r="16" spans="1:9">
      <c r="A16" s="17" t="s">
        <v>18</v>
      </c>
      <c r="B16" s="1">
        <f>B13*0.4</f>
        <v>0</v>
      </c>
      <c r="C16" s="1">
        <f>C13*0.4</f>
        <v>1623280</v>
      </c>
      <c r="D16" s="1">
        <f>D13*0.4</f>
        <v>3221840</v>
      </c>
      <c r="E16" s="1">
        <f>E13*0.4</f>
        <v>4787440</v>
      </c>
      <c r="F16" s="14">
        <f>F13*0.4</f>
        <v>5504320</v>
      </c>
      <c r="H16"/>
      <c r="I16" s="40"/>
    </row>
    <row r="17" spans="1:9">
      <c r="A17" s="18" t="s">
        <v>19</v>
      </c>
      <c r="B17" s="7">
        <v>9.3600000000000003E-2</v>
      </c>
      <c r="C17" s="7">
        <v>9.3600000000000003E-2</v>
      </c>
      <c r="D17" s="8">
        <f>C17</f>
        <v>9.3600000000000003E-2</v>
      </c>
      <c r="E17" s="8">
        <f>D17</f>
        <v>9.3600000000000003E-2</v>
      </c>
      <c r="F17" s="19">
        <f>E17</f>
        <v>9.3600000000000003E-2</v>
      </c>
      <c r="H17"/>
      <c r="I17" s="40"/>
    </row>
    <row r="18" spans="1:9">
      <c r="A18" s="17" t="s">
        <v>20</v>
      </c>
      <c r="B18" s="1">
        <f>B16*B17</f>
        <v>0</v>
      </c>
      <c r="C18" s="1">
        <f>C16*C17</f>
        <v>151939.008</v>
      </c>
      <c r="D18" s="1">
        <f>D16*D17</f>
        <v>301564.22399999999</v>
      </c>
      <c r="E18" s="1">
        <f>E16*E17</f>
        <v>448104.38400000002</v>
      </c>
      <c r="F18" s="14">
        <f>F16*F17</f>
        <v>515204.35200000001</v>
      </c>
      <c r="H18"/>
      <c r="I18" s="40"/>
    </row>
    <row r="19" spans="1:9">
      <c r="A19" s="17"/>
      <c r="F19" s="48"/>
      <c r="H19"/>
      <c r="I19" s="40"/>
    </row>
    <row r="20" spans="1:9">
      <c r="A20" s="17" t="s">
        <v>21</v>
      </c>
      <c r="B20" s="1">
        <f>B13*0.56</f>
        <v>0</v>
      </c>
      <c r="C20" s="1">
        <f>C13*0.56</f>
        <v>2272592</v>
      </c>
      <c r="D20" s="1">
        <f>D13*0.56</f>
        <v>4510576</v>
      </c>
      <c r="E20" s="1">
        <f>E13*0.56</f>
        <v>6702416.0000000009</v>
      </c>
      <c r="F20" s="14">
        <f>F13*0.56</f>
        <v>7706048.0000000009</v>
      </c>
      <c r="H20"/>
      <c r="I20" s="40"/>
    </row>
    <row r="21" spans="1:9">
      <c r="A21" s="17" t="s">
        <v>22</v>
      </c>
      <c r="B21" s="1">
        <f>B13*0.04</f>
        <v>0</v>
      </c>
      <c r="C21" s="1">
        <f>C13*0.04</f>
        <v>162328</v>
      </c>
      <c r="D21" s="1">
        <f>D13*0.04</f>
        <v>322184</v>
      </c>
      <c r="E21" s="1">
        <f>E13*0.04</f>
        <v>478744</v>
      </c>
      <c r="F21" s="14">
        <f>F13*0.04</f>
        <v>550432</v>
      </c>
      <c r="H21"/>
      <c r="I21" s="40"/>
    </row>
    <row r="22" spans="1:9">
      <c r="A22" s="17" t="s">
        <v>23</v>
      </c>
      <c r="B22" s="20">
        <v>3.6499999999999998E-2</v>
      </c>
      <c r="C22" s="20">
        <f>B22</f>
        <v>3.6499999999999998E-2</v>
      </c>
      <c r="D22" s="21">
        <f t="shared" ref="D22:F23" si="0">C22</f>
        <v>3.6499999999999998E-2</v>
      </c>
      <c r="E22" s="21">
        <f t="shared" si="0"/>
        <v>3.6499999999999998E-2</v>
      </c>
      <c r="F22" s="22">
        <f t="shared" si="0"/>
        <v>3.6499999999999998E-2</v>
      </c>
      <c r="H22"/>
      <c r="I22" s="40"/>
    </row>
    <row r="23" spans="1:9">
      <c r="A23" s="18" t="s">
        <v>24</v>
      </c>
      <c r="B23" s="7">
        <v>4.7899999999999998E-2</v>
      </c>
      <c r="C23" s="7">
        <v>4.7899999999999998E-2</v>
      </c>
      <c r="D23" s="8">
        <f t="shared" si="0"/>
        <v>4.7899999999999998E-2</v>
      </c>
      <c r="E23" s="8">
        <f t="shared" si="0"/>
        <v>4.7899999999999998E-2</v>
      </c>
      <c r="F23" s="19">
        <f t="shared" si="0"/>
        <v>4.7899999999999998E-2</v>
      </c>
      <c r="H23"/>
      <c r="I23" s="40"/>
    </row>
    <row r="24" spans="1:9">
      <c r="A24" s="17" t="s">
        <v>25</v>
      </c>
      <c r="B24" s="1">
        <f>B20*B22+B21*B23</f>
        <v>0</v>
      </c>
      <c r="C24" s="1">
        <f>C20*C22+C21*C23</f>
        <v>90725.119199999986</v>
      </c>
      <c r="D24" s="1">
        <f>D20*D22+D21*D23</f>
        <v>180068.63759999999</v>
      </c>
      <c r="E24" s="1">
        <f>E20*E22+E21*E23</f>
        <v>267570.02159999998</v>
      </c>
      <c r="F24" s="14">
        <f>F20*F22+F21*F23</f>
        <v>307636.44480000006</v>
      </c>
      <c r="H24"/>
      <c r="I24" s="40"/>
    </row>
    <row r="25" spans="1:9">
      <c r="A25" s="18"/>
      <c r="B25" s="28"/>
      <c r="C25" s="28"/>
      <c r="D25" s="28"/>
      <c r="E25" s="28"/>
      <c r="F25" s="29"/>
      <c r="H25"/>
      <c r="I25" s="40"/>
    </row>
    <row r="26" spans="1:9" ht="15.75" thickBot="1">
      <c r="A26" s="31" t="s">
        <v>17</v>
      </c>
      <c r="B26" s="32">
        <f>B24+B18</f>
        <v>0</v>
      </c>
      <c r="C26" s="32">
        <f>C24+C18</f>
        <v>242664.12719999999</v>
      </c>
      <c r="D26" s="32">
        <f>D24+D18</f>
        <v>481632.86159999995</v>
      </c>
      <c r="E26" s="32">
        <f>E24+E18</f>
        <v>715674.40559999994</v>
      </c>
      <c r="F26" s="33">
        <f>F24+F18</f>
        <v>822840.79680000013</v>
      </c>
      <c r="H26"/>
      <c r="I26" s="40"/>
    </row>
    <row r="27" spans="1:9" ht="15.75" thickBot="1">
      <c r="H27"/>
      <c r="I27" s="40"/>
    </row>
    <row r="28" spans="1:9">
      <c r="A28" s="10" t="s">
        <v>26</v>
      </c>
      <c r="B28" s="15"/>
      <c r="C28" s="15"/>
      <c r="D28" s="15"/>
      <c r="E28" s="15"/>
      <c r="F28" s="16"/>
      <c r="H28"/>
      <c r="I28" s="40"/>
    </row>
    <row r="29" spans="1:9">
      <c r="A29" s="17" t="s">
        <v>27</v>
      </c>
      <c r="B29" s="1">
        <f>B18</f>
        <v>0</v>
      </c>
      <c r="C29" s="1">
        <f>C18</f>
        <v>151939.008</v>
      </c>
      <c r="D29" s="1">
        <f>D18</f>
        <v>301564.22399999999</v>
      </c>
      <c r="E29" s="1">
        <f>E18</f>
        <v>448104.38400000002</v>
      </c>
      <c r="F29" s="14">
        <f>F18</f>
        <v>515204.35200000001</v>
      </c>
      <c r="H29"/>
      <c r="I29" s="40"/>
    </row>
    <row r="30" spans="1:9">
      <c r="A30" s="17" t="s">
        <v>28</v>
      </c>
      <c r="B30" s="5">
        <f>B9</f>
        <v>0</v>
      </c>
      <c r="C30" s="5">
        <f>C9</f>
        <v>82400</v>
      </c>
      <c r="D30" s="5">
        <f>D9</f>
        <v>164800</v>
      </c>
      <c r="E30" s="5">
        <f>E9</f>
        <v>247200</v>
      </c>
      <c r="F30" s="24">
        <f>F9</f>
        <v>288400</v>
      </c>
      <c r="H30"/>
      <c r="I30" s="40"/>
    </row>
    <row r="31" spans="1:9">
      <c r="A31" s="17" t="s">
        <v>29</v>
      </c>
      <c r="B31" s="5"/>
      <c r="C31" s="5">
        <f>C4*$I$5</f>
        <v>329600</v>
      </c>
      <c r="D31" s="3">
        <f>C31+D4*I5</f>
        <v>659200</v>
      </c>
      <c r="E31" s="3">
        <f>D31+E4*$I$5</f>
        <v>988800</v>
      </c>
      <c r="F31" s="25">
        <f>E31+F4*$I$5</f>
        <v>988800</v>
      </c>
      <c r="H31"/>
      <c r="I31" s="40"/>
    </row>
    <row r="32" spans="1:9">
      <c r="A32" s="17"/>
      <c r="F32" s="48"/>
      <c r="H32"/>
      <c r="I32" s="40"/>
    </row>
    <row r="33" spans="1:9">
      <c r="A33" s="17" t="s">
        <v>30</v>
      </c>
      <c r="B33" s="1">
        <f>B29+B30-B31</f>
        <v>0</v>
      </c>
      <c r="C33" s="1">
        <f>C29+C30-C31</f>
        <v>-95260.991999999998</v>
      </c>
      <c r="D33" s="1">
        <f>D29+D30-D31</f>
        <v>-192835.77600000001</v>
      </c>
      <c r="E33" s="1">
        <f>E29+E30-E31</f>
        <v>-293495.61599999992</v>
      </c>
      <c r="F33" s="14">
        <f>F29+F30-F31</f>
        <v>-185195.64800000004</v>
      </c>
      <c r="G33" s="1"/>
      <c r="H33"/>
      <c r="I33" s="40"/>
    </row>
    <row r="34" spans="1:9">
      <c r="A34" s="17"/>
      <c r="F34" s="48"/>
      <c r="H34"/>
      <c r="I34" s="40"/>
    </row>
    <row r="35" spans="1:9">
      <c r="A35" s="18" t="s">
        <v>31</v>
      </c>
      <c r="B35" s="9">
        <f>B33*0.265</f>
        <v>0</v>
      </c>
      <c r="C35" s="9">
        <f>C33*0.265</f>
        <v>-25244.16288</v>
      </c>
      <c r="D35" s="9">
        <f>D33*0.265</f>
        <v>-51101.480640000009</v>
      </c>
      <c r="E35" s="9">
        <f>E33*0.265</f>
        <v>-77776.338239999983</v>
      </c>
      <c r="F35" s="26">
        <f>F33*0.265</f>
        <v>-49076.846720000016</v>
      </c>
      <c r="H35"/>
      <c r="I35" s="40"/>
    </row>
    <row r="36" spans="1:9" ht="15.75" thickBot="1">
      <c r="A36" s="31" t="s">
        <v>32</v>
      </c>
      <c r="B36" s="32">
        <f>B35/(1-0.265)</f>
        <v>0</v>
      </c>
      <c r="C36" s="32">
        <f>C35/(1-0.265)</f>
        <v>-34345.799836734695</v>
      </c>
      <c r="D36" s="32">
        <f>D35/(1-0.265)</f>
        <v>-69525.824000000008</v>
      </c>
      <c r="E36" s="32">
        <f>E35/(1-0.265)</f>
        <v>-105818.14726530611</v>
      </c>
      <c r="F36" s="33">
        <f>F35/(1-0.265)</f>
        <v>-66771.220027210904</v>
      </c>
      <c r="H36"/>
      <c r="I36" s="40"/>
    </row>
    <row r="37" spans="1:9">
      <c r="H37"/>
      <c r="I37" s="40"/>
    </row>
    <row r="38" spans="1:9" ht="15.75" thickBot="1">
      <c r="H38"/>
      <c r="I38" s="40"/>
    </row>
    <row r="39" spans="1:9">
      <c r="A39" s="10" t="s">
        <v>33</v>
      </c>
      <c r="B39" s="49">
        <v>2024</v>
      </c>
      <c r="C39" s="49">
        <v>2025</v>
      </c>
      <c r="D39" s="49">
        <v>2026</v>
      </c>
      <c r="E39" s="49">
        <v>2027</v>
      </c>
      <c r="F39" s="50">
        <v>2028</v>
      </c>
    </row>
    <row r="40" spans="1:9">
      <c r="A40" s="17" t="s">
        <v>34</v>
      </c>
      <c r="B40" s="3">
        <f>B18+B24</f>
        <v>0</v>
      </c>
      <c r="C40" s="3">
        <f>C18+C24</f>
        <v>242664.12719999999</v>
      </c>
      <c r="D40" s="3">
        <f>D18+D24</f>
        <v>481632.86159999995</v>
      </c>
      <c r="E40" s="3">
        <f>E18+E24</f>
        <v>715674.40559999994</v>
      </c>
      <c r="F40" s="25">
        <f>F18+F24</f>
        <v>822840.79680000013</v>
      </c>
    </row>
    <row r="41" spans="1:9">
      <c r="A41" s="17" t="s">
        <v>35</v>
      </c>
      <c r="B41" s="3">
        <f>B9</f>
        <v>0</v>
      </c>
      <c r="C41" s="3">
        <f>C9</f>
        <v>82400</v>
      </c>
      <c r="D41" s="3">
        <f>D9</f>
        <v>164800</v>
      </c>
      <c r="E41" s="3">
        <f>E9</f>
        <v>247200</v>
      </c>
      <c r="F41" s="25">
        <f>F9</f>
        <v>288400</v>
      </c>
    </row>
    <row r="42" spans="1:9">
      <c r="A42" s="18" t="s">
        <v>36</v>
      </c>
      <c r="B42" s="2">
        <f>B36</f>
        <v>0</v>
      </c>
      <c r="C42" s="2">
        <f>C36</f>
        <v>-34345.799836734695</v>
      </c>
      <c r="D42" s="2">
        <f>D36</f>
        <v>-69525.824000000008</v>
      </c>
      <c r="E42" s="2">
        <f>E36</f>
        <v>-105818.14726530611</v>
      </c>
      <c r="F42" s="30">
        <f>F36</f>
        <v>-66771.220027210904</v>
      </c>
    </row>
    <row r="43" spans="1:9">
      <c r="A43" s="51" t="s">
        <v>33</v>
      </c>
      <c r="B43" s="52">
        <f>SUM(B40:B42)</f>
        <v>0</v>
      </c>
      <c r="C43" s="52">
        <f>SUM(C40:C42)</f>
        <v>290718.32736326527</v>
      </c>
      <c r="D43" s="52">
        <f>SUM(D40:D42)</f>
        <v>576907.03759999992</v>
      </c>
      <c r="E43" s="52">
        <f>SUM(E40:E42)</f>
        <v>857056.25833469385</v>
      </c>
      <c r="F43" s="53">
        <f>SUM(F40:F42)</f>
        <v>1044469.5767727892</v>
      </c>
    </row>
    <row r="44" spans="1:9" ht="15.75" thickBot="1">
      <c r="A44" s="23"/>
      <c r="B44" s="47"/>
      <c r="C44" s="37"/>
      <c r="D44" s="37"/>
      <c r="E44" s="38" t="s">
        <v>37</v>
      </c>
      <c r="F44" s="39">
        <f>SUM(B43:F43)</f>
        <v>2769151.2000707481</v>
      </c>
    </row>
    <row r="45" spans="1:9" ht="15.75" thickBot="1"/>
    <row r="46" spans="1:9">
      <c r="A46" s="56" t="s">
        <v>38</v>
      </c>
      <c r="B46" s="57">
        <f>B43</f>
        <v>0</v>
      </c>
      <c r="C46" s="57">
        <f>B46+C43</f>
        <v>290718.32736326527</v>
      </c>
      <c r="D46" s="57">
        <f>C46+D43</f>
        <v>867625.36496326514</v>
      </c>
      <c r="E46" s="57">
        <f>D46+E43</f>
        <v>1724681.6232979591</v>
      </c>
      <c r="F46" s="58">
        <f>E46+F43</f>
        <v>2769151.2000707481</v>
      </c>
    </row>
    <row r="47" spans="1:9">
      <c r="A47" s="18" t="s">
        <v>39</v>
      </c>
      <c r="B47" s="9">
        <f>(B43/2)*G47</f>
        <v>0</v>
      </c>
      <c r="C47" s="9">
        <f>B46*$G$47+(C43/2)*$G$47</f>
        <v>7238.8863513453052</v>
      </c>
      <c r="D47" s="9">
        <f>C46*$G$47+(D43/2)*$G$47</f>
        <v>28842.757938930608</v>
      </c>
      <c r="E47" s="9">
        <f>D46*$G$47+(E43/2)*$G$47</f>
        <v>64548.444007704478</v>
      </c>
      <c r="F47" s="26">
        <f>E46*$G$47+(F43/2)*$G$47</f>
        <v>111896.4373018808</v>
      </c>
      <c r="G47" s="54">
        <v>4.9799999999999997E-2</v>
      </c>
      <c r="H47" s="55" t="s">
        <v>40</v>
      </c>
    </row>
    <row r="48" spans="1:9" ht="15.75" thickBot="1">
      <c r="A48" s="31" t="s">
        <v>41</v>
      </c>
      <c r="B48" s="32">
        <f>B46+B47</f>
        <v>0</v>
      </c>
      <c r="C48" s="32">
        <f>SUM(C46:C47)</f>
        <v>297957.21371461055</v>
      </c>
      <c r="D48" s="32">
        <f>SUM(D46:D47)</f>
        <v>896468.12290219578</v>
      </c>
      <c r="E48" s="32">
        <f>SUM(E46:E47)</f>
        <v>1789230.0673056636</v>
      </c>
      <c r="F48" s="33">
        <f>SUM(F46:F47)</f>
        <v>2881047.6373726288</v>
      </c>
    </row>
    <row r="50" spans="1:6">
      <c r="A50" s="65" t="s">
        <v>42</v>
      </c>
      <c r="B50" s="64">
        <f>B39</f>
        <v>2024</v>
      </c>
      <c r="C50" s="64">
        <f>C39</f>
        <v>2025</v>
      </c>
      <c r="D50" s="64">
        <f>D39</f>
        <v>2026</v>
      </c>
      <c r="E50" s="64">
        <f>E39</f>
        <v>2027</v>
      </c>
      <c r="F50" s="64">
        <f>F39</f>
        <v>2028</v>
      </c>
    </row>
    <row r="51" spans="1:6">
      <c r="A51" s="66" t="s">
        <v>43</v>
      </c>
      <c r="B51" s="60"/>
      <c r="C51" s="60"/>
      <c r="D51" s="60"/>
      <c r="E51" s="60"/>
      <c r="F51" s="61"/>
    </row>
    <row r="52" spans="1:6">
      <c r="A52" s="67" t="s">
        <v>44</v>
      </c>
      <c r="B52" s="1">
        <f>B4</f>
        <v>2060000</v>
      </c>
      <c r="C52" s="1">
        <f>C4</f>
        <v>4120000</v>
      </c>
      <c r="D52" s="1">
        <f>D4</f>
        <v>4120000</v>
      </c>
      <c r="E52" s="1">
        <f>E4</f>
        <v>4120000</v>
      </c>
      <c r="F52" s="62">
        <f>F4</f>
        <v>0</v>
      </c>
    </row>
    <row r="53" spans="1:6">
      <c r="A53" s="68" t="s">
        <v>45</v>
      </c>
      <c r="B53" s="9">
        <f>B52</f>
        <v>2060000</v>
      </c>
      <c r="C53" s="9">
        <f>B53+C52</f>
        <v>6180000</v>
      </c>
      <c r="D53" s="9">
        <f>C53+D52</f>
        <v>10300000</v>
      </c>
      <c r="E53" s="9">
        <f>D53+E52</f>
        <v>14420000</v>
      </c>
      <c r="F53" s="63">
        <f>E53+F52</f>
        <v>14420000</v>
      </c>
    </row>
    <row r="54" spans="1:6">
      <c r="A54" s="66" t="s">
        <v>46</v>
      </c>
      <c r="B54" s="60"/>
      <c r="C54" s="60"/>
      <c r="D54" s="60"/>
      <c r="E54" s="60"/>
      <c r="F54" s="61"/>
    </row>
    <row r="55" spans="1:6">
      <c r="A55" s="67" t="s">
        <v>44</v>
      </c>
      <c r="B55" s="1">
        <f>B41</f>
        <v>0</v>
      </c>
      <c r="C55" s="1">
        <f>C41</f>
        <v>82400</v>
      </c>
      <c r="D55" s="1">
        <f>D41</f>
        <v>164800</v>
      </c>
      <c r="E55" s="1">
        <f>E41</f>
        <v>247200</v>
      </c>
      <c r="F55" s="62">
        <f>F41</f>
        <v>288400</v>
      </c>
    </row>
    <row r="56" spans="1:6">
      <c r="A56" s="68" t="s">
        <v>45</v>
      </c>
      <c r="B56" s="9">
        <f>B55</f>
        <v>0</v>
      </c>
      <c r="C56" s="9">
        <f>B56+C55</f>
        <v>82400</v>
      </c>
      <c r="D56" s="9">
        <f>C56+D55</f>
        <v>247200</v>
      </c>
      <c r="E56" s="9">
        <f>D56+E55</f>
        <v>494400</v>
      </c>
      <c r="F56" s="63">
        <f>E56+F55</f>
        <v>782800</v>
      </c>
    </row>
    <row r="57" spans="1:6">
      <c r="A57" s="66" t="s">
        <v>47</v>
      </c>
      <c r="B57" s="60"/>
      <c r="C57" s="60"/>
      <c r="D57" s="60"/>
      <c r="E57" s="60"/>
      <c r="F57" s="61"/>
    </row>
    <row r="58" spans="1:6">
      <c r="A58" s="67" t="s">
        <v>44</v>
      </c>
      <c r="B58" s="1">
        <f>B41</f>
        <v>0</v>
      </c>
      <c r="C58" s="1">
        <f>C41</f>
        <v>82400</v>
      </c>
      <c r="D58" s="1">
        <f>D41</f>
        <v>164800</v>
      </c>
      <c r="E58" s="1">
        <f>E41</f>
        <v>247200</v>
      </c>
      <c r="F58" s="62">
        <f>F41</f>
        <v>288400</v>
      </c>
    </row>
    <row r="59" spans="1:6">
      <c r="A59" s="68" t="s">
        <v>45</v>
      </c>
      <c r="B59" s="9">
        <f>B58</f>
        <v>0</v>
      </c>
      <c r="C59" s="9">
        <f>B59+C58</f>
        <v>82400</v>
      </c>
      <c r="D59" s="9">
        <f>C59+D58</f>
        <v>247200</v>
      </c>
      <c r="E59" s="9">
        <f>D59+E58</f>
        <v>494400</v>
      </c>
      <c r="F59" s="63">
        <f>E59+F58</f>
        <v>782800</v>
      </c>
    </row>
    <row r="60" spans="1:6">
      <c r="A60" s="66" t="s">
        <v>48</v>
      </c>
      <c r="B60" s="60"/>
      <c r="C60" s="60"/>
      <c r="D60" s="60"/>
      <c r="E60" s="60"/>
      <c r="F60" s="61"/>
    </row>
    <row r="61" spans="1:6">
      <c r="A61" s="67" t="s">
        <v>44</v>
      </c>
      <c r="B61" s="1">
        <f>B40+B42+B41</f>
        <v>0</v>
      </c>
      <c r="C61" s="1">
        <f>C40+C42+C41</f>
        <v>290718.32736326533</v>
      </c>
      <c r="D61" s="1">
        <f>D40+D42+D41</f>
        <v>576907.03759999992</v>
      </c>
      <c r="E61" s="1">
        <f>E40+E42+E41</f>
        <v>857056.25833469385</v>
      </c>
      <c r="F61" s="62">
        <f>F40+F42+F41</f>
        <v>1044469.5767727892</v>
      </c>
    </row>
    <row r="62" spans="1:6">
      <c r="A62" s="68" t="s">
        <v>45</v>
      </c>
      <c r="B62" s="9">
        <f>B61</f>
        <v>0</v>
      </c>
      <c r="C62" s="9">
        <f>B62+C61</f>
        <v>290718.32736326533</v>
      </c>
      <c r="D62" s="9">
        <f>C62+D61</f>
        <v>867625.36496326525</v>
      </c>
      <c r="E62" s="9">
        <f>D62+E61</f>
        <v>1724681.6232979591</v>
      </c>
      <c r="F62" s="63">
        <f>E62+F61</f>
        <v>2769151.2000707481</v>
      </c>
    </row>
    <row r="63" spans="1:6">
      <c r="A63" s="66" t="s">
        <v>49</v>
      </c>
      <c r="B63" s="60"/>
      <c r="C63" s="60"/>
      <c r="D63" s="60"/>
      <c r="E63" s="60"/>
      <c r="F63" s="61"/>
    </row>
    <row r="64" spans="1:6">
      <c r="A64" s="67" t="s">
        <v>44</v>
      </c>
      <c r="B64" s="1">
        <f>B47</f>
        <v>0</v>
      </c>
      <c r="C64" s="1">
        <f>C47</f>
        <v>7238.8863513453052</v>
      </c>
      <c r="D64" s="1">
        <f>D47</f>
        <v>28842.757938930608</v>
      </c>
      <c r="E64" s="1">
        <f>E47</f>
        <v>64548.444007704478</v>
      </c>
      <c r="F64" s="62">
        <f>F47</f>
        <v>111896.4373018808</v>
      </c>
    </row>
    <row r="65" spans="1:8">
      <c r="A65" s="68" t="s">
        <v>45</v>
      </c>
      <c r="B65" s="9">
        <f>B64</f>
        <v>0</v>
      </c>
      <c r="C65" s="9">
        <f>B65+C64</f>
        <v>7238.8863513453052</v>
      </c>
      <c r="D65" s="9">
        <f>C65+D64</f>
        <v>36081.644290275915</v>
      </c>
      <c r="E65" s="9">
        <f>D65+E64</f>
        <v>100630.0882979804</v>
      </c>
      <c r="F65" s="63">
        <f>E65+F64</f>
        <v>212526.5255998612</v>
      </c>
    </row>
    <row r="66" spans="1:8">
      <c r="A66" s="59"/>
      <c r="B66" s="1"/>
      <c r="C66" s="1"/>
      <c r="D66" s="1"/>
      <c r="E66" s="1"/>
      <c r="F66" s="1"/>
    </row>
    <row r="67" spans="1:8">
      <c r="A67" s="59"/>
      <c r="B67" s="1"/>
      <c r="C67" s="1"/>
      <c r="D67" s="1"/>
      <c r="E67" s="69" t="s">
        <v>50</v>
      </c>
      <c r="F67" s="70">
        <f>F65+F62</f>
        <v>2981677.7256706092</v>
      </c>
    </row>
    <row r="68" spans="1:8">
      <c r="A68" s="71" t="s">
        <v>51</v>
      </c>
      <c r="B68" s="1"/>
      <c r="C68" s="1"/>
      <c r="D68" s="1"/>
      <c r="E68" s="1"/>
      <c r="F68" s="1"/>
    </row>
    <row r="69" spans="1:8">
      <c r="B69" s="64">
        <f>B50</f>
        <v>2024</v>
      </c>
      <c r="C69" s="64">
        <f>C50</f>
        <v>2025</v>
      </c>
      <c r="D69" s="64">
        <f>D50</f>
        <v>2026</v>
      </c>
      <c r="E69" s="64">
        <f>E50</f>
        <v>2027</v>
      </c>
      <c r="F69" s="64">
        <f>F50</f>
        <v>2028</v>
      </c>
      <c r="H69"/>
    </row>
    <row r="70" spans="1:8">
      <c r="A70" s="66" t="s">
        <v>43</v>
      </c>
      <c r="B70" s="60"/>
      <c r="C70" s="60"/>
      <c r="D70" s="60"/>
      <c r="E70" s="60"/>
      <c r="F70" s="61"/>
      <c r="H70"/>
    </row>
    <row r="71" spans="1:8">
      <c r="A71" s="67" t="s">
        <v>44</v>
      </c>
      <c r="B71" s="1">
        <f>B52</f>
        <v>2060000</v>
      </c>
      <c r="C71" s="1">
        <f>C52</f>
        <v>4120000</v>
      </c>
      <c r="D71" s="1">
        <f>D52</f>
        <v>4120000</v>
      </c>
      <c r="E71" s="1">
        <f>E52</f>
        <v>4120000</v>
      </c>
      <c r="F71" s="62">
        <f>F52</f>
        <v>0</v>
      </c>
      <c r="H71"/>
    </row>
    <row r="72" spans="1:8">
      <c r="A72" s="68" t="s">
        <v>45</v>
      </c>
      <c r="B72" s="9">
        <f>B71</f>
        <v>2060000</v>
      </c>
      <c r="C72" s="9">
        <f>B72+C71</f>
        <v>6180000</v>
      </c>
      <c r="D72" s="9">
        <f>C72+D71</f>
        <v>10300000</v>
      </c>
      <c r="E72" s="9">
        <f>D72+E71</f>
        <v>14420000</v>
      </c>
      <c r="F72" s="63">
        <f>E72+F71</f>
        <v>14420000</v>
      </c>
      <c r="H72"/>
    </row>
    <row r="73" spans="1:8">
      <c r="A73" s="66" t="s">
        <v>47</v>
      </c>
      <c r="B73" s="60"/>
      <c r="C73" s="60"/>
      <c r="D73" s="60"/>
      <c r="E73" s="60"/>
      <c r="F73" s="61"/>
      <c r="H73"/>
    </row>
    <row r="74" spans="1:8">
      <c r="A74" s="67" t="s">
        <v>44</v>
      </c>
      <c r="B74" s="1">
        <f>B58</f>
        <v>0</v>
      </c>
      <c r="C74" s="1">
        <f>C58</f>
        <v>82400</v>
      </c>
      <c r="D74" s="1">
        <f>D58</f>
        <v>164800</v>
      </c>
      <c r="E74" s="1">
        <f>E58</f>
        <v>247200</v>
      </c>
      <c r="F74" s="62">
        <f>F58</f>
        <v>288400</v>
      </c>
      <c r="H74"/>
    </row>
    <row r="75" spans="1:8">
      <c r="A75" s="68" t="s">
        <v>45</v>
      </c>
      <c r="B75" s="9">
        <f>B74</f>
        <v>0</v>
      </c>
      <c r="C75" s="9">
        <f>B75+C74</f>
        <v>82400</v>
      </c>
      <c r="D75" s="9">
        <f>C75+D74</f>
        <v>247200</v>
      </c>
      <c r="E75" s="9">
        <f>D75+E74</f>
        <v>494400</v>
      </c>
      <c r="F75" s="63">
        <f>E75+F74</f>
        <v>782800</v>
      </c>
      <c r="H75"/>
    </row>
    <row r="76" spans="1:8">
      <c r="A76" s="59"/>
      <c r="B76" s="1"/>
      <c r="C76" s="1"/>
      <c r="D76" s="1"/>
      <c r="E76" s="1"/>
      <c r="F76" s="1"/>
      <c r="H76"/>
    </row>
    <row r="77" spans="1:8">
      <c r="A77" s="71" t="s">
        <v>52</v>
      </c>
      <c r="B77" s="1"/>
      <c r="C77" s="1"/>
      <c r="D77" s="1"/>
      <c r="E77" s="1"/>
      <c r="F77" s="1"/>
      <c r="H77"/>
    </row>
    <row r="78" spans="1:8" ht="30">
      <c r="A78" s="59"/>
      <c r="B78" s="97">
        <f>B69</f>
        <v>2024</v>
      </c>
      <c r="C78" s="97">
        <f>C69</f>
        <v>2025</v>
      </c>
      <c r="D78" s="97">
        <f>D69</f>
        <v>2026</v>
      </c>
      <c r="E78" s="97">
        <f>E69</f>
        <v>2027</v>
      </c>
      <c r="F78" s="97">
        <f>F69</f>
        <v>2028</v>
      </c>
      <c r="G78" s="97">
        <v>2029</v>
      </c>
      <c r="H78" s="96" t="s">
        <v>53</v>
      </c>
    </row>
    <row r="79" spans="1:8">
      <c r="A79" s="66" t="s">
        <v>48</v>
      </c>
      <c r="B79" s="90"/>
      <c r="C79" s="60"/>
      <c r="D79" s="60"/>
      <c r="E79" s="60"/>
      <c r="F79" s="60"/>
      <c r="G79" s="61"/>
      <c r="H79" s="87"/>
    </row>
    <row r="80" spans="1:8">
      <c r="A80" s="67" t="s">
        <v>44</v>
      </c>
      <c r="B80" s="91">
        <f t="shared" ref="B80:G80" si="1">B61/2</f>
        <v>0</v>
      </c>
      <c r="C80" s="77">
        <f t="shared" si="1"/>
        <v>145359.16368163266</v>
      </c>
      <c r="D80" s="77">
        <f t="shared" si="1"/>
        <v>288453.51879999996</v>
      </c>
      <c r="E80" s="77">
        <f t="shared" si="1"/>
        <v>428528.12916734692</v>
      </c>
      <c r="F80" s="77">
        <f t="shared" si="1"/>
        <v>522234.78838639462</v>
      </c>
      <c r="G80" s="72">
        <f t="shared" si="1"/>
        <v>0</v>
      </c>
      <c r="H80" s="88"/>
    </row>
    <row r="81" spans="1:8">
      <c r="A81" s="67" t="s">
        <v>54</v>
      </c>
      <c r="B81" s="91">
        <v>0</v>
      </c>
      <c r="C81" s="77">
        <v>0</v>
      </c>
      <c r="D81" s="77">
        <f>-C82</f>
        <v>-145359.16368163266</v>
      </c>
      <c r="E81" s="77">
        <f>-D82</f>
        <v>-288453.51879999996</v>
      </c>
      <c r="F81" s="77">
        <f>-E82</f>
        <v>-428528.12916734698</v>
      </c>
      <c r="G81" s="72">
        <f>-F82</f>
        <v>-522234.78838639462</v>
      </c>
      <c r="H81" s="88">
        <f>SUM(B81:G81)</f>
        <v>-1384575.6000353741</v>
      </c>
    </row>
    <row r="82" spans="1:8">
      <c r="A82" s="68" t="s">
        <v>45</v>
      </c>
      <c r="B82" s="92">
        <f>B80</f>
        <v>0</v>
      </c>
      <c r="C82" s="73">
        <f>B82+C80+C81</f>
        <v>145359.16368163266</v>
      </c>
      <c r="D82" s="73">
        <f t="shared" ref="D82:G82" si="2">C82+D80+D81</f>
        <v>288453.51879999996</v>
      </c>
      <c r="E82" s="73">
        <f t="shared" si="2"/>
        <v>428528.12916734698</v>
      </c>
      <c r="F82" s="73">
        <f t="shared" si="2"/>
        <v>522234.78838639462</v>
      </c>
      <c r="G82" s="76">
        <f t="shared" si="2"/>
        <v>0</v>
      </c>
      <c r="H82" s="94"/>
    </row>
    <row r="83" spans="1:8">
      <c r="A83" s="66" t="s">
        <v>49</v>
      </c>
      <c r="B83" s="93"/>
      <c r="C83" s="74"/>
      <c r="D83" s="74"/>
      <c r="E83" s="74"/>
      <c r="F83" s="74"/>
      <c r="G83" s="75"/>
      <c r="H83" s="94"/>
    </row>
    <row r="84" spans="1:8">
      <c r="A84" s="67" t="s">
        <v>44</v>
      </c>
      <c r="B84" s="91">
        <f t="shared" ref="B84" si="3">B64/2</f>
        <v>0</v>
      </c>
      <c r="C84" s="77">
        <f>(C80/2)*G47</f>
        <v>3619.4431756726531</v>
      </c>
      <c r="D84" s="77">
        <f>((C82+D80)/2)*$G$47</f>
        <v>10801.935793792652</v>
      </c>
      <c r="E84" s="77">
        <f t="shared" ref="E84:F84" si="4">((D82+E80)/2)*$G$47</f>
        <v>17852.843034386937</v>
      </c>
      <c r="F84" s="77">
        <f t="shared" si="4"/>
        <v>23673.996647088163</v>
      </c>
      <c r="G84" s="72">
        <f>((F82+G80)/2)*$G$47</f>
        <v>13003.646230821225</v>
      </c>
      <c r="H84" s="88"/>
    </row>
    <row r="85" spans="1:8">
      <c r="A85" s="67" t="s">
        <v>54</v>
      </c>
      <c r="B85" s="91">
        <v>0</v>
      </c>
      <c r="C85" s="77">
        <v>0</v>
      </c>
      <c r="D85" s="77">
        <f>-C86</f>
        <v>-3619.4431756726531</v>
      </c>
      <c r="E85" s="77">
        <f t="shared" ref="E85:F85" si="5">-D86</f>
        <v>-10801.935793792652</v>
      </c>
      <c r="F85" s="77">
        <f t="shared" si="5"/>
        <v>-17852.843034386933</v>
      </c>
      <c r="G85" s="72">
        <f>-F86-G84</f>
        <v>-36677.642877909384</v>
      </c>
      <c r="H85" s="88">
        <f>SUM(B85:G85)</f>
        <v>-68951.864881761619</v>
      </c>
    </row>
    <row r="86" spans="1:8">
      <c r="A86" s="68" t="s">
        <v>45</v>
      </c>
      <c r="B86" s="92">
        <f>B84</f>
        <v>0</v>
      </c>
      <c r="C86" s="73">
        <f>B86+C84+C85</f>
        <v>3619.4431756726531</v>
      </c>
      <c r="D86" s="73">
        <f t="shared" ref="D86:G86" si="6">C86+D84+D85</f>
        <v>10801.935793792652</v>
      </c>
      <c r="E86" s="73">
        <f t="shared" si="6"/>
        <v>17852.843034386933</v>
      </c>
      <c r="F86" s="73">
        <f t="shared" si="6"/>
        <v>23673.996647088163</v>
      </c>
      <c r="G86" s="76">
        <f t="shared" si="6"/>
        <v>0</v>
      </c>
      <c r="H86" s="94"/>
    </row>
    <row r="87" spans="1:8">
      <c r="A87" s="66" t="s">
        <v>55</v>
      </c>
      <c r="B87" s="93"/>
      <c r="C87" s="74"/>
      <c r="D87" s="74"/>
      <c r="E87" s="74"/>
      <c r="F87" s="74"/>
      <c r="G87" s="75"/>
      <c r="H87" s="94"/>
    </row>
    <row r="88" spans="1:8">
      <c r="A88" s="67" t="s">
        <v>56</v>
      </c>
      <c r="B88" s="91">
        <f t="shared" ref="B88:C88" si="7">B67/2</f>
        <v>0</v>
      </c>
      <c r="C88" s="77">
        <f t="shared" si="7"/>
        <v>0</v>
      </c>
      <c r="D88" s="77">
        <f>-(D81+D85)</f>
        <v>148978.60685730531</v>
      </c>
      <c r="E88" s="77">
        <f t="shared" ref="E88:G88" si="8">-(E81+E85)</f>
        <v>299255.45459379262</v>
      </c>
      <c r="F88" s="77">
        <f t="shared" si="8"/>
        <v>446380.97220173391</v>
      </c>
      <c r="G88" s="72">
        <f t="shared" si="8"/>
        <v>558912.43126430397</v>
      </c>
      <c r="H88" s="88">
        <f>SUM(B88:G88)</f>
        <v>1453527.4649171359</v>
      </c>
    </row>
    <row r="89" spans="1:8">
      <c r="A89" s="68" t="s">
        <v>45</v>
      </c>
      <c r="B89" s="92">
        <f>B88</f>
        <v>0</v>
      </c>
      <c r="C89" s="73">
        <f>B89+C88</f>
        <v>0</v>
      </c>
      <c r="D89" s="73">
        <f>C89+D88</f>
        <v>148978.60685730531</v>
      </c>
      <c r="E89" s="73">
        <f>D89+E88</f>
        <v>448234.06145109795</v>
      </c>
      <c r="F89" s="73">
        <f>E89+F88</f>
        <v>894615.0336528318</v>
      </c>
      <c r="G89" s="76">
        <f>F89+G88</f>
        <v>1453527.4649171359</v>
      </c>
      <c r="H89" s="95"/>
    </row>
    <row r="90" spans="1:8">
      <c r="A90" s="59"/>
      <c r="B90" s="77"/>
      <c r="C90" s="77"/>
      <c r="D90" s="77"/>
      <c r="E90" s="77"/>
      <c r="F90" s="77"/>
      <c r="G90" s="77"/>
      <c r="H90"/>
    </row>
    <row r="91" spans="1:8">
      <c r="B91" s="78"/>
      <c r="C91" s="79"/>
      <c r="D91" s="80"/>
      <c r="E91" s="79"/>
      <c r="F91" s="79"/>
      <c r="G91" s="81" t="s">
        <v>57</v>
      </c>
      <c r="H91" s="87"/>
    </row>
    <row r="92" spans="1:8">
      <c r="A92" s="59"/>
      <c r="B92" s="82"/>
      <c r="G92" s="83" t="s">
        <v>58</v>
      </c>
      <c r="H92" s="88">
        <f>H81+H85</f>
        <v>-1453527.4649171357</v>
      </c>
    </row>
    <row r="93" spans="1:8">
      <c r="B93" s="84"/>
      <c r="C93" s="1"/>
      <c r="E93" s="59"/>
      <c r="F93" s="1"/>
      <c r="G93" s="83" t="s">
        <v>59</v>
      </c>
      <c r="H93" s="88">
        <f>H88</f>
        <v>1453527.4649171359</v>
      </c>
    </row>
    <row r="94" spans="1:8">
      <c r="B94" s="85"/>
      <c r="C94" s="28"/>
      <c r="D94" s="28"/>
      <c r="E94" s="28"/>
      <c r="F94" s="28"/>
      <c r="G94" s="86" t="s">
        <v>60</v>
      </c>
      <c r="H94" s="89">
        <f>H92+H93</f>
        <v>0</v>
      </c>
    </row>
    <row r="95" spans="1:8">
      <c r="H95"/>
    </row>
    <row r="96" spans="1:8">
      <c r="H96"/>
    </row>
    <row r="97" spans="8:8">
      <c r="H97"/>
    </row>
    <row r="98" spans="8:8">
      <c r="H98"/>
    </row>
    <row r="99" spans="8:8">
      <c r="H99"/>
    </row>
    <row r="100" spans="8:8">
      <c r="H100"/>
    </row>
    <row r="101" spans="8:8">
      <c r="H101"/>
    </row>
    <row r="102" spans="8:8">
      <c r="H102"/>
    </row>
    <row r="103" spans="8:8">
      <c r="H103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27C2DCEE48D4D89B6F4676FF2487B" ma:contentTypeVersion="14" ma:contentTypeDescription="Create a new document." ma:contentTypeScope="" ma:versionID="3446113a1ec8e4bf6ccb1bb5e993bfd2">
  <xsd:schema xmlns:xsd="http://www.w3.org/2001/XMLSchema" xmlns:xs="http://www.w3.org/2001/XMLSchema" xmlns:p="http://schemas.microsoft.com/office/2006/metadata/properties" xmlns:ns2="61d82774-bff1-4d66-95b6-bcad13803c45" xmlns:ns3="8e7b70bf-82d7-409a-a3fc-8f1f7c2689df" targetNamespace="http://schemas.microsoft.com/office/2006/metadata/properties" ma:root="true" ma:fieldsID="ed26fed34a6c09b06f7ebdfb4b45f719" ns2:_="" ns3:_="">
    <xsd:import namespace="61d82774-bff1-4d66-95b6-bcad13803c45"/>
    <xsd:import namespace="8e7b70bf-82d7-409a-a3fc-8f1f7c268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774-bff1-4d66-95b6-bcad13803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88bd0a9-159b-4739-b05e-95b31f115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b70bf-82d7-409a-a3fc-8f1f7c268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124ed8-fb5b-4af6-8643-a056b0ee57e2}" ma:internalName="TaxCatchAll" ma:showField="CatchAllData" ma:web="8e7b70bf-82d7-409a-a3fc-8f1f7c268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774-bff1-4d66-95b6-bcad13803c45">
      <Terms xmlns="http://schemas.microsoft.com/office/infopath/2007/PartnerControls"/>
    </lcf76f155ced4ddcb4097134ff3c332f>
    <TaxCatchAll xmlns="8e7b70bf-82d7-409a-a3fc-8f1f7c2689df" xsi:nil="true"/>
  </documentManagement>
</p:properties>
</file>

<file path=customXml/itemProps1.xml><?xml version="1.0" encoding="utf-8"?>
<ds:datastoreItem xmlns:ds="http://schemas.openxmlformats.org/officeDocument/2006/customXml" ds:itemID="{242187EB-3E93-40DF-BC9B-D8B5DDAC4CA6}"/>
</file>

<file path=customXml/itemProps2.xml><?xml version="1.0" encoding="utf-8"?>
<ds:datastoreItem xmlns:ds="http://schemas.openxmlformats.org/officeDocument/2006/customXml" ds:itemID="{F613B4B4-DD2D-4657-ADF0-26032EE53369}"/>
</file>

<file path=customXml/itemProps3.xml><?xml version="1.0" encoding="utf-8"?>
<ds:datastoreItem xmlns:ds="http://schemas.openxmlformats.org/officeDocument/2006/customXml" ds:itemID="{149E79DB-558B-4131-832C-5CDC9864E8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Brandon Ott</dc:creator>
  <cp:keywords/>
  <dc:description/>
  <cp:lastModifiedBy>Laura Hampton</cp:lastModifiedBy>
  <cp:revision/>
  <dcterms:created xsi:type="dcterms:W3CDTF">2022-08-23T20:19:23Z</dcterms:created>
  <dcterms:modified xsi:type="dcterms:W3CDTF">2023-10-11T13:57:53Z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0x0101004BA27C2DCEE48D4D89B6F4676FF2487B</vt:lpwstr>
  </property>
  <property fmtid="{D5CDD505-2E9C-101B-9397-08002B2CF9AE}" pid="3" name="MediaServiceImageTags">
    <vt:lpwstr/>
  </property>
</Properties>
</file>