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nPower\Public\Regulatory Shared\2023 COS Data Files\15.  Settlement Files\Final Settlement\"/>
    </mc:Choice>
  </mc:AlternateContent>
  <xr:revisionPtr revIDLastSave="0" documentId="8_{67FF20A3-E025-4345-93ED-A69E9E1065D7}" xr6:coauthVersionLast="47" xr6:coauthVersionMax="47" xr10:uidLastSave="{00000000-0000-0000-0000-000000000000}"/>
  <bookViews>
    <workbookView xWindow="-28920" yWindow="-15" windowWidth="29040" windowHeight="15720" firstSheet="1" activeTab="1" xr2:uid="{00000000-000D-0000-FFFF-FFFF00000000}"/>
  </bookViews>
  <sheets>
    <sheet name="Settlement Calc" sheetId="4" r:id="rId1"/>
    <sheet name="1592 Tables" sheetId="3" r:id="rId2"/>
    <sheet name="IR Calc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4" l="1"/>
  <c r="E9" i="3" l="1"/>
  <c r="F9" i="3" s="1"/>
  <c r="E8" i="3"/>
  <c r="F8" i="3" s="1"/>
  <c r="E7" i="3"/>
  <c r="F7" i="3" s="1"/>
  <c r="F6" i="3"/>
  <c r="E6" i="3"/>
  <c r="E5" i="3"/>
  <c r="F5" i="3" s="1"/>
  <c r="G5" i="3" s="1"/>
  <c r="G6" i="3" l="1"/>
  <c r="G7" i="3" s="1"/>
  <c r="G8" i="3" s="1"/>
  <c r="G9" i="3" s="1"/>
  <c r="H166" i="4" l="1"/>
  <c r="G166" i="4"/>
  <c r="F166" i="4"/>
  <c r="E166" i="4"/>
  <c r="D166" i="4"/>
  <c r="H165" i="4"/>
  <c r="G165" i="4"/>
  <c r="F165" i="4"/>
  <c r="E165" i="4"/>
  <c r="D165" i="4"/>
  <c r="H164" i="4"/>
  <c r="G164" i="4"/>
  <c r="F98" i="4" s="1"/>
  <c r="F164" i="4"/>
  <c r="E164" i="4"/>
  <c r="D164" i="4"/>
  <c r="I99" i="4"/>
  <c r="H99" i="4"/>
  <c r="G99" i="4"/>
  <c r="E97" i="4"/>
  <c r="K97" i="4" s="1"/>
  <c r="L97" i="4" s="1"/>
  <c r="K96" i="4"/>
  <c r="L96" i="4" s="1"/>
  <c r="K95" i="4"/>
  <c r="L95" i="4" s="1"/>
  <c r="K94" i="4"/>
  <c r="L94" i="4" s="1"/>
  <c r="L93" i="4"/>
  <c r="K93" i="4"/>
  <c r="E92" i="4"/>
  <c r="K92" i="4" s="1"/>
  <c r="L92" i="4" s="1"/>
  <c r="K91" i="4"/>
  <c r="L91" i="4" s="1"/>
  <c r="L90" i="4"/>
  <c r="K90" i="4"/>
  <c r="A88" i="4"/>
  <c r="I85" i="4"/>
  <c r="H85" i="4"/>
  <c r="G85" i="4"/>
  <c r="K84" i="4"/>
  <c r="L84" i="4" s="1"/>
  <c r="F84" i="4"/>
  <c r="F85" i="4" s="1"/>
  <c r="K83" i="4"/>
  <c r="L83" i="4" s="1"/>
  <c r="E83" i="4"/>
  <c r="K82" i="4"/>
  <c r="L82" i="4" s="1"/>
  <c r="K81" i="4"/>
  <c r="L81" i="4" s="1"/>
  <c r="K80" i="4"/>
  <c r="L80" i="4" s="1"/>
  <c r="K79" i="4"/>
  <c r="L79" i="4" s="1"/>
  <c r="K78" i="4"/>
  <c r="L78" i="4" s="1"/>
  <c r="E78" i="4"/>
  <c r="E85" i="4" s="1"/>
  <c r="K77" i="4"/>
  <c r="L77" i="4" s="1"/>
  <c r="L76" i="4"/>
  <c r="K76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75" i="4"/>
  <c r="A74" i="4"/>
  <c r="I71" i="4"/>
  <c r="H71" i="4"/>
  <c r="K70" i="4"/>
  <c r="L70" i="4" s="1"/>
  <c r="J70" i="4"/>
  <c r="F70" i="4"/>
  <c r="E69" i="4"/>
  <c r="K69" i="4" s="1"/>
  <c r="L69" i="4" s="1"/>
  <c r="K68" i="4"/>
  <c r="L68" i="4" s="1"/>
  <c r="F67" i="4"/>
  <c r="G67" i="4" s="1"/>
  <c r="E67" i="4"/>
  <c r="K67" i="4" s="1"/>
  <c r="L67" i="4" s="1"/>
  <c r="K66" i="4"/>
  <c r="L66" i="4" s="1"/>
  <c r="E66" i="4"/>
  <c r="K65" i="4"/>
  <c r="L65" i="4" s="1"/>
  <c r="F64" i="4"/>
  <c r="G64" i="4" s="1"/>
  <c r="E64" i="4"/>
  <c r="K64" i="4" s="1"/>
  <c r="L64" i="4" s="1"/>
  <c r="E63" i="4"/>
  <c r="F63" i="4" s="1"/>
  <c r="K62" i="4"/>
  <c r="L62" i="4" s="1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A60" i="4"/>
  <c r="S59" i="4"/>
  <c r="S73" i="4" s="1"/>
  <c r="S87" i="4" s="1"/>
  <c r="I57" i="4"/>
  <c r="H57" i="4"/>
  <c r="K55" i="4"/>
  <c r="L55" i="4" s="1"/>
  <c r="E55" i="4"/>
  <c r="K54" i="4"/>
  <c r="L54" i="4" s="1"/>
  <c r="K53" i="4"/>
  <c r="L53" i="4" s="1"/>
  <c r="E53" i="4"/>
  <c r="E52" i="4"/>
  <c r="K52" i="4" s="1"/>
  <c r="L52" i="4" s="1"/>
  <c r="K51" i="4"/>
  <c r="L51" i="4" s="1"/>
  <c r="K50" i="4"/>
  <c r="L50" i="4" s="1"/>
  <c r="G50" i="4"/>
  <c r="F50" i="4"/>
  <c r="E50" i="4"/>
  <c r="F49" i="4"/>
  <c r="G49" i="4" s="1"/>
  <c r="G57" i="4" s="1"/>
  <c r="E49" i="4"/>
  <c r="E57" i="4" s="1"/>
  <c r="K48" i="4"/>
  <c r="L48" i="4" s="1"/>
  <c r="S47" i="4"/>
  <c r="S61" i="4" s="1"/>
  <c r="S75" i="4" s="1"/>
  <c r="S89" i="4" s="1"/>
  <c r="R47" i="4"/>
  <c r="R61" i="4" s="1"/>
  <c r="R75" i="4" s="1"/>
  <c r="R89" i="4" s="1"/>
  <c r="Q47" i="4"/>
  <c r="Q61" i="4" s="1"/>
  <c r="Q75" i="4" s="1"/>
  <c r="Q89" i="4" s="1"/>
  <c r="O47" i="4"/>
  <c r="O89" i="4" s="1"/>
  <c r="N47" i="4"/>
  <c r="N89" i="4" s="1"/>
  <c r="M47" i="4"/>
  <c r="M89" i="4" s="1"/>
  <c r="L47" i="4"/>
  <c r="L89" i="4" s="1"/>
  <c r="K47" i="4"/>
  <c r="K89" i="4" s="1"/>
  <c r="J47" i="4"/>
  <c r="J89" i="4" s="1"/>
  <c r="I47" i="4"/>
  <c r="I89" i="4" s="1"/>
  <c r="H47" i="4"/>
  <c r="H89" i="4" s="1"/>
  <c r="G47" i="4"/>
  <c r="G89" i="4" s="1"/>
  <c r="F47" i="4"/>
  <c r="F89" i="4" s="1"/>
  <c r="E47" i="4"/>
  <c r="E89" i="4" s="1"/>
  <c r="D47" i="4"/>
  <c r="D89" i="4" s="1"/>
  <c r="C47" i="4"/>
  <c r="C89" i="4" s="1"/>
  <c r="B47" i="4"/>
  <c r="B89" i="4" s="1"/>
  <c r="A47" i="4"/>
  <c r="A89" i="4" s="1"/>
  <c r="I43" i="4"/>
  <c r="H43" i="4"/>
  <c r="G43" i="4"/>
  <c r="F43" i="4"/>
  <c r="E43" i="4"/>
  <c r="D43" i="4"/>
  <c r="C43" i="4"/>
  <c r="N42" i="4"/>
  <c r="K42" i="4"/>
  <c r="L42" i="4" s="1"/>
  <c r="Q42" i="4" s="1"/>
  <c r="R42" i="4" s="1"/>
  <c r="C56" i="4" s="1"/>
  <c r="J42" i="4"/>
  <c r="O42" i="4" s="1"/>
  <c r="D56" i="4" s="1"/>
  <c r="N41" i="4"/>
  <c r="K41" i="4"/>
  <c r="L41" i="4" s="1"/>
  <c r="Q41" i="4" s="1"/>
  <c r="R41" i="4" s="1"/>
  <c r="C55" i="4" s="1"/>
  <c r="J41" i="4"/>
  <c r="N40" i="4"/>
  <c r="K40" i="4"/>
  <c r="L40" i="4" s="1"/>
  <c r="Q40" i="4" s="1"/>
  <c r="J40" i="4"/>
  <c r="N39" i="4"/>
  <c r="K39" i="4"/>
  <c r="L39" i="4" s="1"/>
  <c r="Q39" i="4" s="1"/>
  <c r="R39" i="4" s="1"/>
  <c r="C53" i="4" s="1"/>
  <c r="J39" i="4"/>
  <c r="N38" i="4"/>
  <c r="K38" i="4"/>
  <c r="L38" i="4" s="1"/>
  <c r="Q38" i="4" s="1"/>
  <c r="R38" i="4" s="1"/>
  <c r="C52" i="4" s="1"/>
  <c r="J38" i="4"/>
  <c r="N37" i="4"/>
  <c r="K37" i="4"/>
  <c r="L37" i="4" s="1"/>
  <c r="Q37" i="4" s="1"/>
  <c r="R37" i="4" s="1"/>
  <c r="C51" i="4" s="1"/>
  <c r="J37" i="4"/>
  <c r="O37" i="4" s="1"/>
  <c r="D51" i="4" s="1"/>
  <c r="N36" i="4"/>
  <c r="K36" i="4"/>
  <c r="L36" i="4" s="1"/>
  <c r="Q36" i="4" s="1"/>
  <c r="R36" i="4" s="1"/>
  <c r="C50" i="4" s="1"/>
  <c r="J36" i="4"/>
  <c r="O36" i="4" s="1"/>
  <c r="D50" i="4" s="1"/>
  <c r="N35" i="4"/>
  <c r="K35" i="4"/>
  <c r="L35" i="4" s="1"/>
  <c r="Q35" i="4" s="1"/>
  <c r="R35" i="4" s="1"/>
  <c r="C49" i="4" s="1"/>
  <c r="J35" i="4"/>
  <c r="N34" i="4"/>
  <c r="K34" i="4"/>
  <c r="J34" i="4"/>
  <c r="I29" i="4"/>
  <c r="H29" i="4"/>
  <c r="G29" i="4"/>
  <c r="F29" i="4"/>
  <c r="E29" i="4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I15" i="4"/>
  <c r="H15" i="4"/>
  <c r="G15" i="4"/>
  <c r="F15" i="4"/>
  <c r="E15" i="4"/>
  <c r="D15" i="4"/>
  <c r="C15" i="4"/>
  <c r="N14" i="4"/>
  <c r="K14" i="4"/>
  <c r="L14" i="4" s="1"/>
  <c r="Q14" i="4" s="1"/>
  <c r="J14" i="4"/>
  <c r="K13" i="4"/>
  <c r="L13" i="4" s="1"/>
  <c r="Q13" i="4" s="1"/>
  <c r="S13" i="4" s="1"/>
  <c r="J13" i="4"/>
  <c r="O13" i="4" s="1"/>
  <c r="D27" i="4" s="1"/>
  <c r="J27" i="4" s="1"/>
  <c r="K12" i="4"/>
  <c r="L12" i="4" s="1"/>
  <c r="Q12" i="4" s="1"/>
  <c r="S12" i="4" s="1"/>
  <c r="J12" i="4"/>
  <c r="O12" i="4" s="1"/>
  <c r="D26" i="4" s="1"/>
  <c r="J26" i="4" s="1"/>
  <c r="K11" i="4"/>
  <c r="L11" i="4" s="1"/>
  <c r="Q11" i="4" s="1"/>
  <c r="S11" i="4" s="1"/>
  <c r="J11" i="4"/>
  <c r="O11" i="4" s="1"/>
  <c r="D25" i="4" s="1"/>
  <c r="J25" i="4" s="1"/>
  <c r="K10" i="4"/>
  <c r="L10" i="4" s="1"/>
  <c r="Q10" i="4" s="1"/>
  <c r="J10" i="4"/>
  <c r="O10" i="4" s="1"/>
  <c r="D24" i="4" s="1"/>
  <c r="J24" i="4" s="1"/>
  <c r="N9" i="4"/>
  <c r="K9" i="4"/>
  <c r="L9" i="4" s="1"/>
  <c r="Q9" i="4" s="1"/>
  <c r="J9" i="4"/>
  <c r="K8" i="4"/>
  <c r="L8" i="4" s="1"/>
  <c r="Q8" i="4" s="1"/>
  <c r="S8" i="4" s="1"/>
  <c r="J8" i="4"/>
  <c r="K7" i="4"/>
  <c r="L7" i="4" s="1"/>
  <c r="Q7" i="4" s="1"/>
  <c r="S7" i="4" s="1"/>
  <c r="J7" i="4"/>
  <c r="N6" i="4"/>
  <c r="K6" i="4"/>
  <c r="J6" i="4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O14" i="4" l="1"/>
  <c r="D28" i="4" s="1"/>
  <c r="O35" i="4"/>
  <c r="D49" i="4" s="1"/>
  <c r="R9" i="4"/>
  <c r="C23" i="4" s="1"/>
  <c r="D167" i="4"/>
  <c r="R7" i="4"/>
  <c r="C21" i="4" s="1"/>
  <c r="Q21" i="4" s="1"/>
  <c r="S21" i="4" s="1"/>
  <c r="O40" i="4"/>
  <c r="D54" i="4" s="1"/>
  <c r="N54" i="4" s="1"/>
  <c r="S14" i="4"/>
  <c r="O39" i="4"/>
  <c r="D53" i="4" s="1"/>
  <c r="N53" i="4" s="1"/>
  <c r="K43" i="4"/>
  <c r="S38" i="4"/>
  <c r="Q23" i="4"/>
  <c r="K15" i="4"/>
  <c r="R14" i="4"/>
  <c r="C28" i="4" s="1"/>
  <c r="Q28" i="4" s="1"/>
  <c r="S37" i="4"/>
  <c r="R8" i="4"/>
  <c r="C22" i="4" s="1"/>
  <c r="Q22" i="4" s="1"/>
  <c r="S22" i="4" s="1"/>
  <c r="K29" i="4"/>
  <c r="O38" i="4"/>
  <c r="D52" i="4" s="1"/>
  <c r="J52" i="4" s="1"/>
  <c r="S39" i="4"/>
  <c r="S9" i="4"/>
  <c r="J43" i="4"/>
  <c r="G167" i="4"/>
  <c r="K85" i="4"/>
  <c r="L85" i="4"/>
  <c r="S40" i="4"/>
  <c r="R40" i="4"/>
  <c r="C54" i="4" s="1"/>
  <c r="S35" i="4"/>
  <c r="S10" i="4"/>
  <c r="R10" i="4"/>
  <c r="C24" i="4" s="1"/>
  <c r="Q24" i="4" s="1"/>
  <c r="S24" i="4" s="1"/>
  <c r="J28" i="4"/>
  <c r="N28" i="4"/>
  <c r="S28" i="4" s="1"/>
  <c r="J50" i="4"/>
  <c r="N50" i="4"/>
  <c r="S41" i="4"/>
  <c r="K99" i="4"/>
  <c r="F99" i="4"/>
  <c r="K98" i="4"/>
  <c r="L98" i="4" s="1"/>
  <c r="E167" i="4"/>
  <c r="N49" i="4"/>
  <c r="J49" i="4"/>
  <c r="O25" i="4"/>
  <c r="O26" i="4"/>
  <c r="L99" i="4"/>
  <c r="Q55" i="4"/>
  <c r="R55" i="4" s="1"/>
  <c r="C69" i="4" s="1"/>
  <c r="Q50" i="4"/>
  <c r="R50" i="4" s="1"/>
  <c r="C64" i="4" s="1"/>
  <c r="S36" i="4"/>
  <c r="O24" i="4"/>
  <c r="Q52" i="4"/>
  <c r="R52" i="4" s="1"/>
  <c r="C66" i="4" s="1"/>
  <c r="F56" i="4"/>
  <c r="K56" i="4" s="1"/>
  <c r="L56" i="4" s="1"/>
  <c r="Q56" i="4" s="1"/>
  <c r="R56" i="4" s="1"/>
  <c r="C70" i="4" s="1"/>
  <c r="F71" i="4"/>
  <c r="G63" i="4"/>
  <c r="G71" i="4" s="1"/>
  <c r="Q51" i="4"/>
  <c r="R51" i="4" s="1"/>
  <c r="C65" i="4" s="1"/>
  <c r="Q53" i="4"/>
  <c r="R53" i="4" s="1"/>
  <c r="C67" i="4" s="1"/>
  <c r="O27" i="4"/>
  <c r="J51" i="4"/>
  <c r="N51" i="4"/>
  <c r="S51" i="4" s="1"/>
  <c r="S42" i="4"/>
  <c r="L71" i="4"/>
  <c r="L6" i="4"/>
  <c r="O8" i="4"/>
  <c r="D22" i="4" s="1"/>
  <c r="J22" i="4" s="1"/>
  <c r="O9" i="4"/>
  <c r="D23" i="4" s="1"/>
  <c r="R11" i="4"/>
  <c r="C25" i="4" s="1"/>
  <c r="Q25" i="4" s="1"/>
  <c r="S25" i="4" s="1"/>
  <c r="R12" i="4"/>
  <c r="C26" i="4" s="1"/>
  <c r="Q26" i="4" s="1"/>
  <c r="S26" i="4" s="1"/>
  <c r="R13" i="4"/>
  <c r="C27" i="4" s="1"/>
  <c r="Q27" i="4" s="1"/>
  <c r="S27" i="4" s="1"/>
  <c r="L34" i="4"/>
  <c r="O7" i="4"/>
  <c r="D21" i="4" s="1"/>
  <c r="J21" i="4" s="1"/>
  <c r="J15" i="4"/>
  <c r="K49" i="4"/>
  <c r="L49" i="4" s="1"/>
  <c r="Q49" i="4" s="1"/>
  <c r="R49" i="4" s="1"/>
  <c r="C63" i="4" s="1"/>
  <c r="O6" i="4"/>
  <c r="O34" i="4"/>
  <c r="N43" i="4"/>
  <c r="K63" i="4"/>
  <c r="L63" i="4" s="1"/>
  <c r="N15" i="4"/>
  <c r="O41" i="4"/>
  <c r="D55" i="4" s="1"/>
  <c r="E71" i="4"/>
  <c r="F167" i="4" s="1"/>
  <c r="L20" i="4"/>
  <c r="L29" i="4" s="1"/>
  <c r="E99" i="4"/>
  <c r="H167" i="4" s="1"/>
  <c r="L38" i="3"/>
  <c r="M38" i="3" s="1"/>
  <c r="N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N32" i="3" s="1"/>
  <c r="L26" i="3"/>
  <c r="M26" i="3" s="1"/>
  <c r="L25" i="3"/>
  <c r="M25" i="3" s="1"/>
  <c r="N25" i="3" s="1"/>
  <c r="L24" i="3"/>
  <c r="M24" i="3" s="1"/>
  <c r="L23" i="3"/>
  <c r="M23" i="3" s="1"/>
  <c r="L22" i="3"/>
  <c r="M22" i="3" s="1"/>
  <c r="L21" i="3"/>
  <c r="M21" i="3" s="1"/>
  <c r="L20" i="3"/>
  <c r="M20" i="3" s="1"/>
  <c r="N20" i="3" s="1"/>
  <c r="N21" i="3" s="1"/>
  <c r="N22" i="3" s="1"/>
  <c r="E20" i="3"/>
  <c r="F20" i="3" s="1"/>
  <c r="G20" i="3" s="1"/>
  <c r="E21" i="3"/>
  <c r="F21" i="3" s="1"/>
  <c r="E22" i="3"/>
  <c r="F22" i="3" s="1"/>
  <c r="E23" i="3"/>
  <c r="F23" i="3"/>
  <c r="E24" i="3"/>
  <c r="F24" i="3"/>
  <c r="E25" i="3"/>
  <c r="F25" i="3"/>
  <c r="G25" i="3" s="1"/>
  <c r="E26" i="3"/>
  <c r="F26" i="3" s="1"/>
  <c r="E32" i="3"/>
  <c r="F32" i="3" s="1"/>
  <c r="G32" i="3" s="1"/>
  <c r="E33" i="3"/>
  <c r="F33" i="3" s="1"/>
  <c r="E34" i="3"/>
  <c r="F34" i="3"/>
  <c r="E35" i="3"/>
  <c r="F35" i="3" s="1"/>
  <c r="E36" i="3"/>
  <c r="F36" i="3" s="1"/>
  <c r="E37" i="3"/>
  <c r="F37" i="3"/>
  <c r="E38" i="3"/>
  <c r="F38" i="3"/>
  <c r="G38" i="3" s="1"/>
  <c r="J53" i="4" l="1"/>
  <c r="F57" i="4"/>
  <c r="J54" i="4"/>
  <c r="R24" i="4"/>
  <c r="N52" i="4"/>
  <c r="S52" i="4" s="1"/>
  <c r="O49" i="4"/>
  <c r="D63" i="4" s="1"/>
  <c r="O52" i="4"/>
  <c r="D66" i="4" s="1"/>
  <c r="J66" i="4" s="1"/>
  <c r="S53" i="4"/>
  <c r="R25" i="4"/>
  <c r="N56" i="4"/>
  <c r="O54" i="4"/>
  <c r="D68" i="4" s="1"/>
  <c r="S49" i="4"/>
  <c r="K57" i="4"/>
  <c r="G33" i="3"/>
  <c r="G34" i="3" s="1"/>
  <c r="G35" i="3" s="1"/>
  <c r="G36" i="3" s="1"/>
  <c r="G37" i="3" s="1"/>
  <c r="G26" i="3"/>
  <c r="G21" i="3"/>
  <c r="Q67" i="4"/>
  <c r="R67" i="4" s="1"/>
  <c r="C81" i="4" s="1"/>
  <c r="Q64" i="4"/>
  <c r="R64" i="4" s="1"/>
  <c r="C78" i="4" s="1"/>
  <c r="Q65" i="4"/>
  <c r="R65" i="4" s="1"/>
  <c r="C79" i="4" s="1"/>
  <c r="Q70" i="4"/>
  <c r="Q63" i="4"/>
  <c r="R63" i="4" s="1"/>
  <c r="C77" i="4" s="1"/>
  <c r="S56" i="4"/>
  <c r="O53" i="4"/>
  <c r="D67" i="4" s="1"/>
  <c r="N55" i="4"/>
  <c r="S55" i="4" s="1"/>
  <c r="J55" i="4"/>
  <c r="Q69" i="4"/>
  <c r="R69" i="4" s="1"/>
  <c r="C83" i="4" s="1"/>
  <c r="L57" i="4"/>
  <c r="O51" i="4"/>
  <c r="D65" i="4" s="1"/>
  <c r="J56" i="4"/>
  <c r="O56" i="4" s="1"/>
  <c r="D70" i="4" s="1"/>
  <c r="N70" i="4" s="1"/>
  <c r="S50" i="4"/>
  <c r="R21" i="4"/>
  <c r="O21" i="4"/>
  <c r="N68" i="4"/>
  <c r="J68" i="4"/>
  <c r="Q34" i="4"/>
  <c r="L43" i="4"/>
  <c r="K71" i="4"/>
  <c r="Q66" i="4"/>
  <c r="R66" i="4" s="1"/>
  <c r="C80" i="4" s="1"/>
  <c r="R26" i="4"/>
  <c r="O50" i="4"/>
  <c r="D64" i="4" s="1"/>
  <c r="Q54" i="4"/>
  <c r="R54" i="4" s="1"/>
  <c r="C68" i="4" s="1"/>
  <c r="L15" i="4"/>
  <c r="Q6" i="4"/>
  <c r="S54" i="4"/>
  <c r="O43" i="4"/>
  <c r="D48" i="4"/>
  <c r="O15" i="4"/>
  <c r="D20" i="4"/>
  <c r="J23" i="4"/>
  <c r="N23" i="4"/>
  <c r="S23" i="4" s="1"/>
  <c r="R27" i="4"/>
  <c r="N63" i="4"/>
  <c r="J63" i="4"/>
  <c r="O63" i="4" s="1"/>
  <c r="D77" i="4" s="1"/>
  <c r="R22" i="4"/>
  <c r="O22" i="4"/>
  <c r="R28" i="4"/>
  <c r="O28" i="4"/>
  <c r="N23" i="3"/>
  <c r="N24" i="3" s="1"/>
  <c r="N26" i="3"/>
  <c r="N33" i="3"/>
  <c r="N34" i="3" s="1"/>
  <c r="N35" i="3" s="1"/>
  <c r="N36" i="3" s="1"/>
  <c r="N37" i="3" s="1"/>
  <c r="G22" i="3"/>
  <c r="G23" i="3" s="1"/>
  <c r="G24" i="3" s="1"/>
  <c r="D164" i="2"/>
  <c r="E164" i="2"/>
  <c r="F164" i="2"/>
  <c r="G164" i="2"/>
  <c r="H164" i="2"/>
  <c r="D165" i="2"/>
  <c r="D167" i="2" s="1"/>
  <c r="E165" i="2"/>
  <c r="F165" i="2"/>
  <c r="G165" i="2"/>
  <c r="H165" i="2"/>
  <c r="D166" i="2"/>
  <c r="E166" i="2"/>
  <c r="E52" i="2" s="1"/>
  <c r="K52" i="2" s="1"/>
  <c r="L52" i="2" s="1"/>
  <c r="F166" i="2"/>
  <c r="G166" i="2"/>
  <c r="K80" i="2" s="1"/>
  <c r="L80" i="2" s="1"/>
  <c r="H166" i="2"/>
  <c r="E94" i="2" s="1"/>
  <c r="K94" i="2" s="1"/>
  <c r="L94" i="2" s="1"/>
  <c r="I29" i="2"/>
  <c r="H29" i="2"/>
  <c r="G29" i="2"/>
  <c r="F29" i="2"/>
  <c r="E29" i="2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J14" i="2"/>
  <c r="J13" i="2"/>
  <c r="J12" i="2"/>
  <c r="J11" i="2"/>
  <c r="J10" i="2"/>
  <c r="J9" i="2"/>
  <c r="J8" i="2"/>
  <c r="J7" i="2"/>
  <c r="J6" i="2"/>
  <c r="K14" i="2"/>
  <c r="K13" i="2"/>
  <c r="L13" i="2" s="1"/>
  <c r="Q13" i="2" s="1"/>
  <c r="K12" i="2"/>
  <c r="L12" i="2" s="1"/>
  <c r="K11" i="2"/>
  <c r="K10" i="2"/>
  <c r="L10" i="2" s="1"/>
  <c r="K9" i="2"/>
  <c r="L9" i="2" s="1"/>
  <c r="Q9" i="2" s="1"/>
  <c r="K8" i="2"/>
  <c r="L8" i="2" s="1"/>
  <c r="Q8" i="2" s="1"/>
  <c r="K7" i="2"/>
  <c r="L7" i="2" s="1"/>
  <c r="L14" i="2"/>
  <c r="Q14" i="2" s="1"/>
  <c r="R14" i="2" s="1"/>
  <c r="C28" i="2" s="1"/>
  <c r="K6" i="2"/>
  <c r="L6" i="2" s="1"/>
  <c r="I15" i="2"/>
  <c r="H15" i="2"/>
  <c r="G15" i="2"/>
  <c r="F15" i="2"/>
  <c r="E15" i="2"/>
  <c r="D15" i="2"/>
  <c r="C15" i="2"/>
  <c r="N14" i="2"/>
  <c r="L11" i="2"/>
  <c r="N9" i="2"/>
  <c r="N6" i="2"/>
  <c r="J70" i="2"/>
  <c r="F70" i="2"/>
  <c r="K70" i="2" s="1"/>
  <c r="L70" i="2" s="1"/>
  <c r="I99" i="2"/>
  <c r="H99" i="2"/>
  <c r="G99" i="2"/>
  <c r="E97" i="2"/>
  <c r="K97" i="2" s="1"/>
  <c r="L97" i="2" s="1"/>
  <c r="K96" i="2"/>
  <c r="L96" i="2" s="1"/>
  <c r="E95" i="2"/>
  <c r="K95" i="2" s="1"/>
  <c r="L95" i="2" s="1"/>
  <c r="K93" i="2"/>
  <c r="L93" i="2" s="1"/>
  <c r="E92" i="2"/>
  <c r="K92" i="2" s="1"/>
  <c r="L92" i="2" s="1"/>
  <c r="E91" i="2"/>
  <c r="K91" i="2" s="1"/>
  <c r="L91" i="2" s="1"/>
  <c r="K90" i="2"/>
  <c r="L90" i="2" s="1"/>
  <c r="A88" i="2"/>
  <c r="I85" i="2"/>
  <c r="H85" i="2"/>
  <c r="G85" i="2"/>
  <c r="F84" i="2"/>
  <c r="F85" i="2" s="1"/>
  <c r="E83" i="2"/>
  <c r="K83" i="2" s="1"/>
  <c r="L83" i="2" s="1"/>
  <c r="K82" i="2"/>
  <c r="L82" i="2" s="1"/>
  <c r="K81" i="2"/>
  <c r="L81" i="2" s="1"/>
  <c r="K79" i="2"/>
  <c r="L79" i="2" s="1"/>
  <c r="E78" i="2"/>
  <c r="K78" i="2" s="1"/>
  <c r="L78" i="2" s="1"/>
  <c r="K76" i="2"/>
  <c r="L76" i="2" s="1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A74" i="2"/>
  <c r="I71" i="2"/>
  <c r="H71" i="2"/>
  <c r="E69" i="2"/>
  <c r="K69" i="2" s="1"/>
  <c r="L69" i="2" s="1"/>
  <c r="K68" i="2"/>
  <c r="L68" i="2" s="1"/>
  <c r="E67" i="2"/>
  <c r="E66" i="2"/>
  <c r="K66" i="2" s="1"/>
  <c r="L66" i="2" s="1"/>
  <c r="K65" i="2"/>
  <c r="L65" i="2" s="1"/>
  <c r="F64" i="2"/>
  <c r="E64" i="2"/>
  <c r="E63" i="2"/>
  <c r="F63" i="2" s="1"/>
  <c r="K62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A60" i="2"/>
  <c r="S59" i="2"/>
  <c r="S73" i="2" s="1"/>
  <c r="S87" i="2" s="1"/>
  <c r="I57" i="2"/>
  <c r="H57" i="2"/>
  <c r="E55" i="2"/>
  <c r="K55" i="2" s="1"/>
  <c r="L55" i="2" s="1"/>
  <c r="K54" i="2"/>
  <c r="L54" i="2" s="1"/>
  <c r="E53" i="2"/>
  <c r="K53" i="2" s="1"/>
  <c r="L53" i="2" s="1"/>
  <c r="K51" i="2"/>
  <c r="L51" i="2" s="1"/>
  <c r="F50" i="2"/>
  <c r="G50" i="2" s="1"/>
  <c r="E50" i="2"/>
  <c r="F49" i="2"/>
  <c r="E49" i="2"/>
  <c r="K48" i="2"/>
  <c r="L48" i="2" s="1"/>
  <c r="S47" i="2"/>
  <c r="S61" i="2" s="1"/>
  <c r="S75" i="2" s="1"/>
  <c r="S89" i="2" s="1"/>
  <c r="R47" i="2"/>
  <c r="R61" i="2" s="1"/>
  <c r="R75" i="2" s="1"/>
  <c r="R89" i="2" s="1"/>
  <c r="Q47" i="2"/>
  <c r="Q61" i="2" s="1"/>
  <c r="Q75" i="2" s="1"/>
  <c r="Q89" i="2" s="1"/>
  <c r="O47" i="2"/>
  <c r="O89" i="2" s="1"/>
  <c r="N47" i="2"/>
  <c r="N89" i="2" s="1"/>
  <c r="M47" i="2"/>
  <c r="M89" i="2" s="1"/>
  <c r="L47" i="2"/>
  <c r="L89" i="2" s="1"/>
  <c r="K47" i="2"/>
  <c r="K89" i="2" s="1"/>
  <c r="J47" i="2"/>
  <c r="J89" i="2" s="1"/>
  <c r="I47" i="2"/>
  <c r="I89" i="2" s="1"/>
  <c r="H47" i="2"/>
  <c r="H89" i="2" s="1"/>
  <c r="G47" i="2"/>
  <c r="G89" i="2" s="1"/>
  <c r="F47" i="2"/>
  <c r="F89" i="2" s="1"/>
  <c r="E47" i="2"/>
  <c r="E89" i="2" s="1"/>
  <c r="D47" i="2"/>
  <c r="D89" i="2" s="1"/>
  <c r="C47" i="2"/>
  <c r="C89" i="2" s="1"/>
  <c r="B47" i="2"/>
  <c r="B89" i="2" s="1"/>
  <c r="A47" i="2"/>
  <c r="A89" i="2" s="1"/>
  <c r="I43" i="2"/>
  <c r="H43" i="2"/>
  <c r="G43" i="2"/>
  <c r="F43" i="2"/>
  <c r="E43" i="2"/>
  <c r="D43" i="2"/>
  <c r="C43" i="2"/>
  <c r="N42" i="2"/>
  <c r="K42" i="2"/>
  <c r="L42" i="2" s="1"/>
  <c r="Q42" i="2" s="1"/>
  <c r="R42" i="2" s="1"/>
  <c r="C56" i="2" s="1"/>
  <c r="J42" i="2"/>
  <c r="N41" i="2"/>
  <c r="K41" i="2"/>
  <c r="L41" i="2" s="1"/>
  <c r="Q41" i="2" s="1"/>
  <c r="R41" i="2" s="1"/>
  <c r="C55" i="2" s="1"/>
  <c r="J41" i="2"/>
  <c r="N40" i="2"/>
  <c r="K40" i="2"/>
  <c r="J40" i="2"/>
  <c r="N39" i="2"/>
  <c r="K39" i="2"/>
  <c r="L39" i="2" s="1"/>
  <c r="Q39" i="2" s="1"/>
  <c r="J39" i="2"/>
  <c r="N38" i="2"/>
  <c r="K38" i="2"/>
  <c r="L38" i="2" s="1"/>
  <c r="Q38" i="2" s="1"/>
  <c r="R38" i="2" s="1"/>
  <c r="C52" i="2" s="1"/>
  <c r="J38" i="2"/>
  <c r="N37" i="2"/>
  <c r="K37" i="2"/>
  <c r="L37" i="2" s="1"/>
  <c r="Q37" i="2" s="1"/>
  <c r="J37" i="2"/>
  <c r="N36" i="2"/>
  <c r="K36" i="2"/>
  <c r="L36" i="2" s="1"/>
  <c r="Q36" i="2" s="1"/>
  <c r="R36" i="2" s="1"/>
  <c r="C50" i="2" s="1"/>
  <c r="J36" i="2"/>
  <c r="N35" i="2"/>
  <c r="K35" i="2"/>
  <c r="L35" i="2" s="1"/>
  <c r="Q35" i="2" s="1"/>
  <c r="J35" i="2"/>
  <c r="N34" i="2"/>
  <c r="K34" i="2"/>
  <c r="L34" i="2" s="1"/>
  <c r="Q34" i="2" s="1"/>
  <c r="J34" i="2"/>
  <c r="N66" i="4" l="1"/>
  <c r="S63" i="4"/>
  <c r="O68" i="4"/>
  <c r="D82" i="4" s="1"/>
  <c r="O66" i="4"/>
  <c r="D80" i="4" s="1"/>
  <c r="O55" i="4"/>
  <c r="D69" i="4" s="1"/>
  <c r="Q77" i="4"/>
  <c r="R77" i="4" s="1"/>
  <c r="C91" i="4" s="1"/>
  <c r="Q68" i="4"/>
  <c r="S68" i="4" s="1"/>
  <c r="Q83" i="4"/>
  <c r="R83" i="4" s="1"/>
  <c r="C97" i="4" s="1"/>
  <c r="Q79" i="4"/>
  <c r="R79" i="4" s="1"/>
  <c r="C93" i="4" s="1"/>
  <c r="Q78" i="4"/>
  <c r="R78" i="4" s="1"/>
  <c r="C92" i="4" s="1"/>
  <c r="Q80" i="4"/>
  <c r="R80" i="4" s="1"/>
  <c r="C94" i="4" s="1"/>
  <c r="Q81" i="4"/>
  <c r="R81" i="4" s="1"/>
  <c r="C95" i="4" s="1"/>
  <c r="J69" i="4"/>
  <c r="N69" i="4"/>
  <c r="S69" i="4" s="1"/>
  <c r="O70" i="4"/>
  <c r="S70" i="4"/>
  <c r="N77" i="4"/>
  <c r="J77" i="4"/>
  <c r="N65" i="4"/>
  <c r="S65" i="4" s="1"/>
  <c r="J65" i="4"/>
  <c r="O65" i="4" s="1"/>
  <c r="D79" i="4" s="1"/>
  <c r="N67" i="4"/>
  <c r="S67" i="4" s="1"/>
  <c r="J67" i="4"/>
  <c r="O67" i="4" s="1"/>
  <c r="D81" i="4" s="1"/>
  <c r="R23" i="4"/>
  <c r="O23" i="4"/>
  <c r="Q43" i="4"/>
  <c r="R34" i="4"/>
  <c r="S34" i="4"/>
  <c r="S43" i="4" s="1"/>
  <c r="U39" i="4" s="1"/>
  <c r="V40" i="4" s="1"/>
  <c r="N48" i="4"/>
  <c r="J48" i="4"/>
  <c r="D57" i="4"/>
  <c r="N20" i="4"/>
  <c r="J20" i="4"/>
  <c r="D29" i="4"/>
  <c r="J82" i="4"/>
  <c r="N82" i="4"/>
  <c r="N80" i="4"/>
  <c r="J80" i="4"/>
  <c r="Q15" i="4"/>
  <c r="R6" i="4"/>
  <c r="S6" i="4"/>
  <c r="S15" i="4" s="1"/>
  <c r="U11" i="4" s="1"/>
  <c r="V12" i="4" s="1"/>
  <c r="J64" i="4"/>
  <c r="N64" i="4"/>
  <c r="S64" i="4" s="1"/>
  <c r="S66" i="4"/>
  <c r="R13" i="2"/>
  <c r="C27" i="2" s="1"/>
  <c r="R9" i="2"/>
  <c r="C23" i="2" s="1"/>
  <c r="Q23" i="2" s="1"/>
  <c r="R8" i="2"/>
  <c r="C22" i="2" s="1"/>
  <c r="Q22" i="2"/>
  <c r="Q27" i="2"/>
  <c r="S27" i="2" s="1"/>
  <c r="Q28" i="2"/>
  <c r="L29" i="2"/>
  <c r="K29" i="2"/>
  <c r="O36" i="2"/>
  <c r="D50" i="2" s="1"/>
  <c r="N50" i="2" s="1"/>
  <c r="O14" i="2"/>
  <c r="D28" i="2" s="1"/>
  <c r="S34" i="2"/>
  <c r="Q12" i="2"/>
  <c r="R12" i="2" s="1"/>
  <c r="C26" i="2" s="1"/>
  <c r="Q26" i="2" s="1"/>
  <c r="S26" i="2" s="1"/>
  <c r="Q11" i="2"/>
  <c r="R11" i="2" s="1"/>
  <c r="C25" i="2" s="1"/>
  <c r="Q25" i="2" s="1"/>
  <c r="S25" i="2" s="1"/>
  <c r="Q10" i="2"/>
  <c r="S10" i="2" s="1"/>
  <c r="Q7" i="2"/>
  <c r="S7" i="2" s="1"/>
  <c r="O12" i="2"/>
  <c r="D26" i="2" s="1"/>
  <c r="J26" i="2" s="1"/>
  <c r="O26" i="2" s="1"/>
  <c r="J15" i="2"/>
  <c r="O13" i="2"/>
  <c r="D27" i="2" s="1"/>
  <c r="J27" i="2" s="1"/>
  <c r="O27" i="2" s="1"/>
  <c r="S9" i="2"/>
  <c r="S13" i="2"/>
  <c r="S8" i="2"/>
  <c r="Q6" i="2"/>
  <c r="R6" i="2" s="1"/>
  <c r="C20" i="2" s="1"/>
  <c r="Q20" i="2" s="1"/>
  <c r="L15" i="2"/>
  <c r="S14" i="2"/>
  <c r="K15" i="2"/>
  <c r="O6" i="2"/>
  <c r="D20" i="2" s="1"/>
  <c r="O7" i="2"/>
  <c r="D21" i="2" s="1"/>
  <c r="J21" i="2" s="1"/>
  <c r="O8" i="2"/>
  <c r="D22" i="2" s="1"/>
  <c r="J22" i="2" s="1"/>
  <c r="O22" i="2" s="1"/>
  <c r="O9" i="2"/>
  <c r="D23" i="2" s="1"/>
  <c r="O10" i="2"/>
  <c r="D24" i="2" s="1"/>
  <c r="J24" i="2" s="1"/>
  <c r="O24" i="2" s="1"/>
  <c r="O11" i="2"/>
  <c r="D25" i="2" s="1"/>
  <c r="J25" i="2" s="1"/>
  <c r="O25" i="2" s="1"/>
  <c r="N15" i="2"/>
  <c r="F98" i="2"/>
  <c r="K98" i="2" s="1"/>
  <c r="L98" i="2" s="1"/>
  <c r="L99" i="2" s="1"/>
  <c r="O35" i="2"/>
  <c r="D49" i="2" s="1"/>
  <c r="O40" i="2"/>
  <c r="D54" i="2" s="1"/>
  <c r="J54" i="2" s="1"/>
  <c r="O38" i="2"/>
  <c r="D52" i="2" s="1"/>
  <c r="J52" i="2" s="1"/>
  <c r="G63" i="2"/>
  <c r="K63" i="2"/>
  <c r="L63" i="2" s="1"/>
  <c r="E85" i="2"/>
  <c r="G167" i="2" s="1"/>
  <c r="K77" i="2"/>
  <c r="L77" i="2" s="1"/>
  <c r="N43" i="2"/>
  <c r="O37" i="2"/>
  <c r="D51" i="2" s="1"/>
  <c r="N51" i="2" s="1"/>
  <c r="E71" i="2"/>
  <c r="F167" i="2" s="1"/>
  <c r="O39" i="2"/>
  <c r="D53" i="2" s="1"/>
  <c r="N53" i="2" s="1"/>
  <c r="O41" i="2"/>
  <c r="D55" i="2" s="1"/>
  <c r="J55" i="2" s="1"/>
  <c r="R37" i="2"/>
  <c r="C51" i="2" s="1"/>
  <c r="S37" i="2"/>
  <c r="R35" i="2"/>
  <c r="C49" i="2" s="1"/>
  <c r="S35" i="2"/>
  <c r="R39" i="2"/>
  <c r="C53" i="2" s="1"/>
  <c r="S39" i="2"/>
  <c r="Q52" i="2"/>
  <c r="R52" i="2" s="1"/>
  <c r="C66" i="2" s="1"/>
  <c r="S42" i="2"/>
  <c r="K64" i="2"/>
  <c r="L64" i="2" s="1"/>
  <c r="G64" i="2"/>
  <c r="S38" i="2"/>
  <c r="L40" i="2"/>
  <c r="Q40" i="2" s="1"/>
  <c r="Q43" i="2" s="1"/>
  <c r="K43" i="2"/>
  <c r="S41" i="2"/>
  <c r="J50" i="2"/>
  <c r="O50" i="2" s="1"/>
  <c r="D64" i="2" s="1"/>
  <c r="Q55" i="2"/>
  <c r="R55" i="2" s="1"/>
  <c r="C69" i="2" s="1"/>
  <c r="E57" i="2"/>
  <c r="E167" i="2" s="1"/>
  <c r="K49" i="2"/>
  <c r="L49" i="2" s="1"/>
  <c r="K50" i="2"/>
  <c r="L50" i="2" s="1"/>
  <c r="Q50" i="2" s="1"/>
  <c r="S36" i="2"/>
  <c r="O42" i="2"/>
  <c r="D56" i="2" s="1"/>
  <c r="G49" i="2"/>
  <c r="G57" i="2" s="1"/>
  <c r="R34" i="2"/>
  <c r="O34" i="2"/>
  <c r="J43" i="2"/>
  <c r="L62" i="2"/>
  <c r="F67" i="2"/>
  <c r="G67" i="2" s="1"/>
  <c r="E99" i="2"/>
  <c r="H167" i="2" s="1"/>
  <c r="K84" i="2"/>
  <c r="L84" i="2" s="1"/>
  <c r="O77" i="4" l="1"/>
  <c r="D91" i="4" s="1"/>
  <c r="J91" i="4" s="1"/>
  <c r="D84" i="4"/>
  <c r="N84" i="4" s="1"/>
  <c r="R70" i="4"/>
  <c r="C84" i="4" s="1"/>
  <c r="Q84" i="4" s="1"/>
  <c r="R84" i="4" s="1"/>
  <c r="C98" i="4" s="1"/>
  <c r="S77" i="4"/>
  <c r="S80" i="4"/>
  <c r="R68" i="4"/>
  <c r="C82" i="4" s="1"/>
  <c r="Q82" i="4" s="1"/>
  <c r="R82" i="4" s="1"/>
  <c r="C96" i="4" s="1"/>
  <c r="Q93" i="4"/>
  <c r="R93" i="4" s="1"/>
  <c r="Q98" i="4"/>
  <c r="R98" i="4" s="1"/>
  <c r="Q92" i="4"/>
  <c r="R92" i="4" s="1"/>
  <c r="Q95" i="4"/>
  <c r="R95" i="4" s="1"/>
  <c r="J79" i="4"/>
  <c r="N79" i="4"/>
  <c r="S79" i="4" s="1"/>
  <c r="N57" i="4"/>
  <c r="Q97" i="4"/>
  <c r="R97" i="4" s="1"/>
  <c r="O82" i="4"/>
  <c r="D96" i="4" s="1"/>
  <c r="O64" i="4"/>
  <c r="D78" i="4" s="1"/>
  <c r="O20" i="4"/>
  <c r="O29" i="4" s="1"/>
  <c r="J29" i="4"/>
  <c r="N29" i="4"/>
  <c r="Q94" i="4"/>
  <c r="R94" i="4" s="1"/>
  <c r="R43" i="4"/>
  <c r="C48" i="4"/>
  <c r="N81" i="4"/>
  <c r="S81" i="4" s="1"/>
  <c r="J81" i="4"/>
  <c r="Q91" i="4"/>
  <c r="R91" i="4" s="1"/>
  <c r="R15" i="4"/>
  <c r="C20" i="4"/>
  <c r="O80" i="4"/>
  <c r="D94" i="4" s="1"/>
  <c r="O48" i="4"/>
  <c r="J57" i="4"/>
  <c r="O69" i="4"/>
  <c r="D83" i="4" s="1"/>
  <c r="R22" i="2"/>
  <c r="R7" i="2"/>
  <c r="C21" i="2" s="1"/>
  <c r="Q21" i="2" s="1"/>
  <c r="S21" i="2" s="1"/>
  <c r="S12" i="2"/>
  <c r="S22" i="2"/>
  <c r="J28" i="2"/>
  <c r="R28" i="2" s="1"/>
  <c r="N28" i="2"/>
  <c r="R26" i="2"/>
  <c r="R27" i="2"/>
  <c r="N20" i="2"/>
  <c r="J20" i="2"/>
  <c r="J23" i="2"/>
  <c r="N23" i="2"/>
  <c r="S23" i="2" s="1"/>
  <c r="R10" i="2"/>
  <c r="C24" i="2" s="1"/>
  <c r="Q24" i="2" s="1"/>
  <c r="D29" i="2"/>
  <c r="R25" i="2"/>
  <c r="R21" i="2"/>
  <c r="O21" i="2"/>
  <c r="N54" i="2"/>
  <c r="O54" i="2" s="1"/>
  <c r="D68" i="2" s="1"/>
  <c r="J68" i="2" s="1"/>
  <c r="S11" i="2"/>
  <c r="N52" i="2"/>
  <c r="O52" i="2" s="1"/>
  <c r="D66" i="2" s="1"/>
  <c r="J53" i="2"/>
  <c r="O53" i="2" s="1"/>
  <c r="D67" i="2" s="1"/>
  <c r="F99" i="2"/>
  <c r="O15" i="2"/>
  <c r="Q15" i="2"/>
  <c r="S6" i="2"/>
  <c r="L43" i="2"/>
  <c r="J51" i="2"/>
  <c r="O51" i="2" s="1"/>
  <c r="D65" i="2" s="1"/>
  <c r="L85" i="2"/>
  <c r="G71" i="2"/>
  <c r="N55" i="2"/>
  <c r="S55" i="2" s="1"/>
  <c r="K99" i="2"/>
  <c r="R50" i="2"/>
  <c r="C64" i="2" s="1"/>
  <c r="S50" i="2"/>
  <c r="Q66" i="2"/>
  <c r="R66" i="2" s="1"/>
  <c r="C80" i="2" s="1"/>
  <c r="Q69" i="2"/>
  <c r="R69" i="2" s="1"/>
  <c r="C83" i="2" s="1"/>
  <c r="N64" i="2"/>
  <c r="J64" i="2"/>
  <c r="C48" i="2"/>
  <c r="O55" i="2"/>
  <c r="D69" i="2" s="1"/>
  <c r="D48" i="2"/>
  <c r="O43" i="2"/>
  <c r="Q49" i="2"/>
  <c r="R49" i="2" s="1"/>
  <c r="C63" i="2" s="1"/>
  <c r="Q53" i="2"/>
  <c r="S53" i="2" s="1"/>
  <c r="F71" i="2"/>
  <c r="Q51" i="2"/>
  <c r="S51" i="2" s="1"/>
  <c r="J49" i="2"/>
  <c r="F56" i="2"/>
  <c r="J56" i="2" s="1"/>
  <c r="K67" i="2"/>
  <c r="K85" i="2"/>
  <c r="N49" i="2"/>
  <c r="S40" i="2"/>
  <c r="S43" i="2" s="1"/>
  <c r="U39" i="2" s="1"/>
  <c r="V40" i="2" s="1"/>
  <c r="R40" i="2"/>
  <c r="C54" i="2" s="1"/>
  <c r="N91" i="4" l="1"/>
  <c r="S91" i="4" s="1"/>
  <c r="S84" i="4"/>
  <c r="J84" i="4"/>
  <c r="S82" i="4"/>
  <c r="O84" i="4"/>
  <c r="D98" i="4" s="1"/>
  <c r="N98" i="4" s="1"/>
  <c r="S98" i="4" s="1"/>
  <c r="Q96" i="4"/>
  <c r="R96" i="4" s="1"/>
  <c r="C29" i="4"/>
  <c r="Q20" i="4"/>
  <c r="N83" i="4"/>
  <c r="S83" i="4" s="1"/>
  <c r="J83" i="4"/>
  <c r="J94" i="4"/>
  <c r="N94" i="4"/>
  <c r="S94" i="4" s="1"/>
  <c r="N96" i="4"/>
  <c r="S96" i="4" s="1"/>
  <c r="J96" i="4"/>
  <c r="O96" i="4" s="1"/>
  <c r="C57" i="4"/>
  <c r="Q48" i="4"/>
  <c r="R48" i="4" s="1"/>
  <c r="O91" i="4"/>
  <c r="D62" i="4"/>
  <c r="O57" i="4"/>
  <c r="O81" i="4"/>
  <c r="D95" i="4" s="1"/>
  <c r="J78" i="4"/>
  <c r="N78" i="4"/>
  <c r="S78" i="4" s="1"/>
  <c r="O79" i="4"/>
  <c r="D93" i="4" s="1"/>
  <c r="J29" i="2"/>
  <c r="O64" i="2"/>
  <c r="D78" i="2" s="1"/>
  <c r="N78" i="2" s="1"/>
  <c r="S15" i="2"/>
  <c r="O20" i="2"/>
  <c r="R20" i="2"/>
  <c r="R24" i="2"/>
  <c r="S24" i="2"/>
  <c r="N29" i="2"/>
  <c r="O23" i="2"/>
  <c r="R23" i="2"/>
  <c r="S52" i="2"/>
  <c r="O28" i="2"/>
  <c r="S28" i="2"/>
  <c r="N68" i="2"/>
  <c r="O68" i="2" s="1"/>
  <c r="D82" i="2" s="1"/>
  <c r="C29" i="2"/>
  <c r="S20" i="2"/>
  <c r="Q29" i="2"/>
  <c r="R53" i="2"/>
  <c r="C67" i="2" s="1"/>
  <c r="S49" i="2"/>
  <c r="U11" i="2"/>
  <c r="V12" i="2" s="1"/>
  <c r="R15" i="2"/>
  <c r="Q83" i="2"/>
  <c r="R83" i="2" s="1"/>
  <c r="C97" i="2" s="1"/>
  <c r="Q63" i="2"/>
  <c r="R63" i="2" s="1"/>
  <c r="C77" i="2" s="1"/>
  <c r="Q80" i="2"/>
  <c r="R80" i="2" s="1"/>
  <c r="C94" i="2" s="1"/>
  <c r="R51" i="2"/>
  <c r="C65" i="2" s="1"/>
  <c r="Q48" i="2"/>
  <c r="R48" i="2" s="1"/>
  <c r="C57" i="2"/>
  <c r="Q54" i="2"/>
  <c r="S54" i="2" s="1"/>
  <c r="N65" i="2"/>
  <c r="J65" i="2"/>
  <c r="J66" i="2"/>
  <c r="N66" i="2"/>
  <c r="S66" i="2" s="1"/>
  <c r="Q64" i="2"/>
  <c r="R64" i="2" s="1"/>
  <c r="C78" i="2" s="1"/>
  <c r="L67" i="2"/>
  <c r="L71" i="2" s="1"/>
  <c r="K71" i="2"/>
  <c r="N69" i="2"/>
  <c r="S69" i="2" s="1"/>
  <c r="J69" i="2"/>
  <c r="O49" i="2"/>
  <c r="D63" i="2" s="1"/>
  <c r="R43" i="2"/>
  <c r="S64" i="2"/>
  <c r="N67" i="2"/>
  <c r="J67" i="2"/>
  <c r="K56" i="2"/>
  <c r="F57" i="2"/>
  <c r="D57" i="2"/>
  <c r="J48" i="2"/>
  <c r="N48" i="2"/>
  <c r="J98" i="4" l="1"/>
  <c r="O98" i="4" s="1"/>
  <c r="R57" i="4"/>
  <c r="C62" i="4"/>
  <c r="O83" i="4"/>
  <c r="D97" i="4" s="1"/>
  <c r="Q29" i="4"/>
  <c r="S20" i="4"/>
  <c r="S29" i="4" s="1"/>
  <c r="U25" i="4" s="1"/>
  <c r="V26" i="4" s="1"/>
  <c r="R20" i="4"/>
  <c r="R29" i="4" s="1"/>
  <c r="Q57" i="4"/>
  <c r="S48" i="4"/>
  <c r="S57" i="4" s="1"/>
  <c r="U53" i="4" s="1"/>
  <c r="V54" i="4" s="1"/>
  <c r="N93" i="4"/>
  <c r="S93" i="4" s="1"/>
  <c r="J93" i="4"/>
  <c r="O78" i="4"/>
  <c r="D92" i="4" s="1"/>
  <c r="N95" i="4"/>
  <c r="S95" i="4" s="1"/>
  <c r="J95" i="4"/>
  <c r="O95" i="4" s="1"/>
  <c r="N62" i="4"/>
  <c r="J62" i="4"/>
  <c r="D71" i="4"/>
  <c r="O94" i="4"/>
  <c r="J78" i="2"/>
  <c r="O78" i="2" s="1"/>
  <c r="D92" i="2" s="1"/>
  <c r="N92" i="2" s="1"/>
  <c r="R29" i="2"/>
  <c r="O29" i="2"/>
  <c r="S29" i="2"/>
  <c r="U25" i="2" s="1"/>
  <c r="V26" i="2" s="1"/>
  <c r="O69" i="2"/>
  <c r="D83" i="2" s="1"/>
  <c r="N83" i="2" s="1"/>
  <c r="S83" i="2" s="1"/>
  <c r="O67" i="2"/>
  <c r="D81" i="2" s="1"/>
  <c r="N81" i="2" s="1"/>
  <c r="O65" i="2"/>
  <c r="D79" i="2" s="1"/>
  <c r="J79" i="2" s="1"/>
  <c r="Q94" i="2"/>
  <c r="R94" i="2" s="1"/>
  <c r="Q77" i="2"/>
  <c r="R77" i="2" s="1"/>
  <c r="C91" i="2" s="1"/>
  <c r="Q97" i="2"/>
  <c r="R97" i="2" s="1"/>
  <c r="J82" i="2"/>
  <c r="N82" i="2"/>
  <c r="S48" i="2"/>
  <c r="R54" i="2"/>
  <c r="C68" i="2" s="1"/>
  <c r="O48" i="2"/>
  <c r="J57" i="2"/>
  <c r="Q78" i="2"/>
  <c r="R78" i="2" s="1"/>
  <c r="C92" i="2" s="1"/>
  <c r="Q65" i="2"/>
  <c r="S65" i="2" s="1"/>
  <c r="J63" i="2"/>
  <c r="N63" i="2"/>
  <c r="S63" i="2" s="1"/>
  <c r="C62" i="2"/>
  <c r="L56" i="2"/>
  <c r="K57" i="2"/>
  <c r="Q67" i="2"/>
  <c r="R67" i="2" s="1"/>
  <c r="C81" i="2" s="1"/>
  <c r="O66" i="2"/>
  <c r="D80" i="2" s="1"/>
  <c r="O93" i="4" l="1"/>
  <c r="N97" i="4"/>
  <c r="S97" i="4" s="1"/>
  <c r="J97" i="4"/>
  <c r="O97" i="4" s="1"/>
  <c r="C71" i="4"/>
  <c r="Q62" i="4"/>
  <c r="Q71" i="4" s="1"/>
  <c r="J71" i="4"/>
  <c r="O62" i="4"/>
  <c r="N71" i="4"/>
  <c r="N92" i="4"/>
  <c r="S92" i="4" s="1"/>
  <c r="J92" i="4"/>
  <c r="J92" i="2"/>
  <c r="O92" i="2" s="1"/>
  <c r="J83" i="2"/>
  <c r="O83" i="2"/>
  <c r="D97" i="2" s="1"/>
  <c r="N97" i="2" s="1"/>
  <c r="S97" i="2" s="1"/>
  <c r="J81" i="2"/>
  <c r="O81" i="2" s="1"/>
  <c r="D95" i="2" s="1"/>
  <c r="S78" i="2"/>
  <c r="N79" i="2"/>
  <c r="O79" i="2" s="1"/>
  <c r="D93" i="2" s="1"/>
  <c r="N93" i="2" s="1"/>
  <c r="Q91" i="2"/>
  <c r="R91" i="2" s="1"/>
  <c r="R65" i="2"/>
  <c r="C79" i="2" s="1"/>
  <c r="D62" i="2"/>
  <c r="Q56" i="2"/>
  <c r="N56" i="2"/>
  <c r="L57" i="2"/>
  <c r="J80" i="2"/>
  <c r="N80" i="2"/>
  <c r="S80" i="2" s="1"/>
  <c r="O82" i="2"/>
  <c r="D96" i="2" s="1"/>
  <c r="Q62" i="2"/>
  <c r="Q68" i="2"/>
  <c r="S68" i="2" s="1"/>
  <c r="S67" i="2"/>
  <c r="Q92" i="2"/>
  <c r="S92" i="2" s="1"/>
  <c r="Q81" i="2"/>
  <c r="S81" i="2" s="1"/>
  <c r="O63" i="2"/>
  <c r="D77" i="2" s="1"/>
  <c r="O92" i="4" l="1"/>
  <c r="R62" i="4"/>
  <c r="D76" i="4"/>
  <c r="O71" i="4"/>
  <c r="S62" i="4"/>
  <c r="S71" i="4" s="1"/>
  <c r="U67" i="4" s="1"/>
  <c r="V68" i="4" s="1"/>
  <c r="V71" i="4" s="1"/>
  <c r="J97" i="2"/>
  <c r="J93" i="2"/>
  <c r="O93" i="2" s="1"/>
  <c r="R81" i="2"/>
  <c r="C95" i="2" s="1"/>
  <c r="Q95" i="2" s="1"/>
  <c r="R95" i="2" s="1"/>
  <c r="R92" i="2"/>
  <c r="Q79" i="2"/>
  <c r="S79" i="2" s="1"/>
  <c r="R68" i="2"/>
  <c r="C82" i="2" s="1"/>
  <c r="N95" i="2"/>
  <c r="J95" i="2"/>
  <c r="O95" i="2" s="1"/>
  <c r="O80" i="2"/>
  <c r="D94" i="2" s="1"/>
  <c r="S56" i="2"/>
  <c r="S57" i="2" s="1"/>
  <c r="U53" i="2" s="1"/>
  <c r="V54" i="2" s="1"/>
  <c r="O56" i="2"/>
  <c r="N57" i="2"/>
  <c r="R56" i="2"/>
  <c r="Q57" i="2"/>
  <c r="J77" i="2"/>
  <c r="N77" i="2"/>
  <c r="S77" i="2" s="1"/>
  <c r="O97" i="2"/>
  <c r="R62" i="2"/>
  <c r="N96" i="2"/>
  <c r="J96" i="2"/>
  <c r="N62" i="2"/>
  <c r="J62" i="2"/>
  <c r="D85" i="4" l="1"/>
  <c r="N76" i="4"/>
  <c r="J76" i="4"/>
  <c r="R71" i="4"/>
  <c r="C76" i="4"/>
  <c r="O96" i="2"/>
  <c r="D70" i="2"/>
  <c r="O57" i="2"/>
  <c r="Q82" i="2"/>
  <c r="S82" i="2" s="1"/>
  <c r="O77" i="2"/>
  <c r="D91" i="2" s="1"/>
  <c r="C76" i="2"/>
  <c r="C70" i="2"/>
  <c r="R57" i="2"/>
  <c r="J71" i="2"/>
  <c r="O62" i="2"/>
  <c r="S62" i="2"/>
  <c r="J94" i="2"/>
  <c r="N94" i="2"/>
  <c r="S94" i="2" s="1"/>
  <c r="S95" i="2"/>
  <c r="R79" i="2"/>
  <c r="C93" i="2" s="1"/>
  <c r="C85" i="4" l="1"/>
  <c r="Q76" i="4"/>
  <c r="Q85" i="4" s="1"/>
  <c r="C10" i="3" s="1"/>
  <c r="J85" i="4"/>
  <c r="O76" i="4"/>
  <c r="N85" i="4"/>
  <c r="D10" i="3" s="1"/>
  <c r="S76" i="4"/>
  <c r="S85" i="4" s="1"/>
  <c r="U81" i="4" s="1"/>
  <c r="V82" i="4" s="1"/>
  <c r="V85" i="4" s="1"/>
  <c r="O94" i="2"/>
  <c r="J91" i="2"/>
  <c r="N91" i="2"/>
  <c r="S91" i="2" s="1"/>
  <c r="R82" i="2"/>
  <c r="C96" i="2" s="1"/>
  <c r="Q70" i="2"/>
  <c r="Q71" i="2" s="1"/>
  <c r="C71" i="2"/>
  <c r="D76" i="2"/>
  <c r="Q93" i="2"/>
  <c r="S93" i="2" s="1"/>
  <c r="Q76" i="2"/>
  <c r="R76" i="2" s="1"/>
  <c r="N70" i="2"/>
  <c r="D71" i="2"/>
  <c r="E10" i="3" l="1"/>
  <c r="F10" i="3" s="1"/>
  <c r="G10" i="3" s="1"/>
  <c r="D90" i="4"/>
  <c r="O85" i="4"/>
  <c r="R76" i="4"/>
  <c r="R93" i="2"/>
  <c r="C90" i="2"/>
  <c r="Q96" i="2"/>
  <c r="S96" i="2" s="1"/>
  <c r="N76" i="2"/>
  <c r="J76" i="2"/>
  <c r="S70" i="2"/>
  <c r="S71" i="2" s="1"/>
  <c r="U67" i="2" s="1"/>
  <c r="V68" i="2" s="1"/>
  <c r="V71" i="2" s="1"/>
  <c r="O70" i="2"/>
  <c r="N71" i="2"/>
  <c r="R70" i="2"/>
  <c r="O91" i="2"/>
  <c r="R85" i="4" l="1"/>
  <c r="C90" i="4"/>
  <c r="N90" i="4"/>
  <c r="D99" i="4"/>
  <c r="J90" i="4"/>
  <c r="S76" i="2"/>
  <c r="O76" i="2"/>
  <c r="Q90" i="2"/>
  <c r="C84" i="2"/>
  <c r="R71" i="2"/>
  <c r="R96" i="2"/>
  <c r="D84" i="2"/>
  <c r="O71" i="2"/>
  <c r="O90" i="4" l="1"/>
  <c r="O99" i="4" s="1"/>
  <c r="O102" i="4" s="1"/>
  <c r="J99" i="4"/>
  <c r="N99" i="4"/>
  <c r="D11" i="3" s="1"/>
  <c r="C99" i="4"/>
  <c r="Q90" i="4"/>
  <c r="Q99" i="4" s="1"/>
  <c r="C11" i="3" s="1"/>
  <c r="E11" i="3" s="1"/>
  <c r="F11" i="3" s="1"/>
  <c r="G11" i="3" s="1"/>
  <c r="Q84" i="2"/>
  <c r="Q85" i="2" s="1"/>
  <c r="C85" i="2"/>
  <c r="D90" i="2"/>
  <c r="R90" i="2"/>
  <c r="N84" i="2"/>
  <c r="J84" i="2"/>
  <c r="D85" i="2"/>
  <c r="R90" i="4" l="1"/>
  <c r="R99" i="4" s="1"/>
  <c r="S90" i="4"/>
  <c r="S99" i="4" s="1"/>
  <c r="V95" i="4" s="1"/>
  <c r="U96" i="4" s="1"/>
  <c r="V99" i="4" s="1"/>
  <c r="N90" i="2"/>
  <c r="J90" i="2"/>
  <c r="O84" i="2"/>
  <c r="J85" i="2"/>
  <c r="S84" i="2"/>
  <c r="S85" i="2" s="1"/>
  <c r="U81" i="2" s="1"/>
  <c r="V82" i="2" s="1"/>
  <c r="V85" i="2" s="1"/>
  <c r="N85" i="2"/>
  <c r="R84" i="2"/>
  <c r="O90" i="2" l="1"/>
  <c r="D98" i="2"/>
  <c r="O85" i="2"/>
  <c r="C98" i="2"/>
  <c r="R85" i="2"/>
  <c r="S90" i="2"/>
  <c r="Q98" i="2" l="1"/>
  <c r="Q99" i="2" s="1"/>
  <c r="C99" i="2"/>
  <c r="N98" i="2"/>
  <c r="J98" i="2"/>
  <c r="D99" i="2"/>
  <c r="R98" i="2" l="1"/>
  <c r="R99" i="2" s="1"/>
  <c r="O98" i="2"/>
  <c r="O99" i="2" s="1"/>
  <c r="O102" i="2" s="1"/>
  <c r="J99" i="2"/>
  <c r="S98" i="2"/>
  <c r="S99" i="2" s="1"/>
  <c r="V95" i="2" s="1"/>
  <c r="U96" i="2" s="1"/>
  <c r="V99" i="2" s="1"/>
  <c r="N99" i="2"/>
</calcChain>
</file>

<file path=xl/sharedStrings.xml><?xml version="1.0" encoding="utf-8"?>
<sst xmlns="http://schemas.openxmlformats.org/spreadsheetml/2006/main" count="490" uniqueCount="113">
  <si>
    <t>1592 Bill C-97 CCA Changes 2018-2024</t>
  </si>
  <si>
    <t>2018 Actual</t>
  </si>
  <si>
    <t>Class #</t>
  </si>
  <si>
    <t>Description</t>
  </si>
  <si>
    <t>Non-AUCC Beginning</t>
  </si>
  <si>
    <t>Tax Return
UCC Beginning</t>
  </si>
  <si>
    <t>Additions</t>
  </si>
  <si>
    <t>Pre</t>
  </si>
  <si>
    <t>Post</t>
  </si>
  <si>
    <t>Disposals</t>
  </si>
  <si>
    <t>Proceeds</t>
  </si>
  <si>
    <t>Adjusted UCC</t>
  </si>
  <si>
    <t>Net Capital Cost of Additions</t>
  </si>
  <si>
    <t>UCC Adjustment (half year)</t>
  </si>
  <si>
    <t>CCA Rate</t>
  </si>
  <si>
    <t>AIIP CCA</t>
  </si>
  <si>
    <t>UCC Ending</t>
  </si>
  <si>
    <t>Normal CCA</t>
  </si>
  <si>
    <t>Normal UCC Ending</t>
  </si>
  <si>
    <t>Difference</t>
  </si>
  <si>
    <t>Buildings</t>
  </si>
  <si>
    <t>Equipment &amp; Tools</t>
  </si>
  <si>
    <t>Rolling Stock &amp; Vehicles</t>
  </si>
  <si>
    <t>Computer Equipment &amp; Software</t>
  </si>
  <si>
    <t>Grossed up Adjustment</t>
  </si>
  <si>
    <t>Electrical Energy Distribution</t>
  </si>
  <si>
    <t>Computer Equipment</t>
  </si>
  <si>
    <t>DR 6115.901.000</t>
  </si>
  <si>
    <t>CR 1592.800.100</t>
  </si>
  <si>
    <t>1b</t>
  </si>
  <si>
    <t>Building</t>
  </si>
  <si>
    <t>WIP</t>
  </si>
  <si>
    <t>Tax Return</t>
  </si>
  <si>
    <t>Tax Rate</t>
  </si>
  <si>
    <t>2019 Actual</t>
  </si>
  <si>
    <t>Adjustments and transfers</t>
  </si>
  <si>
    <t>Immediate Expensing</t>
  </si>
  <si>
    <t>2020 Actual</t>
  </si>
  <si>
    <t>2021 Actual</t>
  </si>
  <si>
    <t>2022 Balance DR/(CR)</t>
  </si>
  <si>
    <t>2023 Balance DR/(CR)</t>
  </si>
  <si>
    <t>2024 Balance DR/(CR)</t>
  </si>
  <si>
    <t>w/o WIP</t>
  </si>
  <si>
    <t>2020</t>
  </si>
  <si>
    <t>2021</t>
  </si>
  <si>
    <t>2022</t>
  </si>
  <si>
    <t>2023</t>
  </si>
  <si>
    <t>2024</t>
  </si>
  <si>
    <t>Base</t>
  </si>
  <si>
    <t>Actual</t>
  </si>
  <si>
    <t>2023 Budget</t>
  </si>
  <si>
    <t>(00.1810.100.000) Leasehold Improvement Additions</t>
  </si>
  <si>
    <t>(00.1815.100.000) TS Station Equipment Additions</t>
  </si>
  <si>
    <t>(00.1820.100.000) DS Equipment Additions</t>
  </si>
  <si>
    <t>(00.1830.100.000) PTF Additions</t>
  </si>
  <si>
    <t>(00.1835.100.000) OH Conductors Additions</t>
  </si>
  <si>
    <t>(00.1840.100.000) UG Conduits Additions</t>
  </si>
  <si>
    <t>(00.1845.100.000) UG Conductors Additions</t>
  </si>
  <si>
    <t>(00.1850.002.000) Line TX Materials</t>
  </si>
  <si>
    <t>(00.1850.100.000) Line TX Additions</t>
  </si>
  <si>
    <t>(00.1850.100.001) Line TX Not Real Additions</t>
  </si>
  <si>
    <t>(00.1851.002.000) Pdmnt Tx Material</t>
  </si>
  <si>
    <t>(00.1851.100.000) Pdmnt TX Additions</t>
  </si>
  <si>
    <t>(00.1851.100.001) Pdmnt Tx Not Real Additions</t>
  </si>
  <si>
    <t>(00.1855.100.000) OH Services Additions</t>
  </si>
  <si>
    <t>(00.1856.100.000) UG Services Additions</t>
  </si>
  <si>
    <t>(00.1860.002.000) Meters Materials</t>
  </si>
  <si>
    <t>(00.1860.100.000) Meters Additions</t>
  </si>
  <si>
    <t>(00.1875.100.000) St. Lighting and Signal Additions</t>
  </si>
  <si>
    <t>(00.1908.100.000) Building &amp; Fixtures Additions</t>
  </si>
  <si>
    <t>(00.1915.100.000) Office Furniture &amp; Equipment Additions</t>
  </si>
  <si>
    <t>(00.1920.100.000) Computer Equipment Hardware Additions</t>
  </si>
  <si>
    <t>(00.1925.100.000) Computer Equipment Software Additions</t>
  </si>
  <si>
    <t>(00.1930.100.000) Transportation Equipment Auto Additions</t>
  </si>
  <si>
    <t>(00.1935.100.000) Stores Equipment Additions</t>
  </si>
  <si>
    <t>(00.1940.100.000) Tools Shop and Garage Equipment Additions</t>
  </si>
  <si>
    <t>(00.1945.100.000) Measurement and Testing Equipment Additions</t>
  </si>
  <si>
    <t>(00.1980.100.000) System Supervisory Equipment Additions</t>
  </si>
  <si>
    <t>(00.1990.100.000) Other Tangible Property Additions</t>
  </si>
  <si>
    <t>(00.2005.930.100) Finance Lease - Transportation Equipment - Additions</t>
  </si>
  <si>
    <t>(DISCAP_13) WIP - Distribution Plant</t>
  </si>
  <si>
    <t>(GENCAP_11) WIP - General Plant</t>
  </si>
  <si>
    <t>(00.2440.806.100) Def Rev - Land Rights Cont Addn's</t>
  </si>
  <si>
    <t>(00.2440.815.100) TS Station Equip Addn's</t>
  </si>
  <si>
    <t>(00.2440.820.100) Def Rev - DS Equip Cont Addn's</t>
  </si>
  <si>
    <t>(00.2440.830.100) Def Rev - PTF Cont Addn's</t>
  </si>
  <si>
    <t>(00.2440.835.100) Def Rev - OH Cond Cont Addn's</t>
  </si>
  <si>
    <t>(00.2440.840.100) Def Rev - UG Conduit Cont Addn's</t>
  </si>
  <si>
    <t>(00.2440.845.100) Def Rev - UG Conduct Cont Addn's</t>
  </si>
  <si>
    <t>(00.2440.850.100) Def Rev - Line TX Cont Addn's</t>
  </si>
  <si>
    <t>(00.2440.851.100) Def Rev - Pdmnt TX Cont Addn's</t>
  </si>
  <si>
    <t>(00.2440.855.100) Def Rev - OH Serv Cont Addin's</t>
  </si>
  <si>
    <t>(00.2440.856.100) Def Rev - UG Serv Cont Addn's</t>
  </si>
  <si>
    <t>(00.2440.860.100) Def Rev - Meter Cont Addn's</t>
  </si>
  <si>
    <t>(00.2440.875.100) Def Rev - ST Lghts and Signa Cont Addn's</t>
  </si>
  <si>
    <t>(00.2440.908.100) Def Rev - Bldg &amp; Fixt Cont Addn's</t>
  </si>
  <si>
    <t>(00.2440.930.100) Def Rev - Transport Equip Contrib Addn's</t>
  </si>
  <si>
    <t>(00.2440.980.100) Def Rev - SCADA Cont Addn's</t>
  </si>
  <si>
    <t>Total WIP</t>
  </si>
  <si>
    <t>Total Additions</t>
  </si>
  <si>
    <t>Total Cont Additions</t>
  </si>
  <si>
    <t>Input</t>
  </si>
  <si>
    <t>SRED Costs Capitalized</t>
  </si>
  <si>
    <t>Settlement</t>
  </si>
  <si>
    <t>Year</t>
  </si>
  <si>
    <t>Prior CCA</t>
  </si>
  <si>
    <t>Accelerated
CCA</t>
  </si>
  <si>
    <t>Difference 
in CCA</t>
  </si>
  <si>
    <t>Difference in 
Grossed Up PILs</t>
  </si>
  <si>
    <t>Cumulative 
Difference in 
Grossed Up PILs</t>
  </si>
  <si>
    <t>New PILs Model</t>
  </si>
  <si>
    <t>Table 1 – Impact of Prior CCA Rules vs. Accelerated CCA Rules on 2022-2024 Approved Additions</t>
  </si>
  <si>
    <t>forecasted balance to end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</si>
</sst>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 _$* _(#,##0_);\ _$* \(#,##0\)"/>
    <numFmt numFmtId="165" formatCode="#,###"/>
    <numFmt numFmtId="166" formatCode="\ _$* _(#,##0_);\ _$* \(#,##0\);\ _$* _(\-??_)"/>
    <numFmt numFmtId="167" formatCode="_(0_)%;\(0\)%"/>
    <numFmt numFmtId="168" formatCode="_(0.00_)%;\(0.00\)%"/>
    <numFmt numFmtId="169" formatCode="#,##0;\(#,##0\)"/>
    <numFmt numFmtId="170" formatCode="\ _$* _(#,##0.00_);\ _$* \(#,##0.00\)"/>
  </numFmts>
  <fonts count="9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E23E29"/>
      <name val="Arial"/>
      <family val="2"/>
    </font>
    <font>
      <sz val="10"/>
      <color rgb="FFE23E2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EEEEEE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4EC"/>
        <bgColor indexed="64"/>
      </patternFill>
    </fill>
    <fill>
      <patternFill patternType="solid">
        <fgColor rgb="FFE9F4C4"/>
        <bgColor indexed="64"/>
      </patternFill>
    </fill>
    <fill>
      <patternFill patternType="solid">
        <fgColor rgb="FFA5C63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5A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166" fontId="1" fillId="3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166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0" fontId="2" fillId="0" borderId="2" xfId="0" applyFont="1" applyBorder="1"/>
    <xf numFmtId="166" fontId="2" fillId="3" borderId="2" xfId="0" applyNumberFormat="1" applyFont="1" applyFill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8" fontId="1" fillId="0" borderId="0" xfId="0" applyNumberFormat="1" applyFont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4" borderId="0" xfId="0" applyFont="1" applyFill="1"/>
    <xf numFmtId="165" fontId="1" fillId="4" borderId="0" xfId="0" applyNumberFormat="1" applyFont="1" applyFill="1" applyAlignment="1">
      <alignment horizontal="right"/>
    </xf>
    <xf numFmtId="0" fontId="2" fillId="5" borderId="0" xfId="0" applyFont="1" applyFill="1"/>
    <xf numFmtId="166" fontId="2" fillId="5" borderId="0" xfId="0" applyNumberFormat="1" applyFont="1" applyFill="1" applyAlignment="1">
      <alignment horizontal="right"/>
    </xf>
    <xf numFmtId="0" fontId="6" fillId="0" borderId="0" xfId="0" applyFont="1"/>
    <xf numFmtId="169" fontId="1" fillId="0" borderId="3" xfId="0" applyNumberFormat="1" applyFont="1" applyBorder="1"/>
    <xf numFmtId="37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170" fontId="1" fillId="0" borderId="0" xfId="0" applyNumberFormat="1" applyFont="1"/>
    <xf numFmtId="0" fontId="1" fillId="0" borderId="0" xfId="0" applyFont="1" applyAlignment="1">
      <alignment wrapText="1"/>
    </xf>
    <xf numFmtId="0" fontId="6" fillId="7" borderId="0" xfId="0" applyFont="1" applyFill="1"/>
    <xf numFmtId="0" fontId="6" fillId="8" borderId="0" xfId="0" applyFont="1" applyFill="1"/>
    <xf numFmtId="0" fontId="7" fillId="0" borderId="0" xfId="0" applyFont="1" applyAlignment="1">
      <alignment horizontal="center" wrapText="1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5C2-72D2-4009-B478-3C90E4BFBF71}">
  <sheetPr>
    <pageSetUpPr fitToPage="1"/>
  </sheetPr>
  <dimension ref="A1:V172"/>
  <sheetViews>
    <sheetView topLeftCell="A76" workbookViewId="0">
      <selection activeCell="B173" sqref="B173"/>
    </sheetView>
  </sheetViews>
  <sheetFormatPr defaultColWidth="10" defaultRowHeight="14.25" customHeight="1"/>
  <cols>
    <col min="1" max="1" width="6.7109375" customWidth="1"/>
    <col min="2" max="2" width="28.5703125" bestFit="1" customWidth="1"/>
    <col min="3" max="12" width="12.7109375" customWidth="1"/>
    <col min="13" max="13" width="9.7109375" customWidth="1"/>
    <col min="14" max="15" width="12.7109375" customWidth="1"/>
    <col min="16" max="16" width="1.42578125" customWidth="1"/>
    <col min="17" max="19" width="12.7109375" customWidth="1"/>
    <col min="20" max="20" width="15.5703125" customWidth="1"/>
    <col min="21" max="22" width="12.7109375" customWidth="1"/>
  </cols>
  <sheetData>
    <row r="1" spans="1:22" ht="15" customHeight="1"/>
    <row r="2" spans="1:22" ht="15" customHeight="1">
      <c r="A2" s="2" t="s">
        <v>0</v>
      </c>
    </row>
    <row r="3" spans="1:22" ht="15" customHeight="1"/>
    <row r="4" spans="1:22" ht="15" hidden="1" customHeight="1">
      <c r="A4" s="3" t="s">
        <v>1</v>
      </c>
    </row>
    <row r="5" spans="1:22" ht="38.25" hidden="1" customHeight="1">
      <c r="A5" s="5" t="s">
        <v>2</v>
      </c>
      <c r="B5" s="6" t="s">
        <v>3</v>
      </c>
      <c r="C5" s="7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Q5" s="7" t="s">
        <v>17</v>
      </c>
      <c r="R5" s="7" t="s">
        <v>18</v>
      </c>
      <c r="S5" s="7" t="s">
        <v>19</v>
      </c>
    </row>
    <row r="6" spans="1:22" ht="15" hidden="1" customHeight="1">
      <c r="A6" s="8">
        <v>1</v>
      </c>
      <c r="B6" s="9" t="s">
        <v>20</v>
      </c>
      <c r="C6" s="10">
        <v>22105366</v>
      </c>
      <c r="D6" s="11">
        <v>22105366</v>
      </c>
      <c r="E6" s="11">
        <v>0</v>
      </c>
      <c r="F6" s="11"/>
      <c r="G6" s="11"/>
      <c r="H6" s="11"/>
      <c r="I6" s="11"/>
      <c r="J6" s="11">
        <f>D6+E6+H6+I6</f>
        <v>22105366</v>
      </c>
      <c r="K6" s="11">
        <f>E6+I6+H6</f>
        <v>0</v>
      </c>
      <c r="L6" s="11">
        <f t="shared" ref="L6:L14" si="0">K6*0.5</f>
        <v>0</v>
      </c>
      <c r="M6" s="12">
        <v>0.04</v>
      </c>
      <c r="N6" s="11">
        <f t="shared" ref="N6:N14" si="1">(D6*M6)+((E6-F6+I6)*M6*1.5)</f>
        <v>884214.64</v>
      </c>
      <c r="O6" s="11">
        <f t="shared" ref="O6:O14" si="2">J6-N6</f>
        <v>21221151.359999999</v>
      </c>
      <c r="Q6" s="10">
        <f t="shared" ref="Q6:Q14" si="3">(C6*M6)+(L6*M6)</f>
        <v>884214.64</v>
      </c>
      <c r="R6" s="10">
        <f>J6-Q6</f>
        <v>21221151.359999999</v>
      </c>
      <c r="S6" s="10">
        <f t="shared" ref="S6:S14" si="4">N6-Q6</f>
        <v>0</v>
      </c>
      <c r="T6" s="21"/>
    </row>
    <row r="7" spans="1:22" ht="15" hidden="1" customHeight="1">
      <c r="A7" s="13">
        <v>8</v>
      </c>
      <c r="B7" s="4" t="s">
        <v>21</v>
      </c>
      <c r="C7" s="10">
        <v>1756715</v>
      </c>
      <c r="D7" s="14">
        <v>1756715</v>
      </c>
      <c r="E7" s="14">
        <v>169606</v>
      </c>
      <c r="F7" s="14">
        <v>166322.72900429534</v>
      </c>
      <c r="G7" s="14">
        <v>3283.2709957046509</v>
      </c>
      <c r="H7" s="14"/>
      <c r="I7" s="14"/>
      <c r="J7" s="14">
        <f t="shared" ref="J7:J14" si="5">D7+E7+H7+I7</f>
        <v>1926321</v>
      </c>
      <c r="K7" s="14">
        <f t="shared" ref="K7:K14" si="6">E7+I7+H7</f>
        <v>169606</v>
      </c>
      <c r="L7" s="14">
        <f t="shared" si="0"/>
        <v>84803</v>
      </c>
      <c r="M7" s="15">
        <v>0.2</v>
      </c>
      <c r="N7" s="14">
        <v>401206</v>
      </c>
      <c r="O7" s="14">
        <f t="shared" si="2"/>
        <v>1525115</v>
      </c>
      <c r="Q7" s="10">
        <f t="shared" si="3"/>
        <v>368303.6</v>
      </c>
      <c r="R7" s="10">
        <f t="shared" ref="R7:R14" si="7">J7-Q7</f>
        <v>1558017.4</v>
      </c>
      <c r="S7" s="10">
        <f t="shared" si="4"/>
        <v>32902.400000000023</v>
      </c>
    </row>
    <row r="8" spans="1:22" ht="15" hidden="1" customHeight="1">
      <c r="A8" s="13">
        <v>10</v>
      </c>
      <c r="B8" s="4" t="s">
        <v>22</v>
      </c>
      <c r="C8" s="10">
        <v>132046</v>
      </c>
      <c r="D8" s="14">
        <v>132046</v>
      </c>
      <c r="E8" s="14">
        <v>557000</v>
      </c>
      <c r="F8" s="14">
        <v>555003.55699548125</v>
      </c>
      <c r="G8" s="14">
        <v>1996.4430045187144</v>
      </c>
      <c r="H8" s="14"/>
      <c r="I8" s="14"/>
      <c r="J8" s="14">
        <f t="shared" si="5"/>
        <v>689046</v>
      </c>
      <c r="K8" s="14">
        <f t="shared" si="6"/>
        <v>557000</v>
      </c>
      <c r="L8" s="14">
        <f t="shared" si="0"/>
        <v>278500</v>
      </c>
      <c r="M8" s="15">
        <v>0.3</v>
      </c>
      <c r="N8" s="14">
        <v>139513</v>
      </c>
      <c r="O8" s="14">
        <f t="shared" si="2"/>
        <v>549533</v>
      </c>
      <c r="Q8" s="10">
        <f t="shared" si="3"/>
        <v>123163.79999999999</v>
      </c>
      <c r="R8" s="10">
        <f t="shared" si="7"/>
        <v>565882.19999999995</v>
      </c>
      <c r="S8" s="10">
        <f t="shared" si="4"/>
        <v>16349.200000000012</v>
      </c>
    </row>
    <row r="9" spans="1:22" ht="15" hidden="1" customHeight="1">
      <c r="A9" s="8">
        <v>45</v>
      </c>
      <c r="B9" s="9" t="s">
        <v>23</v>
      </c>
      <c r="C9" s="10">
        <v>155</v>
      </c>
      <c r="D9" s="11">
        <v>155</v>
      </c>
      <c r="E9" s="11">
        <v>0</v>
      </c>
      <c r="F9" s="11">
        <v>0</v>
      </c>
      <c r="G9" s="11"/>
      <c r="H9" s="11"/>
      <c r="I9" s="11"/>
      <c r="J9" s="11">
        <f t="shared" si="5"/>
        <v>155</v>
      </c>
      <c r="K9" s="11">
        <f t="shared" si="6"/>
        <v>0</v>
      </c>
      <c r="L9" s="11">
        <f t="shared" si="0"/>
        <v>0</v>
      </c>
      <c r="M9" s="12">
        <v>0.45</v>
      </c>
      <c r="N9" s="11">
        <f t="shared" si="1"/>
        <v>69.75</v>
      </c>
      <c r="O9" s="11">
        <f t="shared" si="2"/>
        <v>85.25</v>
      </c>
      <c r="Q9" s="10">
        <f t="shared" si="3"/>
        <v>69.75</v>
      </c>
      <c r="R9" s="10">
        <f t="shared" si="7"/>
        <v>85.25</v>
      </c>
      <c r="S9" s="10">
        <f t="shared" si="4"/>
        <v>0</v>
      </c>
      <c r="T9" s="9" t="s">
        <v>24</v>
      </c>
    </row>
    <row r="10" spans="1:22" ht="15" hidden="1" customHeight="1">
      <c r="A10" s="13">
        <v>47</v>
      </c>
      <c r="B10" s="4" t="s">
        <v>25</v>
      </c>
      <c r="C10" s="10">
        <v>24705847</v>
      </c>
      <c r="D10" s="14">
        <v>24705847</v>
      </c>
      <c r="E10" s="14">
        <v>2849732</v>
      </c>
      <c r="F10" s="14">
        <v>1136611.6734944251</v>
      </c>
      <c r="G10" s="14">
        <v>1708720.3265055749</v>
      </c>
      <c r="H10" s="14">
        <v>-4400</v>
      </c>
      <c r="I10" s="14">
        <v>0</v>
      </c>
      <c r="J10" s="14">
        <f t="shared" si="5"/>
        <v>27551179</v>
      </c>
      <c r="K10" s="14">
        <f t="shared" si="6"/>
        <v>2845332</v>
      </c>
      <c r="L10" s="14">
        <f t="shared" si="0"/>
        <v>1422666</v>
      </c>
      <c r="M10" s="15">
        <v>0.08</v>
      </c>
      <c r="N10" s="14">
        <v>2171371</v>
      </c>
      <c r="O10" s="14">
        <f t="shared" si="2"/>
        <v>25379808</v>
      </c>
      <c r="Q10" s="10">
        <f t="shared" si="3"/>
        <v>2090281.04</v>
      </c>
      <c r="R10" s="10">
        <f t="shared" si="7"/>
        <v>25460897.960000001</v>
      </c>
      <c r="S10" s="10">
        <f t="shared" si="4"/>
        <v>81089.959999999963</v>
      </c>
    </row>
    <row r="11" spans="1:22" ht="15" hidden="1" customHeight="1">
      <c r="A11" s="13">
        <v>50</v>
      </c>
      <c r="B11" s="4" t="s">
        <v>26</v>
      </c>
      <c r="C11" s="10">
        <v>313870</v>
      </c>
      <c r="D11" s="14">
        <v>313870</v>
      </c>
      <c r="E11" s="14">
        <v>213043</v>
      </c>
      <c r="F11" s="14">
        <v>139944.06719907909</v>
      </c>
      <c r="G11" s="14">
        <v>73098.932800920928</v>
      </c>
      <c r="H11" s="14"/>
      <c r="I11" s="14"/>
      <c r="J11" s="14">
        <f t="shared" si="5"/>
        <v>526913</v>
      </c>
      <c r="K11" s="14">
        <f t="shared" si="6"/>
        <v>213043</v>
      </c>
      <c r="L11" s="14">
        <f t="shared" si="0"/>
        <v>106521.5</v>
      </c>
      <c r="M11" s="15">
        <v>0.55000000000000004</v>
      </c>
      <c r="N11" s="14">
        <v>268229</v>
      </c>
      <c r="O11" s="14">
        <f t="shared" si="2"/>
        <v>258684</v>
      </c>
      <c r="Q11" s="10">
        <f t="shared" si="3"/>
        <v>231215.32500000001</v>
      </c>
      <c r="R11" s="10">
        <f t="shared" si="7"/>
        <v>295697.67499999999</v>
      </c>
      <c r="S11" s="10">
        <f t="shared" si="4"/>
        <v>37013.674999999988</v>
      </c>
      <c r="T11" s="1" t="s">
        <v>27</v>
      </c>
      <c r="U11" s="11">
        <f>(S15*S17)/(1-S17)</f>
        <v>61848.578945578229</v>
      </c>
      <c r="V11" s="11"/>
    </row>
    <row r="12" spans="1:22" ht="15" hidden="1" customHeight="1">
      <c r="A12" s="8">
        <v>14.1</v>
      </c>
      <c r="C12" s="10">
        <v>203139</v>
      </c>
      <c r="D12" s="11">
        <v>203139</v>
      </c>
      <c r="E12" s="11">
        <v>0</v>
      </c>
      <c r="F12" s="11">
        <v>0</v>
      </c>
      <c r="G12" s="11"/>
      <c r="H12" s="11"/>
      <c r="I12" s="11"/>
      <c r="J12" s="11">
        <f t="shared" si="5"/>
        <v>203139</v>
      </c>
      <c r="K12" s="11">
        <f t="shared" si="6"/>
        <v>0</v>
      </c>
      <c r="L12" s="11">
        <f t="shared" si="0"/>
        <v>0</v>
      </c>
      <c r="M12" s="12">
        <v>0.05</v>
      </c>
      <c r="N12" s="11">
        <v>14220</v>
      </c>
      <c r="O12" s="11">
        <f t="shared" si="2"/>
        <v>188919</v>
      </c>
      <c r="Q12" s="10">
        <f t="shared" si="3"/>
        <v>10156.950000000001</v>
      </c>
      <c r="R12" s="10">
        <f t="shared" si="7"/>
        <v>192982.05</v>
      </c>
      <c r="S12" s="10">
        <f t="shared" si="4"/>
        <v>4063.0499999999993</v>
      </c>
      <c r="T12" s="1" t="s">
        <v>28</v>
      </c>
      <c r="U12" s="11"/>
      <c r="V12" s="11">
        <f>-U11</f>
        <v>-61848.578945578229</v>
      </c>
    </row>
    <row r="13" spans="1:22" ht="15" hidden="1" customHeight="1">
      <c r="A13" s="13" t="s">
        <v>29</v>
      </c>
      <c r="B13" s="4" t="s">
        <v>30</v>
      </c>
      <c r="C13" s="10">
        <v>0</v>
      </c>
      <c r="D13" s="14">
        <v>0</v>
      </c>
      <c r="E13" s="14">
        <v>196000</v>
      </c>
      <c r="F13" s="14">
        <v>196000</v>
      </c>
      <c r="G13" s="14"/>
      <c r="H13" s="14"/>
      <c r="I13" s="14"/>
      <c r="J13" s="14">
        <f t="shared" si="5"/>
        <v>196000</v>
      </c>
      <c r="K13" s="14">
        <f t="shared" si="6"/>
        <v>196000</v>
      </c>
      <c r="L13" s="14">
        <f t="shared" si="0"/>
        <v>98000</v>
      </c>
      <c r="M13" s="15">
        <v>0.06</v>
      </c>
      <c r="N13" s="14">
        <v>6004</v>
      </c>
      <c r="O13" s="14">
        <f t="shared" si="2"/>
        <v>189996</v>
      </c>
      <c r="Q13" s="10">
        <f t="shared" si="3"/>
        <v>5880</v>
      </c>
      <c r="R13" s="10">
        <f t="shared" si="7"/>
        <v>190120</v>
      </c>
      <c r="S13" s="10">
        <f t="shared" si="4"/>
        <v>124</v>
      </c>
    </row>
    <row r="14" spans="1:22" ht="15" hidden="1" customHeight="1">
      <c r="A14" s="8">
        <v>95</v>
      </c>
      <c r="B14" s="9" t="s">
        <v>31</v>
      </c>
      <c r="C14" s="10">
        <v>1137092</v>
      </c>
      <c r="D14" s="11">
        <v>1137092</v>
      </c>
      <c r="E14" s="11">
        <v>129908</v>
      </c>
      <c r="F14" s="11"/>
      <c r="J14" s="11">
        <f t="shared" si="5"/>
        <v>1267000</v>
      </c>
      <c r="K14" s="11">
        <f t="shared" si="6"/>
        <v>129908</v>
      </c>
      <c r="L14" s="11">
        <f t="shared" si="0"/>
        <v>64954</v>
      </c>
      <c r="M14" s="12">
        <v>0</v>
      </c>
      <c r="N14" s="11">
        <f t="shared" si="1"/>
        <v>0</v>
      </c>
      <c r="O14" s="11">
        <f t="shared" si="2"/>
        <v>1267000</v>
      </c>
      <c r="Q14" s="10">
        <f t="shared" si="3"/>
        <v>0</v>
      </c>
      <c r="R14" s="10">
        <f t="shared" si="7"/>
        <v>1267000</v>
      </c>
      <c r="S14" s="10">
        <f t="shared" si="4"/>
        <v>0</v>
      </c>
    </row>
    <row r="15" spans="1:22" ht="15" hidden="1" customHeight="1">
      <c r="A15" s="16"/>
      <c r="B15" s="16"/>
      <c r="C15" s="17">
        <f t="shared" ref="C15" si="8">SUM(C6:C14)</f>
        <v>50354230</v>
      </c>
      <c r="D15" s="18">
        <f t="shared" ref="D15:L15" si="9">SUM(D6:D14)</f>
        <v>50354230</v>
      </c>
      <c r="E15" s="18">
        <f t="shared" si="9"/>
        <v>4115289</v>
      </c>
      <c r="F15" s="18">
        <f t="shared" si="9"/>
        <v>2193882.0266932808</v>
      </c>
      <c r="G15" s="18">
        <f t="shared" si="9"/>
        <v>1787098.9733067192</v>
      </c>
      <c r="H15" s="18">
        <f t="shared" si="9"/>
        <v>-4400</v>
      </c>
      <c r="I15" s="18">
        <f t="shared" si="9"/>
        <v>0</v>
      </c>
      <c r="J15" s="18">
        <f t="shared" si="9"/>
        <v>54465119</v>
      </c>
      <c r="K15" s="18">
        <f t="shared" si="9"/>
        <v>4110889</v>
      </c>
      <c r="L15" s="18">
        <f t="shared" si="9"/>
        <v>2055444.5</v>
      </c>
      <c r="M15" s="18"/>
      <c r="N15" s="18">
        <f>SUM(N6:N14)</f>
        <v>3884827.39</v>
      </c>
      <c r="O15" s="18">
        <f>SUM(O6:O14)</f>
        <v>50580291.609999999</v>
      </c>
      <c r="Q15" s="17">
        <f>SUM(Q6:Q14)</f>
        <v>3713285.1050000004</v>
      </c>
      <c r="R15" s="17">
        <f>SUM(R6:R14)</f>
        <v>50751833.894999996</v>
      </c>
      <c r="S15" s="17">
        <f>SUM(S6:S14)</f>
        <v>171542.28499999997</v>
      </c>
      <c r="T15" s="2"/>
      <c r="U15" s="2"/>
      <c r="V15" s="11"/>
    </row>
    <row r="16" spans="1:22" ht="15" hidden="1" customHeight="1">
      <c r="N16" s="19" t="s">
        <v>32</v>
      </c>
    </row>
    <row r="17" spans="1:22" ht="15" hidden="1" customHeight="1">
      <c r="R17" s="9" t="s">
        <v>33</v>
      </c>
      <c r="S17" s="20">
        <v>0.26500000000000001</v>
      </c>
    </row>
    <row r="18" spans="1:22" ht="15" hidden="1" customHeight="1">
      <c r="A18" s="3" t="s">
        <v>34</v>
      </c>
    </row>
    <row r="19" spans="1:22" ht="38.25" hidden="1" customHeight="1">
      <c r="A19" s="5" t="s">
        <v>2</v>
      </c>
      <c r="B19" s="6" t="s">
        <v>3</v>
      </c>
      <c r="C19" s="7" t="s">
        <v>4</v>
      </c>
      <c r="D19" s="5" t="s">
        <v>5</v>
      </c>
      <c r="E19" s="5" t="s">
        <v>6</v>
      </c>
      <c r="F19" s="5" t="s">
        <v>35</v>
      </c>
      <c r="G19" s="5" t="s">
        <v>36</v>
      </c>
      <c r="H19" s="5" t="s">
        <v>9</v>
      </c>
      <c r="I19" s="5" t="s">
        <v>10</v>
      </c>
      <c r="J19" s="5" t="s">
        <v>11</v>
      </c>
      <c r="K19" s="5" t="s">
        <v>12</v>
      </c>
      <c r="L19" s="5" t="s">
        <v>13</v>
      </c>
      <c r="M19" s="5" t="s">
        <v>14</v>
      </c>
      <c r="N19" s="5" t="s">
        <v>15</v>
      </c>
      <c r="O19" s="5" t="s">
        <v>16</v>
      </c>
      <c r="Q19" s="7" t="s">
        <v>17</v>
      </c>
      <c r="R19" s="7" t="s">
        <v>18</v>
      </c>
      <c r="S19" s="7" t="s">
        <v>19</v>
      </c>
    </row>
    <row r="20" spans="1:22" ht="15" hidden="1" customHeight="1">
      <c r="A20" s="8">
        <v>1</v>
      </c>
      <c r="B20" s="9" t="s">
        <v>20</v>
      </c>
      <c r="C20" s="10">
        <f>R6</f>
        <v>21221151.359999999</v>
      </c>
      <c r="D20" s="11">
        <f>O6</f>
        <v>21221151.359999999</v>
      </c>
      <c r="E20" s="11">
        <v>0</v>
      </c>
      <c r="F20" s="11"/>
      <c r="G20" s="11"/>
      <c r="H20" s="11"/>
      <c r="I20" s="11"/>
      <c r="J20" s="11">
        <f>D20+E20+H20+I20</f>
        <v>21221151.359999999</v>
      </c>
      <c r="K20" s="11">
        <f>E20+I20+H20</f>
        <v>0</v>
      </c>
      <c r="L20" s="11">
        <f t="shared" ref="L20:L28" si="10">K20*0.5</f>
        <v>0</v>
      </c>
      <c r="M20" s="12">
        <v>0.04</v>
      </c>
      <c r="N20" s="11">
        <f t="shared" ref="N20" si="11">(D20*M20)+((E20-F20+I20)*M20*1.5)</f>
        <v>848846.05440000002</v>
      </c>
      <c r="O20" s="11">
        <f t="shared" ref="O20:O28" si="12">J20-N20</f>
        <v>20372305.305599999</v>
      </c>
      <c r="Q20" s="10">
        <f t="shared" ref="Q20:Q28" si="13">(C20*M20)+(L20*M20)</f>
        <v>848846.05440000002</v>
      </c>
      <c r="R20" s="10">
        <f>J20-Q20</f>
        <v>20372305.305599999</v>
      </c>
      <c r="S20" s="10">
        <f t="shared" ref="S20:S28" si="14">N20-Q20</f>
        <v>0</v>
      </c>
      <c r="T20" s="21"/>
    </row>
    <row r="21" spans="1:22" ht="15" hidden="1" customHeight="1">
      <c r="A21" s="13">
        <v>8</v>
      </c>
      <c r="B21" s="4" t="s">
        <v>21</v>
      </c>
      <c r="C21" s="10">
        <f t="shared" ref="C21:C28" si="15">R7</f>
        <v>1558017.4</v>
      </c>
      <c r="D21" s="14">
        <f t="shared" ref="D21:D28" si="16">O7</f>
        <v>1525115</v>
      </c>
      <c r="E21" s="14">
        <v>43691</v>
      </c>
      <c r="F21" s="14">
        <v>43691</v>
      </c>
      <c r="G21" s="14"/>
      <c r="H21" s="14"/>
      <c r="I21" s="14"/>
      <c r="J21" s="14">
        <f t="shared" ref="J21:J28" si="17">D21+E21+H21+I21</f>
        <v>1568806</v>
      </c>
      <c r="K21" s="14">
        <f t="shared" ref="K21:K28" si="18">E21+I21+H21</f>
        <v>43691</v>
      </c>
      <c r="L21" s="14">
        <f t="shared" si="10"/>
        <v>21845.5</v>
      </c>
      <c r="M21" s="15">
        <v>0.2</v>
      </c>
      <c r="N21" s="14">
        <v>318130</v>
      </c>
      <c r="O21" s="14">
        <f t="shared" si="12"/>
        <v>1250676</v>
      </c>
      <c r="Q21" s="10">
        <f t="shared" si="13"/>
        <v>315972.57999999996</v>
      </c>
      <c r="R21" s="10">
        <f t="shared" ref="R21:R28" si="19">J21-Q21</f>
        <v>1252833.42</v>
      </c>
      <c r="S21" s="10">
        <f t="shared" si="14"/>
        <v>2157.4200000000419</v>
      </c>
    </row>
    <row r="22" spans="1:22" ht="15" hidden="1" customHeight="1">
      <c r="A22" s="13">
        <v>10</v>
      </c>
      <c r="B22" s="4" t="s">
        <v>22</v>
      </c>
      <c r="C22" s="10">
        <f t="shared" si="15"/>
        <v>565882.19999999995</v>
      </c>
      <c r="D22" s="14">
        <f t="shared" si="16"/>
        <v>549533</v>
      </c>
      <c r="E22" s="14">
        <v>6000</v>
      </c>
      <c r="F22" s="14">
        <v>6000</v>
      </c>
      <c r="G22" s="14">
        <v>1996.4430045187144</v>
      </c>
      <c r="H22" s="14"/>
      <c r="I22" s="14"/>
      <c r="J22" s="14">
        <f t="shared" si="17"/>
        <v>555533</v>
      </c>
      <c r="K22" s="14">
        <f t="shared" si="18"/>
        <v>6000</v>
      </c>
      <c r="L22" s="14">
        <f t="shared" si="10"/>
        <v>3000</v>
      </c>
      <c r="M22" s="15">
        <v>0.3</v>
      </c>
      <c r="N22" s="14">
        <v>167560</v>
      </c>
      <c r="O22" s="14">
        <f t="shared" si="12"/>
        <v>387973</v>
      </c>
      <c r="Q22" s="10">
        <f t="shared" si="13"/>
        <v>170664.65999999997</v>
      </c>
      <c r="R22" s="10">
        <f t="shared" si="19"/>
        <v>384868.34</v>
      </c>
      <c r="S22" s="10">
        <f t="shared" si="14"/>
        <v>-3104.6599999999744</v>
      </c>
    </row>
    <row r="23" spans="1:22" ht="15" hidden="1" customHeight="1">
      <c r="A23" s="8">
        <v>45</v>
      </c>
      <c r="B23" s="9" t="s">
        <v>23</v>
      </c>
      <c r="C23" s="10">
        <f t="shared" si="15"/>
        <v>85.25</v>
      </c>
      <c r="D23" s="11">
        <f t="shared" si="16"/>
        <v>85.25</v>
      </c>
      <c r="E23" s="11">
        <v>0</v>
      </c>
      <c r="F23" s="11">
        <v>0</v>
      </c>
      <c r="G23" s="11"/>
      <c r="H23" s="11"/>
      <c r="I23" s="11"/>
      <c r="J23" s="11">
        <f t="shared" si="17"/>
        <v>85.25</v>
      </c>
      <c r="K23" s="11">
        <f t="shared" si="18"/>
        <v>0</v>
      </c>
      <c r="L23" s="11">
        <f t="shared" si="10"/>
        <v>0</v>
      </c>
      <c r="M23" s="12">
        <v>0.45</v>
      </c>
      <c r="N23" s="11">
        <f t="shared" ref="N23" si="20">(D23*M23)+((E23-F23+I23)*M23*1.5)</f>
        <v>38.362500000000004</v>
      </c>
      <c r="O23" s="11">
        <f t="shared" si="12"/>
        <v>46.887499999999996</v>
      </c>
      <c r="Q23" s="10">
        <f t="shared" si="13"/>
        <v>38.362500000000004</v>
      </c>
      <c r="R23" s="10">
        <f t="shared" si="19"/>
        <v>46.887499999999996</v>
      </c>
      <c r="S23" s="10">
        <f t="shared" si="14"/>
        <v>0</v>
      </c>
      <c r="T23" s="9" t="s">
        <v>24</v>
      </c>
    </row>
    <row r="24" spans="1:22" ht="15" hidden="1" customHeight="1">
      <c r="A24" s="13">
        <v>47</v>
      </c>
      <c r="B24" s="4" t="s">
        <v>25</v>
      </c>
      <c r="C24" s="10">
        <f t="shared" si="15"/>
        <v>25460897.960000001</v>
      </c>
      <c r="D24" s="14">
        <f t="shared" si="16"/>
        <v>25379808</v>
      </c>
      <c r="E24" s="14">
        <v>2451505</v>
      </c>
      <c r="F24" s="14">
        <v>2451505</v>
      </c>
      <c r="G24" s="14"/>
      <c r="H24" s="14"/>
      <c r="I24" s="14">
        <v>-6000</v>
      </c>
      <c r="J24" s="14">
        <f t="shared" si="17"/>
        <v>27825313</v>
      </c>
      <c r="K24" s="14">
        <f t="shared" si="18"/>
        <v>2445505</v>
      </c>
      <c r="L24" s="14">
        <f t="shared" si="10"/>
        <v>1222752.5</v>
      </c>
      <c r="M24" s="15">
        <v>0.08</v>
      </c>
      <c r="N24" s="14">
        <v>2323845</v>
      </c>
      <c r="O24" s="14">
        <f t="shared" si="12"/>
        <v>25501468</v>
      </c>
      <c r="Q24" s="10">
        <f t="shared" si="13"/>
        <v>2134692.0368000004</v>
      </c>
      <c r="R24" s="10">
        <f t="shared" si="19"/>
        <v>25690620.963199999</v>
      </c>
      <c r="S24" s="10">
        <f t="shared" si="14"/>
        <v>189152.96319999965</v>
      </c>
    </row>
    <row r="25" spans="1:22" ht="15" hidden="1" customHeight="1">
      <c r="A25" s="13">
        <v>50</v>
      </c>
      <c r="B25" s="4" t="s">
        <v>26</v>
      </c>
      <c r="C25" s="10">
        <f t="shared" si="15"/>
        <v>295697.67499999999</v>
      </c>
      <c r="D25" s="14">
        <f t="shared" si="16"/>
        <v>258684</v>
      </c>
      <c r="E25" s="14">
        <v>125612</v>
      </c>
      <c r="F25" s="14">
        <v>125612</v>
      </c>
      <c r="G25" s="14"/>
      <c r="H25" s="14"/>
      <c r="I25" s="14"/>
      <c r="J25" s="14">
        <f t="shared" si="17"/>
        <v>384296</v>
      </c>
      <c r="K25" s="14">
        <f t="shared" si="18"/>
        <v>125612</v>
      </c>
      <c r="L25" s="14">
        <f t="shared" si="10"/>
        <v>62806</v>
      </c>
      <c r="M25" s="15">
        <v>0.55000000000000004</v>
      </c>
      <c r="N25" s="14">
        <v>245906</v>
      </c>
      <c r="O25" s="14">
        <f t="shared" si="12"/>
        <v>138390</v>
      </c>
      <c r="Q25" s="10">
        <f t="shared" si="13"/>
        <v>197177.02124999999</v>
      </c>
      <c r="R25" s="10">
        <f t="shared" si="19"/>
        <v>187118.97875000001</v>
      </c>
      <c r="S25" s="10">
        <f t="shared" si="14"/>
        <v>48728.978750000009</v>
      </c>
      <c r="T25" s="1" t="s">
        <v>27</v>
      </c>
      <c r="U25" s="11">
        <f>(S29*S31)/(1-S31)</f>
        <v>87533.790277891065</v>
      </c>
      <c r="V25" s="11"/>
    </row>
    <row r="26" spans="1:22" ht="15" hidden="1" customHeight="1">
      <c r="A26" s="8">
        <v>14.1</v>
      </c>
      <c r="C26" s="10">
        <f t="shared" si="15"/>
        <v>192982.05</v>
      </c>
      <c r="D26" s="11">
        <f t="shared" si="16"/>
        <v>188919</v>
      </c>
      <c r="E26" s="11">
        <v>0</v>
      </c>
      <c r="F26" s="11">
        <v>0</v>
      </c>
      <c r="G26" s="11"/>
      <c r="H26" s="11"/>
      <c r="I26" s="11"/>
      <c r="J26" s="11">
        <f t="shared" si="17"/>
        <v>188919</v>
      </c>
      <c r="K26" s="11">
        <f t="shared" si="18"/>
        <v>0</v>
      </c>
      <c r="L26" s="11">
        <f t="shared" si="10"/>
        <v>0</v>
      </c>
      <c r="M26" s="12">
        <v>0.05</v>
      </c>
      <c r="N26" s="11">
        <v>13224</v>
      </c>
      <c r="O26" s="11">
        <f t="shared" si="12"/>
        <v>175695</v>
      </c>
      <c r="Q26" s="10">
        <f t="shared" si="13"/>
        <v>9649.1024999999991</v>
      </c>
      <c r="R26" s="10">
        <f t="shared" si="19"/>
        <v>179269.89749999999</v>
      </c>
      <c r="S26" s="10">
        <f t="shared" si="14"/>
        <v>3574.8975000000009</v>
      </c>
      <c r="T26" s="1" t="s">
        <v>28</v>
      </c>
      <c r="U26" s="11"/>
      <c r="V26" s="11">
        <f>-U25</f>
        <v>-87533.790277891065</v>
      </c>
    </row>
    <row r="27" spans="1:22" ht="15" hidden="1" customHeight="1">
      <c r="A27" s="13" t="s">
        <v>29</v>
      </c>
      <c r="B27" s="4" t="s">
        <v>30</v>
      </c>
      <c r="C27" s="10">
        <f t="shared" si="15"/>
        <v>190120</v>
      </c>
      <c r="D27" s="14">
        <f t="shared" si="16"/>
        <v>189996</v>
      </c>
      <c r="E27" s="14">
        <v>38000</v>
      </c>
      <c r="F27" s="14">
        <v>38000</v>
      </c>
      <c r="G27" s="14"/>
      <c r="H27" s="14"/>
      <c r="I27" s="14"/>
      <c r="J27" s="14">
        <f t="shared" si="17"/>
        <v>227996</v>
      </c>
      <c r="K27" s="14">
        <f t="shared" si="18"/>
        <v>38000</v>
      </c>
      <c r="L27" s="14">
        <f t="shared" si="10"/>
        <v>19000</v>
      </c>
      <c r="M27" s="15">
        <v>0.06</v>
      </c>
      <c r="N27" s="14">
        <v>14820</v>
      </c>
      <c r="O27" s="14">
        <f t="shared" si="12"/>
        <v>213176</v>
      </c>
      <c r="Q27" s="10">
        <f t="shared" si="13"/>
        <v>12547.199999999999</v>
      </c>
      <c r="R27" s="10">
        <f t="shared" si="19"/>
        <v>215448.8</v>
      </c>
      <c r="S27" s="10">
        <f t="shared" si="14"/>
        <v>2272.8000000000011</v>
      </c>
    </row>
    <row r="28" spans="1:22" ht="15" hidden="1" customHeight="1">
      <c r="A28" s="8">
        <v>95</v>
      </c>
      <c r="B28" s="9" t="s">
        <v>31</v>
      </c>
      <c r="C28" s="10">
        <f t="shared" si="15"/>
        <v>1267000</v>
      </c>
      <c r="D28" s="11">
        <f t="shared" si="16"/>
        <v>1267000</v>
      </c>
      <c r="E28" s="11">
        <v>2470000</v>
      </c>
      <c r="F28" s="11"/>
      <c r="J28" s="11">
        <f t="shared" si="17"/>
        <v>3737000</v>
      </c>
      <c r="K28" s="11">
        <f t="shared" si="18"/>
        <v>2470000</v>
      </c>
      <c r="L28" s="11">
        <f t="shared" si="10"/>
        <v>1235000</v>
      </c>
      <c r="M28" s="12">
        <v>0</v>
      </c>
      <c r="N28" s="11">
        <f t="shared" ref="N28" si="21">(D28*M28)+((E28-F28+I28)*M28*1.5)</f>
        <v>0</v>
      </c>
      <c r="O28" s="11">
        <f t="shared" si="12"/>
        <v>3737000</v>
      </c>
      <c r="Q28" s="10">
        <f t="shared" si="13"/>
        <v>0</v>
      </c>
      <c r="R28" s="10">
        <f t="shared" si="19"/>
        <v>3737000</v>
      </c>
      <c r="S28" s="10">
        <f t="shared" si="14"/>
        <v>0</v>
      </c>
    </row>
    <row r="29" spans="1:22" ht="15" hidden="1" customHeight="1">
      <c r="A29" s="16"/>
      <c r="B29" s="16"/>
      <c r="C29" s="17">
        <f t="shared" ref="C29" si="22">SUM(C20:C28)</f>
        <v>50751833.894999996</v>
      </c>
      <c r="D29" s="18">
        <f t="shared" ref="D29:L29" si="23">SUM(D20:D28)</f>
        <v>50580291.609999999</v>
      </c>
      <c r="E29" s="18">
        <f t="shared" si="23"/>
        <v>5134808</v>
      </c>
      <c r="F29" s="18">
        <f t="shared" si="23"/>
        <v>2664808</v>
      </c>
      <c r="G29" s="18">
        <f t="shared" si="23"/>
        <v>1996.4430045187144</v>
      </c>
      <c r="H29" s="18">
        <f t="shared" si="23"/>
        <v>0</v>
      </c>
      <c r="I29" s="18">
        <f t="shared" si="23"/>
        <v>-6000</v>
      </c>
      <c r="J29" s="18">
        <f t="shared" si="23"/>
        <v>55709099.609999999</v>
      </c>
      <c r="K29" s="18">
        <f t="shared" si="23"/>
        <v>5128808</v>
      </c>
      <c r="L29" s="18">
        <f t="shared" si="23"/>
        <v>2564404</v>
      </c>
      <c r="M29" s="18"/>
      <c r="N29" s="18">
        <f>SUM(N20:N28)</f>
        <v>3932369.4169000001</v>
      </c>
      <c r="O29" s="18">
        <f>SUM(O20:O28)</f>
        <v>51776730.193099998</v>
      </c>
      <c r="Q29" s="17">
        <f>SUM(Q20:Q28)</f>
        <v>3689587.0174500002</v>
      </c>
      <c r="R29" s="17">
        <f>SUM(R20:R28)</f>
        <v>52019512.592549995</v>
      </c>
      <c r="S29" s="17">
        <f>SUM(S20:S28)</f>
        <v>242782.39944999971</v>
      </c>
      <c r="T29" s="2"/>
      <c r="U29" s="2"/>
      <c r="V29" s="11"/>
    </row>
    <row r="30" spans="1:22" ht="15" hidden="1" customHeight="1">
      <c r="N30" s="19" t="s">
        <v>32</v>
      </c>
    </row>
    <row r="31" spans="1:22" ht="15" hidden="1" customHeight="1">
      <c r="R31" s="9" t="s">
        <v>33</v>
      </c>
      <c r="S31" s="20">
        <v>0.26500000000000001</v>
      </c>
    </row>
    <row r="32" spans="1:22" ht="15" hidden="1" customHeight="1">
      <c r="A32" s="3" t="s">
        <v>37</v>
      </c>
    </row>
    <row r="33" spans="1:22" ht="38.25" hidden="1" customHeight="1">
      <c r="A33" s="5" t="s">
        <v>2</v>
      </c>
      <c r="B33" s="6" t="s">
        <v>3</v>
      </c>
      <c r="C33" s="7" t="s">
        <v>4</v>
      </c>
      <c r="D33" s="5" t="s">
        <v>5</v>
      </c>
      <c r="E33" s="5" t="s">
        <v>6</v>
      </c>
      <c r="F33" s="5" t="s">
        <v>35</v>
      </c>
      <c r="G33" s="5" t="s">
        <v>36</v>
      </c>
      <c r="H33" s="5" t="s">
        <v>9</v>
      </c>
      <c r="I33" s="5" t="s">
        <v>10</v>
      </c>
      <c r="J33" s="5" t="s">
        <v>11</v>
      </c>
      <c r="K33" s="5" t="s">
        <v>12</v>
      </c>
      <c r="L33" s="5" t="s">
        <v>13</v>
      </c>
      <c r="M33" s="5" t="s">
        <v>14</v>
      </c>
      <c r="N33" s="5" t="s">
        <v>15</v>
      </c>
      <c r="O33" s="5" t="s">
        <v>16</v>
      </c>
      <c r="Q33" s="7" t="s">
        <v>17</v>
      </c>
      <c r="R33" s="7" t="s">
        <v>18</v>
      </c>
      <c r="S33" s="7" t="s">
        <v>19</v>
      </c>
    </row>
    <row r="34" spans="1:22" ht="15" hidden="1" customHeight="1">
      <c r="A34" s="8">
        <v>1</v>
      </c>
      <c r="B34" s="9" t="s">
        <v>20</v>
      </c>
      <c r="C34" s="10">
        <v>20372305</v>
      </c>
      <c r="D34" s="11">
        <v>20372305</v>
      </c>
      <c r="E34" s="11">
        <v>0</v>
      </c>
      <c r="F34" s="11"/>
      <c r="G34" s="11"/>
      <c r="H34" s="11"/>
      <c r="I34" s="11"/>
      <c r="J34" s="11">
        <f t="shared" ref="J34:J42" si="24">SUM(D34:I34)</f>
        <v>20372305</v>
      </c>
      <c r="K34" s="11">
        <f t="shared" ref="K34:K42" si="25">E34+F34+I34</f>
        <v>0</v>
      </c>
      <c r="L34" s="11">
        <f t="shared" ref="L34:L42" si="26">K34*0.5</f>
        <v>0</v>
      </c>
      <c r="M34" s="12">
        <v>0.04</v>
      </c>
      <c r="N34" s="11">
        <f t="shared" ref="N34:N42" si="27">(D34*M34)+((E34-F34+I34)*M34*1.5)</f>
        <v>814892.20000000007</v>
      </c>
      <c r="O34" s="11">
        <f t="shared" ref="O34:O42" si="28">J34-N34</f>
        <v>19557412.800000001</v>
      </c>
      <c r="Q34" s="10">
        <f t="shared" ref="Q34:Q42" si="29">(C34*M34)+(L34*M34)</f>
        <v>814892.20000000007</v>
      </c>
      <c r="R34" s="10">
        <f t="shared" ref="R34:R42" si="30">C34+SUM(E34:I34)-Q34</f>
        <v>19557412.800000001</v>
      </c>
      <c r="S34" s="10">
        <f t="shared" ref="S34:S42" si="31">N34-Q34</f>
        <v>0</v>
      </c>
      <c r="T34" s="41"/>
      <c r="U34" s="42"/>
      <c r="V34" s="11"/>
    </row>
    <row r="35" spans="1:22" ht="15" hidden="1" customHeight="1">
      <c r="A35" s="13">
        <v>8</v>
      </c>
      <c r="B35" s="4" t="s">
        <v>21</v>
      </c>
      <c r="C35" s="10">
        <v>1285735.82</v>
      </c>
      <c r="D35" s="14">
        <v>1250676</v>
      </c>
      <c r="E35" s="14">
        <v>262130</v>
      </c>
      <c r="F35" s="14"/>
      <c r="G35" s="14"/>
      <c r="H35" s="14"/>
      <c r="I35" s="14"/>
      <c r="J35" s="14">
        <f t="shared" si="24"/>
        <v>1512806</v>
      </c>
      <c r="K35" s="14">
        <f t="shared" si="25"/>
        <v>262130</v>
      </c>
      <c r="L35" s="14">
        <f t="shared" si="26"/>
        <v>131065</v>
      </c>
      <c r="M35" s="15">
        <v>0.2</v>
      </c>
      <c r="N35" s="14">
        <f t="shared" si="27"/>
        <v>328774.2</v>
      </c>
      <c r="O35" s="14">
        <f t="shared" si="28"/>
        <v>1184031.8</v>
      </c>
      <c r="Q35" s="10">
        <f t="shared" si="29"/>
        <v>283360.16399999999</v>
      </c>
      <c r="R35" s="10">
        <f t="shared" si="30"/>
        <v>1264505.656</v>
      </c>
      <c r="S35" s="10">
        <f t="shared" si="31"/>
        <v>45414.036000000022</v>
      </c>
    </row>
    <row r="36" spans="1:22" ht="15" hidden="1" customHeight="1">
      <c r="A36" s="13">
        <v>10</v>
      </c>
      <c r="B36" s="4" t="s">
        <v>22</v>
      </c>
      <c r="C36" s="10">
        <v>401217.54</v>
      </c>
      <c r="D36" s="14">
        <v>387973</v>
      </c>
      <c r="E36" s="14">
        <v>18630</v>
      </c>
      <c r="F36" s="14"/>
      <c r="G36" s="14"/>
      <c r="H36" s="14"/>
      <c r="I36" s="14"/>
      <c r="J36" s="14">
        <f t="shared" si="24"/>
        <v>406603</v>
      </c>
      <c r="K36" s="14">
        <f t="shared" si="25"/>
        <v>18630</v>
      </c>
      <c r="L36" s="14">
        <f t="shared" si="26"/>
        <v>9315</v>
      </c>
      <c r="M36" s="15">
        <v>0.3</v>
      </c>
      <c r="N36" s="14">
        <f t="shared" si="27"/>
        <v>124775.4</v>
      </c>
      <c r="O36" s="14">
        <f t="shared" si="28"/>
        <v>281827.59999999998</v>
      </c>
      <c r="Q36" s="10">
        <f t="shared" si="29"/>
        <v>123159.76199999999</v>
      </c>
      <c r="R36" s="10">
        <f t="shared" si="30"/>
        <v>296687.77799999999</v>
      </c>
      <c r="S36" s="10">
        <f t="shared" si="31"/>
        <v>1615.6380000000063</v>
      </c>
    </row>
    <row r="37" spans="1:22" ht="15" hidden="1" customHeight="1">
      <c r="A37" s="8">
        <v>45</v>
      </c>
      <c r="B37" s="9" t="s">
        <v>23</v>
      </c>
      <c r="C37" s="10">
        <v>47</v>
      </c>
      <c r="D37" s="11">
        <v>47</v>
      </c>
      <c r="E37" s="11">
        <v>0</v>
      </c>
      <c r="F37" s="11"/>
      <c r="G37" s="11"/>
      <c r="H37" s="11"/>
      <c r="I37" s="11"/>
      <c r="J37" s="11">
        <f t="shared" si="24"/>
        <v>47</v>
      </c>
      <c r="K37" s="11">
        <f t="shared" si="25"/>
        <v>0</v>
      </c>
      <c r="L37" s="11">
        <f t="shared" si="26"/>
        <v>0</v>
      </c>
      <c r="M37" s="12">
        <v>0.45</v>
      </c>
      <c r="N37" s="11">
        <f t="shared" si="27"/>
        <v>21.150000000000002</v>
      </c>
      <c r="O37" s="11">
        <f t="shared" si="28"/>
        <v>25.849999999999998</v>
      </c>
      <c r="Q37" s="10">
        <f t="shared" si="29"/>
        <v>21.150000000000002</v>
      </c>
      <c r="R37" s="10">
        <f t="shared" si="30"/>
        <v>25.849999999999998</v>
      </c>
      <c r="S37" s="10">
        <f t="shared" si="31"/>
        <v>0</v>
      </c>
      <c r="T37" s="9" t="s">
        <v>24</v>
      </c>
    </row>
    <row r="38" spans="1:22" ht="15" hidden="1" customHeight="1">
      <c r="A38" s="13">
        <v>47</v>
      </c>
      <c r="B38" s="4" t="s">
        <v>25</v>
      </c>
      <c r="C38" s="10">
        <v>25771710.920000002</v>
      </c>
      <c r="D38" s="14">
        <v>25501468</v>
      </c>
      <c r="E38" s="14">
        <v>3711652</v>
      </c>
      <c r="F38" s="14"/>
      <c r="G38" s="14"/>
      <c r="H38" s="14"/>
      <c r="I38" s="14">
        <v>-39000</v>
      </c>
      <c r="J38" s="14">
        <f t="shared" si="24"/>
        <v>29174120</v>
      </c>
      <c r="K38" s="14">
        <f t="shared" si="25"/>
        <v>3672652</v>
      </c>
      <c r="L38" s="14">
        <f t="shared" si="26"/>
        <v>1836326</v>
      </c>
      <c r="M38" s="15">
        <v>0.08</v>
      </c>
      <c r="N38" s="14">
        <f t="shared" si="27"/>
        <v>2480835.6800000002</v>
      </c>
      <c r="O38" s="14">
        <f t="shared" si="28"/>
        <v>26693284.32</v>
      </c>
      <c r="Q38" s="10">
        <f t="shared" si="29"/>
        <v>2208642.9536000001</v>
      </c>
      <c r="R38" s="10">
        <f t="shared" si="30"/>
        <v>27235719.966400001</v>
      </c>
      <c r="S38" s="10">
        <f t="shared" si="31"/>
        <v>272192.72640000004</v>
      </c>
    </row>
    <row r="39" spans="1:22" ht="15" hidden="1" customHeight="1">
      <c r="A39" s="13">
        <v>50</v>
      </c>
      <c r="B39" s="4" t="s">
        <v>26</v>
      </c>
      <c r="C39" s="10">
        <v>224132.65</v>
      </c>
      <c r="D39" s="14">
        <v>138390</v>
      </c>
      <c r="E39" s="14">
        <v>330269</v>
      </c>
      <c r="F39" s="14"/>
      <c r="G39" s="14"/>
      <c r="H39" s="14"/>
      <c r="I39" s="14"/>
      <c r="J39" s="14">
        <f t="shared" si="24"/>
        <v>468659</v>
      </c>
      <c r="K39" s="14">
        <f t="shared" si="25"/>
        <v>330269</v>
      </c>
      <c r="L39" s="14">
        <f t="shared" si="26"/>
        <v>165134.5</v>
      </c>
      <c r="M39" s="15">
        <v>0.55000000000000004</v>
      </c>
      <c r="N39" s="14">
        <f t="shared" si="27"/>
        <v>348586.42500000005</v>
      </c>
      <c r="O39" s="14">
        <f t="shared" si="28"/>
        <v>120072.57499999995</v>
      </c>
      <c r="Q39" s="10">
        <f t="shared" si="29"/>
        <v>214096.9325</v>
      </c>
      <c r="R39" s="10">
        <f t="shared" si="30"/>
        <v>340304.71750000003</v>
      </c>
      <c r="S39" s="10">
        <f t="shared" si="31"/>
        <v>134489.49250000005</v>
      </c>
      <c r="T39" s="1" t="s">
        <v>27</v>
      </c>
      <c r="U39" s="11">
        <f>(S43*S45)/(1-S45)</f>
        <v>164846.57364081638</v>
      </c>
      <c r="V39" s="11"/>
    </row>
    <row r="40" spans="1:22" ht="15" hidden="1" customHeight="1">
      <c r="A40" s="8">
        <v>14.1</v>
      </c>
      <c r="C40" s="10">
        <v>183332.95</v>
      </c>
      <c r="D40" s="11">
        <v>175695</v>
      </c>
      <c r="E40" s="11">
        <v>0</v>
      </c>
      <c r="F40" s="11"/>
      <c r="G40" s="11"/>
      <c r="H40" s="11"/>
      <c r="I40" s="11"/>
      <c r="J40" s="11">
        <f t="shared" si="24"/>
        <v>175695</v>
      </c>
      <c r="K40" s="11">
        <f t="shared" si="25"/>
        <v>0</v>
      </c>
      <c r="L40" s="11">
        <f t="shared" si="26"/>
        <v>0</v>
      </c>
      <c r="M40" s="12">
        <v>7.0000000000000007E-2</v>
      </c>
      <c r="N40" s="11">
        <f t="shared" si="27"/>
        <v>12298.650000000001</v>
      </c>
      <c r="O40" s="11">
        <f t="shared" si="28"/>
        <v>163396.35</v>
      </c>
      <c r="Q40" s="10">
        <f t="shared" si="29"/>
        <v>12833.306500000002</v>
      </c>
      <c r="R40" s="10">
        <f t="shared" si="30"/>
        <v>170499.64350000001</v>
      </c>
      <c r="S40" s="10">
        <f t="shared" si="31"/>
        <v>-534.65650000000096</v>
      </c>
      <c r="T40" s="1" t="s">
        <v>28</v>
      </c>
      <c r="U40" s="11"/>
      <c r="V40" s="11">
        <f>-U39</f>
        <v>-164846.57364081638</v>
      </c>
    </row>
    <row r="41" spans="1:22" ht="15" hidden="1" customHeight="1">
      <c r="A41" s="13" t="s">
        <v>29</v>
      </c>
      <c r="B41" s="4" t="s">
        <v>30</v>
      </c>
      <c r="C41" s="10">
        <v>215572.8</v>
      </c>
      <c r="D41" s="14">
        <v>213176</v>
      </c>
      <c r="E41" s="14">
        <v>69709</v>
      </c>
      <c r="F41" s="14"/>
      <c r="G41" s="14"/>
      <c r="H41" s="14"/>
      <c r="I41" s="14"/>
      <c r="J41" s="14">
        <f t="shared" si="24"/>
        <v>282885</v>
      </c>
      <c r="K41" s="14">
        <f t="shared" si="25"/>
        <v>69709</v>
      </c>
      <c r="L41" s="14">
        <f t="shared" si="26"/>
        <v>34854.5</v>
      </c>
      <c r="M41" s="15">
        <v>0.06</v>
      </c>
      <c r="N41" s="14">
        <f t="shared" si="27"/>
        <v>19064.37</v>
      </c>
      <c r="O41" s="14">
        <f t="shared" si="28"/>
        <v>263820.63</v>
      </c>
      <c r="Q41" s="10">
        <f t="shared" si="29"/>
        <v>15025.637999999999</v>
      </c>
      <c r="R41" s="10">
        <f t="shared" si="30"/>
        <v>270256.16200000001</v>
      </c>
      <c r="S41" s="10">
        <f t="shared" si="31"/>
        <v>4038.732</v>
      </c>
    </row>
    <row r="42" spans="1:22" ht="15" hidden="1" customHeight="1">
      <c r="A42" s="8">
        <v>95</v>
      </c>
      <c r="B42" s="9" t="s">
        <v>31</v>
      </c>
      <c r="C42" s="10">
        <v>3737000</v>
      </c>
      <c r="D42" s="11">
        <v>3737000</v>
      </c>
      <c r="E42" s="11">
        <v>1384000</v>
      </c>
      <c r="F42" s="11"/>
      <c r="J42" s="11">
        <f t="shared" si="24"/>
        <v>5121000</v>
      </c>
      <c r="K42" s="11">
        <f t="shared" si="25"/>
        <v>1384000</v>
      </c>
      <c r="L42" s="11">
        <f t="shared" si="26"/>
        <v>692000</v>
      </c>
      <c r="M42" s="12">
        <v>0</v>
      </c>
      <c r="N42" s="11">
        <f t="shared" si="27"/>
        <v>0</v>
      </c>
      <c r="O42" s="11">
        <f t="shared" si="28"/>
        <v>5121000</v>
      </c>
      <c r="Q42" s="10">
        <f t="shared" si="29"/>
        <v>0</v>
      </c>
      <c r="R42" s="10">
        <f t="shared" si="30"/>
        <v>5121000</v>
      </c>
      <c r="S42" s="10">
        <f t="shared" si="31"/>
        <v>0</v>
      </c>
    </row>
    <row r="43" spans="1:22" ht="15" hidden="1" customHeight="1">
      <c r="A43" s="16"/>
      <c r="B43" s="16"/>
      <c r="C43" s="17">
        <f t="shared" ref="C43:L43" si="32">SUM(C34:C42)</f>
        <v>52191054.68</v>
      </c>
      <c r="D43" s="18">
        <f t="shared" si="32"/>
        <v>51776730</v>
      </c>
      <c r="E43" s="18">
        <f t="shared" si="32"/>
        <v>5776390</v>
      </c>
      <c r="F43" s="18">
        <f t="shared" si="32"/>
        <v>0</v>
      </c>
      <c r="G43" s="18">
        <f t="shared" si="32"/>
        <v>0</v>
      </c>
      <c r="H43" s="18">
        <f t="shared" si="32"/>
        <v>0</v>
      </c>
      <c r="I43" s="18">
        <f t="shared" si="32"/>
        <v>-39000</v>
      </c>
      <c r="J43" s="18">
        <f t="shared" si="32"/>
        <v>57514120</v>
      </c>
      <c r="K43" s="18">
        <f t="shared" si="32"/>
        <v>5737390</v>
      </c>
      <c r="L43" s="18">
        <f t="shared" si="32"/>
        <v>2868695</v>
      </c>
      <c r="M43" s="18"/>
      <c r="N43" s="18">
        <f>SUM(N34:N42)</f>
        <v>4129248.0749999997</v>
      </c>
      <c r="O43" s="18">
        <f>SUM(O34:O42)</f>
        <v>53384871.925000012</v>
      </c>
      <c r="Q43" s="17">
        <f>SUM(Q34:Q42)</f>
        <v>3672032.1066000001</v>
      </c>
      <c r="R43" s="17">
        <f>SUM(R34:R42)</f>
        <v>54256412.573400006</v>
      </c>
      <c r="S43" s="17">
        <f>SUM(S34:S42)</f>
        <v>457215.96840000013</v>
      </c>
    </row>
    <row r="44" spans="1:22" ht="15" hidden="1" customHeight="1">
      <c r="N44" s="19" t="s">
        <v>32</v>
      </c>
    </row>
    <row r="45" spans="1:22" ht="15" hidden="1" customHeight="1">
      <c r="R45" s="9" t="s">
        <v>33</v>
      </c>
      <c r="S45" s="20">
        <v>0.26500000000000001</v>
      </c>
    </row>
    <row r="46" spans="1:22" ht="14.25" hidden="1" customHeight="1">
      <c r="A46" s="3" t="s">
        <v>38</v>
      </c>
    </row>
    <row r="47" spans="1:22" ht="38.25" hidden="1" customHeight="1">
      <c r="A47" s="5" t="str">
        <f t="shared" ref="A47:O47" si="33">A33</f>
        <v>Class #</v>
      </c>
      <c r="B47" s="5" t="str">
        <f t="shared" si="33"/>
        <v>Description</v>
      </c>
      <c r="C47" s="7" t="str">
        <f t="shared" si="33"/>
        <v>Non-AUCC Beginning</v>
      </c>
      <c r="D47" s="5" t="str">
        <f t="shared" si="33"/>
        <v>Tax Return
UCC Beginning</v>
      </c>
      <c r="E47" s="5" t="str">
        <f t="shared" si="33"/>
        <v>Additions</v>
      </c>
      <c r="F47" s="5" t="str">
        <f t="shared" si="33"/>
        <v>Adjustments and transfers</v>
      </c>
      <c r="G47" s="5" t="str">
        <f t="shared" si="33"/>
        <v>Immediate Expensing</v>
      </c>
      <c r="H47" s="5" t="str">
        <f t="shared" si="33"/>
        <v>Disposals</v>
      </c>
      <c r="I47" s="5" t="str">
        <f t="shared" si="33"/>
        <v>Proceeds</v>
      </c>
      <c r="J47" s="5" t="str">
        <f t="shared" si="33"/>
        <v>Adjusted UCC</v>
      </c>
      <c r="K47" s="5" t="str">
        <f t="shared" si="33"/>
        <v>Net Capital Cost of Additions</v>
      </c>
      <c r="L47" s="5" t="str">
        <f t="shared" si="33"/>
        <v>UCC Adjustment (half year)</v>
      </c>
      <c r="M47" s="5" t="str">
        <f t="shared" si="33"/>
        <v>CCA Rate</v>
      </c>
      <c r="N47" s="5" t="str">
        <f t="shared" si="33"/>
        <v>AIIP CCA</v>
      </c>
      <c r="O47" s="5" t="str">
        <f t="shared" si="33"/>
        <v>UCC Ending</v>
      </c>
      <c r="Q47" s="7" t="str">
        <f>Q33</f>
        <v>Normal CCA</v>
      </c>
      <c r="R47" s="7" t="str">
        <f>R33</f>
        <v>Normal UCC Ending</v>
      </c>
      <c r="S47" s="7" t="str">
        <f>S33</f>
        <v>Difference</v>
      </c>
    </row>
    <row r="48" spans="1:22" ht="14.25" hidden="1" customHeight="1">
      <c r="A48" s="8">
        <v>1</v>
      </c>
      <c r="B48" s="9" t="s">
        <v>20</v>
      </c>
      <c r="C48" s="10">
        <f t="shared" ref="C48:C56" si="34">R34</f>
        <v>19557412.800000001</v>
      </c>
      <c r="D48" s="11">
        <f t="shared" ref="D48:D56" si="35">O34</f>
        <v>19557412.800000001</v>
      </c>
      <c r="E48" s="11">
        <v>0</v>
      </c>
      <c r="F48" s="11"/>
      <c r="G48" s="11"/>
      <c r="H48" s="11"/>
      <c r="I48" s="11"/>
      <c r="J48" s="11">
        <f t="shared" ref="J48:J56" si="36">SUM(D48:I48)</f>
        <v>19557412.800000001</v>
      </c>
      <c r="K48" s="11">
        <f t="shared" ref="K48:K56" si="37">E48+F48+I48</f>
        <v>0</v>
      </c>
      <c r="L48" s="11">
        <f t="shared" ref="L48:L56" si="38">K48*0.5</f>
        <v>0</v>
      </c>
      <c r="M48" s="12">
        <v>0.04</v>
      </c>
      <c r="N48" s="11">
        <f>(D48*M48)+(L48*M48)</f>
        <v>782296.5120000001</v>
      </c>
      <c r="O48" s="11">
        <f t="shared" ref="O48:O56" si="39">J48-N48</f>
        <v>18775116.288000003</v>
      </c>
      <c r="Q48" s="10">
        <f t="shared" ref="Q48:Q56" si="40">(C48*M48)+(L48*M48)</f>
        <v>782296.5120000001</v>
      </c>
      <c r="R48" s="10">
        <f t="shared" ref="R48:R56" si="41">C48+SUM(E48:I48)-Q48</f>
        <v>18775116.288000003</v>
      </c>
      <c r="S48" s="10">
        <f t="shared" ref="S48:S56" si="42">N48-Q48</f>
        <v>0</v>
      </c>
      <c r="T48" s="21"/>
    </row>
    <row r="49" spans="1:22" ht="14.25" hidden="1" customHeight="1">
      <c r="A49" s="13">
        <v>8</v>
      </c>
      <c r="B49" s="4" t="s">
        <v>21</v>
      </c>
      <c r="C49" s="10">
        <f t="shared" si="34"/>
        <v>1264505.656</v>
      </c>
      <c r="D49" s="14">
        <f t="shared" si="35"/>
        <v>1184031.8</v>
      </c>
      <c r="E49" s="14">
        <f>E129+E134+E135+E136</f>
        <v>352190.97</v>
      </c>
      <c r="F49" s="14">
        <f>-E136</f>
        <v>-251847.58</v>
      </c>
      <c r="G49" s="14">
        <f>-F49</f>
        <v>251847.58</v>
      </c>
      <c r="H49" s="14"/>
      <c r="I49" s="14"/>
      <c r="J49" s="14">
        <f t="shared" si="36"/>
        <v>1536222.77</v>
      </c>
      <c r="K49" s="14">
        <f t="shared" si="37"/>
        <v>100343.38999999998</v>
      </c>
      <c r="L49" s="14">
        <f t="shared" si="38"/>
        <v>50171.694999999992</v>
      </c>
      <c r="M49" s="15">
        <v>0.2</v>
      </c>
      <c r="N49" s="14">
        <f>(D49*M49)+((E49+F49+I49)*M49*1.5)+G49</f>
        <v>518756.95700000005</v>
      </c>
      <c r="O49" s="14">
        <f t="shared" si="39"/>
        <v>1017465.813</v>
      </c>
      <c r="Q49" s="10">
        <f t="shared" si="40"/>
        <v>262935.47019999998</v>
      </c>
      <c r="R49" s="10">
        <f t="shared" si="41"/>
        <v>1353761.1557999998</v>
      </c>
      <c r="S49" s="10">
        <f t="shared" si="42"/>
        <v>255821.48680000007</v>
      </c>
    </row>
    <row r="50" spans="1:22" ht="14.25" hidden="1" customHeight="1">
      <c r="A50" s="13">
        <v>10</v>
      </c>
      <c r="B50" s="4" t="s">
        <v>22</v>
      </c>
      <c r="C50" s="10">
        <f t="shared" si="34"/>
        <v>296687.77799999999</v>
      </c>
      <c r="D50" s="14">
        <f t="shared" si="35"/>
        <v>281827.59999999998</v>
      </c>
      <c r="E50" s="14">
        <f>E132+E133</f>
        <v>668543.31000000006</v>
      </c>
      <c r="F50" s="14">
        <f>-E132</f>
        <v>-668543.31000000006</v>
      </c>
      <c r="G50" s="14">
        <f>-F50</f>
        <v>668543.31000000006</v>
      </c>
      <c r="H50" s="14"/>
      <c r="I50" s="14"/>
      <c r="J50" s="14">
        <f t="shared" si="36"/>
        <v>950370.91</v>
      </c>
      <c r="K50" s="14">
        <f t="shared" si="37"/>
        <v>0</v>
      </c>
      <c r="L50" s="14">
        <f t="shared" si="38"/>
        <v>0</v>
      </c>
      <c r="M50" s="15">
        <v>0.3</v>
      </c>
      <c r="N50" s="14">
        <f>(D50*M50)+((E50+F50+I50)*M50*1.5)+G50</f>
        <v>753091.59000000008</v>
      </c>
      <c r="O50" s="14">
        <f t="shared" si="39"/>
        <v>197279.31999999995</v>
      </c>
      <c r="Q50" s="10">
        <f t="shared" si="40"/>
        <v>89006.333399999989</v>
      </c>
      <c r="R50" s="10">
        <f t="shared" si="41"/>
        <v>876224.75459999999</v>
      </c>
      <c r="S50" s="10">
        <f t="shared" si="42"/>
        <v>664085.25660000008</v>
      </c>
    </row>
    <row r="51" spans="1:22" ht="14.25" hidden="1" customHeight="1">
      <c r="A51" s="8">
        <v>45</v>
      </c>
      <c r="B51" s="9" t="s">
        <v>23</v>
      </c>
      <c r="C51" s="10">
        <f t="shared" si="34"/>
        <v>25.849999999999998</v>
      </c>
      <c r="D51" s="11">
        <f t="shared" si="35"/>
        <v>25.849999999999998</v>
      </c>
      <c r="E51" s="11">
        <v>0</v>
      </c>
      <c r="F51" s="11"/>
      <c r="G51" s="11"/>
      <c r="H51" s="11"/>
      <c r="I51" s="11"/>
      <c r="J51" s="11">
        <f t="shared" si="36"/>
        <v>25.849999999999998</v>
      </c>
      <c r="K51" s="11">
        <f t="shared" si="37"/>
        <v>0</v>
      </c>
      <c r="L51" s="11">
        <f t="shared" si="38"/>
        <v>0</v>
      </c>
      <c r="M51" s="12">
        <v>0.45</v>
      </c>
      <c r="N51" s="11">
        <f>(D51*M51)+(L51*M51)</f>
        <v>11.632499999999999</v>
      </c>
      <c r="O51" s="11">
        <f t="shared" si="39"/>
        <v>14.217499999999999</v>
      </c>
      <c r="Q51" s="10">
        <f t="shared" si="40"/>
        <v>11.632499999999999</v>
      </c>
      <c r="R51" s="10">
        <f t="shared" si="41"/>
        <v>14.217499999999999</v>
      </c>
      <c r="S51" s="10">
        <f t="shared" si="42"/>
        <v>0</v>
      </c>
      <c r="T51" s="9" t="s">
        <v>24</v>
      </c>
    </row>
    <row r="52" spans="1:22" ht="14.25" hidden="1" customHeight="1">
      <c r="A52" s="13">
        <v>47</v>
      </c>
      <c r="B52" s="4" t="s">
        <v>25</v>
      </c>
      <c r="C52" s="10">
        <f t="shared" si="34"/>
        <v>27235719.966400001</v>
      </c>
      <c r="D52" s="14">
        <f t="shared" si="35"/>
        <v>26693284.32</v>
      </c>
      <c r="E52" s="14">
        <f>E112+E113+E114+E115+E116+E118+E121+E123+E124+E126-E166-E172</f>
        <v>5648147.7589999996</v>
      </c>
      <c r="F52" s="14"/>
      <c r="G52" s="14"/>
      <c r="H52" s="14"/>
      <c r="I52" s="14">
        <v>-36000</v>
      </c>
      <c r="J52" s="14">
        <f t="shared" si="36"/>
        <v>32305432.079</v>
      </c>
      <c r="K52" s="14">
        <f t="shared" si="37"/>
        <v>5612147.7589999996</v>
      </c>
      <c r="L52" s="14">
        <f t="shared" si="38"/>
        <v>2806073.8794999998</v>
      </c>
      <c r="M52" s="15">
        <v>0.08</v>
      </c>
      <c r="N52" s="14">
        <f>(D52*M52)+((E52+F52+I52)*M52*1.5)+G52</f>
        <v>2808920.4766799998</v>
      </c>
      <c r="O52" s="14">
        <f t="shared" si="39"/>
        <v>29496511.602320001</v>
      </c>
      <c r="Q52" s="10">
        <f t="shared" si="40"/>
        <v>2403343.5076720002</v>
      </c>
      <c r="R52" s="10">
        <f t="shared" si="41"/>
        <v>30444524.217728</v>
      </c>
      <c r="S52" s="10">
        <f t="shared" si="42"/>
        <v>405576.96900799964</v>
      </c>
    </row>
    <row r="53" spans="1:22" ht="14.25" hidden="1" customHeight="1">
      <c r="A53" s="13">
        <v>50</v>
      </c>
      <c r="B53" s="4" t="s">
        <v>26</v>
      </c>
      <c r="C53" s="10">
        <f t="shared" si="34"/>
        <v>340304.71750000003</v>
      </c>
      <c r="D53" s="14">
        <f t="shared" si="35"/>
        <v>120072.57499999995</v>
      </c>
      <c r="E53" s="14">
        <f>E130+E131</f>
        <v>177600.66</v>
      </c>
      <c r="F53" s="14"/>
      <c r="G53" s="14"/>
      <c r="H53" s="14"/>
      <c r="I53" s="14"/>
      <c r="J53" s="14">
        <f t="shared" si="36"/>
        <v>297673.23499999999</v>
      </c>
      <c r="K53" s="14">
        <f t="shared" si="37"/>
        <v>177600.66</v>
      </c>
      <c r="L53" s="14">
        <f t="shared" si="38"/>
        <v>88800.33</v>
      </c>
      <c r="M53" s="15">
        <v>0.55000000000000004</v>
      </c>
      <c r="N53" s="14">
        <f>(D53*M53)+((E53+F53+I53)*M53*1.5)+G53</f>
        <v>212560.46075</v>
      </c>
      <c r="O53" s="14">
        <f t="shared" si="39"/>
        <v>85112.774249999988</v>
      </c>
      <c r="Q53" s="10">
        <f t="shared" si="40"/>
        <v>236007.77612500003</v>
      </c>
      <c r="R53" s="10">
        <f t="shared" si="41"/>
        <v>281897.60137500003</v>
      </c>
      <c r="S53" s="10">
        <f t="shared" si="42"/>
        <v>-23447.315375000035</v>
      </c>
      <c r="T53" s="1" t="s">
        <v>27</v>
      </c>
      <c r="U53" s="11">
        <f>(S57*S59)/(1-S59)</f>
        <v>470069.29404152371</v>
      </c>
      <c r="V53" s="11"/>
    </row>
    <row r="54" spans="1:22" ht="14.25" hidden="1" customHeight="1">
      <c r="A54" s="8">
        <v>14.1</v>
      </c>
      <c r="C54" s="10">
        <f t="shared" si="34"/>
        <v>170499.64350000001</v>
      </c>
      <c r="D54" s="11">
        <f t="shared" si="35"/>
        <v>163396.35</v>
      </c>
      <c r="E54" s="11">
        <v>0</v>
      </c>
      <c r="F54" s="11"/>
      <c r="G54" s="11"/>
      <c r="H54" s="11"/>
      <c r="I54" s="11"/>
      <c r="J54" s="11">
        <f t="shared" si="36"/>
        <v>163396.35</v>
      </c>
      <c r="K54" s="11">
        <f t="shared" si="37"/>
        <v>0</v>
      </c>
      <c r="L54" s="11">
        <f t="shared" si="38"/>
        <v>0</v>
      </c>
      <c r="M54" s="12">
        <v>7.0000000000000007E-2</v>
      </c>
      <c r="N54" s="11">
        <f>(D54*M54)+(L54*M54)</f>
        <v>11437.744500000001</v>
      </c>
      <c r="O54" s="11">
        <f t="shared" si="39"/>
        <v>151958.60550000001</v>
      </c>
      <c r="Q54" s="10">
        <f t="shared" si="40"/>
        <v>11934.975045000001</v>
      </c>
      <c r="R54" s="10">
        <f t="shared" si="41"/>
        <v>158564.66845500001</v>
      </c>
      <c r="S54" s="10">
        <f t="shared" si="42"/>
        <v>-497.23054500000035</v>
      </c>
      <c r="T54" s="1" t="s">
        <v>28</v>
      </c>
      <c r="U54" s="11"/>
      <c r="V54" s="11">
        <f>-U53</f>
        <v>-470069.29404152371</v>
      </c>
    </row>
    <row r="55" spans="1:22" ht="14.25" hidden="1" customHeight="1">
      <c r="A55" s="13" t="s">
        <v>29</v>
      </c>
      <c r="B55" s="4" t="s">
        <v>30</v>
      </c>
      <c r="C55" s="10">
        <f t="shared" si="34"/>
        <v>270256.16200000001</v>
      </c>
      <c r="D55" s="14">
        <f t="shared" si="35"/>
        <v>263820.63</v>
      </c>
      <c r="E55" s="14">
        <f>E128</f>
        <v>43734.400000000001</v>
      </c>
      <c r="F55" s="14"/>
      <c r="G55" s="14"/>
      <c r="H55" s="14"/>
      <c r="I55" s="14"/>
      <c r="J55" s="14">
        <f t="shared" si="36"/>
        <v>307555.03000000003</v>
      </c>
      <c r="K55" s="14">
        <f t="shared" si="37"/>
        <v>43734.400000000001</v>
      </c>
      <c r="L55" s="14">
        <f t="shared" si="38"/>
        <v>21867.200000000001</v>
      </c>
      <c r="M55" s="15">
        <v>0.06</v>
      </c>
      <c r="N55" s="14">
        <f>(D55*M55)+((E55+F55+I55)*M55*1.5)+G55</f>
        <v>19765.3338</v>
      </c>
      <c r="O55" s="14">
        <f t="shared" si="39"/>
        <v>287789.69620000001</v>
      </c>
      <c r="Q55" s="10">
        <f t="shared" si="40"/>
        <v>17527.401720000002</v>
      </c>
      <c r="R55" s="10">
        <f t="shared" si="41"/>
        <v>296463.16028000001</v>
      </c>
      <c r="S55" s="10">
        <f t="shared" si="42"/>
        <v>2237.9320799999987</v>
      </c>
    </row>
    <row r="56" spans="1:22" ht="15" hidden="1" customHeight="1">
      <c r="A56" s="8">
        <v>95</v>
      </c>
      <c r="B56" s="9" t="s">
        <v>31</v>
      </c>
      <c r="C56" s="10">
        <f t="shared" si="34"/>
        <v>5121000</v>
      </c>
      <c r="D56" s="11">
        <f t="shared" si="35"/>
        <v>5121000</v>
      </c>
      <c r="E56" s="11">
        <v>0</v>
      </c>
      <c r="F56" s="11">
        <f>-D56+E164+105</f>
        <v>-1314000.3527999991</v>
      </c>
      <c r="J56" s="11">
        <f t="shared" si="36"/>
        <v>3806999.6472000009</v>
      </c>
      <c r="K56" s="11">
        <f t="shared" si="37"/>
        <v>-1314000.3527999991</v>
      </c>
      <c r="L56" s="11">
        <f t="shared" si="38"/>
        <v>-657000.17639999953</v>
      </c>
      <c r="M56" s="12">
        <v>0</v>
      </c>
      <c r="N56" s="11">
        <f>(D56*M56)+(L56*M56)</f>
        <v>0</v>
      </c>
      <c r="O56" s="11">
        <f t="shared" si="39"/>
        <v>3806999.6472000009</v>
      </c>
      <c r="Q56" s="10">
        <f t="shared" si="40"/>
        <v>0</v>
      </c>
      <c r="R56" s="10">
        <f t="shared" si="41"/>
        <v>3806999.6472000009</v>
      </c>
      <c r="S56" s="10">
        <f t="shared" si="42"/>
        <v>0</v>
      </c>
    </row>
    <row r="57" spans="1:22" ht="14.25" hidden="1" customHeight="1">
      <c r="A57" s="16"/>
      <c r="B57" s="16"/>
      <c r="C57" s="17">
        <f t="shared" ref="C57:L57" si="43">SUM(C48:C56)</f>
        <v>54256412.573400006</v>
      </c>
      <c r="D57" s="18">
        <f t="shared" si="43"/>
        <v>53384871.925000012</v>
      </c>
      <c r="E57" s="18">
        <f t="shared" si="43"/>
        <v>6890217.0990000004</v>
      </c>
      <c r="F57" s="18">
        <f t="shared" si="43"/>
        <v>-2234391.2427999992</v>
      </c>
      <c r="G57" s="18">
        <f t="shared" si="43"/>
        <v>920390.89</v>
      </c>
      <c r="H57" s="18">
        <f t="shared" si="43"/>
        <v>0</v>
      </c>
      <c r="I57" s="18">
        <f t="shared" si="43"/>
        <v>-36000</v>
      </c>
      <c r="J57" s="18">
        <f t="shared" si="43"/>
        <v>58925088.671200007</v>
      </c>
      <c r="K57" s="18">
        <f t="shared" si="43"/>
        <v>4619825.8562000003</v>
      </c>
      <c r="L57" s="18">
        <f t="shared" si="43"/>
        <v>2309912.9281000001</v>
      </c>
      <c r="M57" s="18"/>
      <c r="N57" s="18">
        <f>SUM(N48:N56)</f>
        <v>5106840.7072299998</v>
      </c>
      <c r="O57" s="18">
        <f>SUM(O48:O56)</f>
        <v>53818247.963970006</v>
      </c>
      <c r="Q57" s="17">
        <f>SUM(Q48:Q56)</f>
        <v>3803063.6086620004</v>
      </c>
      <c r="R57" s="17">
        <f>SUM(R48:R56)</f>
        <v>55993565.710937999</v>
      </c>
      <c r="S57" s="17">
        <f>SUM(S48:S56)</f>
        <v>1303777.0985679997</v>
      </c>
      <c r="T57" s="2"/>
      <c r="U57" s="2"/>
      <c r="V57" s="11"/>
    </row>
    <row r="58" spans="1:22" ht="14.25" hidden="1" customHeight="1">
      <c r="F58" s="22"/>
      <c r="K58" s="11"/>
      <c r="L58" s="11"/>
      <c r="M58" s="11"/>
      <c r="N58" s="19" t="s">
        <v>32</v>
      </c>
      <c r="O58" s="11"/>
    </row>
    <row r="59" spans="1:22" ht="15" hidden="1" customHeight="1">
      <c r="R59" s="9" t="s">
        <v>33</v>
      </c>
      <c r="S59" s="20">
        <f>S45</f>
        <v>0.26500000000000001</v>
      </c>
    </row>
    <row r="60" spans="1:22" ht="14.25" hidden="1" customHeight="1">
      <c r="A60" s="3" t="str">
        <f>F107</f>
        <v>2022</v>
      </c>
    </row>
    <row r="61" spans="1:22" ht="38.25" hidden="1" customHeight="1">
      <c r="A61" s="5" t="str">
        <f t="shared" ref="A61:O61" si="44">A33</f>
        <v>Class #</v>
      </c>
      <c r="B61" s="5" t="str">
        <f t="shared" si="44"/>
        <v>Description</v>
      </c>
      <c r="C61" s="7" t="str">
        <f t="shared" si="44"/>
        <v>Non-AUCC Beginning</v>
      </c>
      <c r="D61" s="5" t="str">
        <f t="shared" si="44"/>
        <v>Tax Return
UCC Beginning</v>
      </c>
      <c r="E61" s="5" t="str">
        <f t="shared" si="44"/>
        <v>Additions</v>
      </c>
      <c r="F61" s="5" t="str">
        <f t="shared" si="44"/>
        <v>Adjustments and transfers</v>
      </c>
      <c r="G61" s="5" t="str">
        <f t="shared" si="44"/>
        <v>Immediate Expensing</v>
      </c>
      <c r="H61" s="5" t="str">
        <f t="shared" si="44"/>
        <v>Disposals</v>
      </c>
      <c r="I61" s="5" t="str">
        <f t="shared" si="44"/>
        <v>Proceeds</v>
      </c>
      <c r="J61" s="5" t="str">
        <f t="shared" si="44"/>
        <v>Adjusted UCC</v>
      </c>
      <c r="K61" s="5" t="str">
        <f t="shared" si="44"/>
        <v>Net Capital Cost of Additions</v>
      </c>
      <c r="L61" s="5" t="str">
        <f t="shared" si="44"/>
        <v>UCC Adjustment (half year)</v>
      </c>
      <c r="M61" s="5" t="str">
        <f t="shared" si="44"/>
        <v>CCA Rate</v>
      </c>
      <c r="N61" s="5" t="str">
        <f t="shared" si="44"/>
        <v>AIIP CCA</v>
      </c>
      <c r="O61" s="5" t="str">
        <f t="shared" si="44"/>
        <v>UCC Ending</v>
      </c>
      <c r="Q61" s="7" t="str">
        <f>Q47</f>
        <v>Normal CCA</v>
      </c>
      <c r="R61" s="7" t="str">
        <f>R47</f>
        <v>Normal UCC Ending</v>
      </c>
      <c r="S61" s="7" t="str">
        <f>S47</f>
        <v>Difference</v>
      </c>
    </row>
    <row r="62" spans="1:22" ht="14.25" hidden="1" customHeight="1">
      <c r="A62" s="8">
        <v>1</v>
      </c>
      <c r="B62" s="9" t="s">
        <v>20</v>
      </c>
      <c r="C62" s="10">
        <f t="shared" ref="C62:C70" si="45">R48</f>
        <v>18775116.288000003</v>
      </c>
      <c r="D62" s="11">
        <f t="shared" ref="D62:D70" si="46">O48</f>
        <v>18775116.288000003</v>
      </c>
      <c r="E62" s="11">
        <v>0</v>
      </c>
      <c r="F62" s="11"/>
      <c r="G62" s="11"/>
      <c r="H62" s="11"/>
      <c r="I62" s="11"/>
      <c r="J62" s="11">
        <f t="shared" ref="J62:J69" si="47">SUM(D62:I62)</f>
        <v>18775116.288000003</v>
      </c>
      <c r="K62" s="11">
        <f t="shared" ref="K62:K70" si="48">E62+F62+I62</f>
        <v>0</v>
      </c>
      <c r="L62" s="11">
        <f t="shared" ref="L62:L70" si="49">K62*0.5</f>
        <v>0</v>
      </c>
      <c r="M62" s="12">
        <v>0.04</v>
      </c>
      <c r="N62" s="11">
        <f>(D62*M62)+(L62*M62)</f>
        <v>751004.65152000007</v>
      </c>
      <c r="O62" s="11">
        <f t="shared" ref="O62:O70" si="50">J62-N62</f>
        <v>18024111.636480004</v>
      </c>
      <c r="Q62" s="10">
        <f t="shared" ref="Q62:Q70" si="51">(C62*M62)+(L62*M62)</f>
        <v>751004.65152000007</v>
      </c>
      <c r="R62" s="10">
        <f t="shared" ref="R62:R69" si="52">C62+SUM(E62:I62)-Q62</f>
        <v>18024111.636480004</v>
      </c>
      <c r="S62" s="10">
        <f t="shared" ref="S62:S70" si="53">N62-Q62</f>
        <v>0</v>
      </c>
    </row>
    <row r="63" spans="1:22" ht="14.25" hidden="1" customHeight="1">
      <c r="A63" s="13">
        <v>8</v>
      </c>
      <c r="B63" s="4" t="s">
        <v>21</v>
      </c>
      <c r="C63" s="10">
        <f t="shared" si="45"/>
        <v>1353761.1557999998</v>
      </c>
      <c r="D63" s="14">
        <f t="shared" si="46"/>
        <v>1017465.813</v>
      </c>
      <c r="E63" s="14">
        <f>F129+F134+F135+F136</f>
        <v>351079.08</v>
      </c>
      <c r="F63" s="14">
        <f>-E63</f>
        <v>-351079.08</v>
      </c>
      <c r="G63" s="14">
        <f>-F63</f>
        <v>351079.08</v>
      </c>
      <c r="H63" s="14"/>
      <c r="I63" s="14"/>
      <c r="J63" s="14">
        <f t="shared" si="47"/>
        <v>1368544.8929999999</v>
      </c>
      <c r="K63" s="14">
        <f t="shared" si="48"/>
        <v>0</v>
      </c>
      <c r="L63" s="14">
        <f t="shared" si="49"/>
        <v>0</v>
      </c>
      <c r="M63" s="15">
        <v>0.2</v>
      </c>
      <c r="N63" s="14">
        <f>(D63*M63)+((E63+F63+I63)*M63*1.5)+G63</f>
        <v>554572.2426</v>
      </c>
      <c r="O63" s="14">
        <f t="shared" si="50"/>
        <v>813972.65039999993</v>
      </c>
      <c r="Q63" s="10">
        <f t="shared" si="51"/>
        <v>270752.23115999997</v>
      </c>
      <c r="R63" s="10">
        <f t="shared" si="52"/>
        <v>1434088.0046399999</v>
      </c>
      <c r="S63" s="10">
        <f t="shared" si="53"/>
        <v>283820.01144000003</v>
      </c>
    </row>
    <row r="64" spans="1:22" ht="14.25" hidden="1" customHeight="1">
      <c r="A64" s="13">
        <v>10</v>
      </c>
      <c r="B64" s="4" t="s">
        <v>22</v>
      </c>
      <c r="C64" s="10">
        <f t="shared" si="45"/>
        <v>876224.75459999999</v>
      </c>
      <c r="D64" s="14">
        <f t="shared" si="46"/>
        <v>197279.31999999995</v>
      </c>
      <c r="E64" s="14">
        <f>F132+F133</f>
        <v>48944.959999999999</v>
      </c>
      <c r="F64" s="14">
        <f>-F132</f>
        <v>-48944.959999999999</v>
      </c>
      <c r="G64" s="14">
        <f>-F64</f>
        <v>48944.959999999999</v>
      </c>
      <c r="H64" s="14"/>
      <c r="I64" s="14"/>
      <c r="J64" s="14">
        <f t="shared" si="47"/>
        <v>246224.27999999994</v>
      </c>
      <c r="K64" s="14">
        <f t="shared" si="48"/>
        <v>0</v>
      </c>
      <c r="L64" s="14">
        <f t="shared" si="49"/>
        <v>0</v>
      </c>
      <c r="M64" s="15">
        <v>0.3</v>
      </c>
      <c r="N64" s="14">
        <f>(D64*M64)+((E64+F64+I64)*M64*1.5)+G64</f>
        <v>108128.75599999998</v>
      </c>
      <c r="O64" s="14">
        <f t="shared" si="50"/>
        <v>138095.52399999998</v>
      </c>
      <c r="Q64" s="10">
        <f t="shared" si="51"/>
        <v>262867.42637999996</v>
      </c>
      <c r="R64" s="10">
        <f t="shared" si="52"/>
        <v>662302.28821999999</v>
      </c>
      <c r="S64" s="10">
        <f t="shared" si="53"/>
        <v>-154738.67037999997</v>
      </c>
    </row>
    <row r="65" spans="1:22" ht="14.25" hidden="1" customHeight="1">
      <c r="A65" s="8">
        <v>45</v>
      </c>
      <c r="B65" s="9" t="s">
        <v>23</v>
      </c>
      <c r="C65" s="10">
        <f t="shared" si="45"/>
        <v>14.217499999999999</v>
      </c>
      <c r="D65" s="11">
        <f t="shared" si="46"/>
        <v>14.217499999999999</v>
      </c>
      <c r="E65" s="11">
        <v>0</v>
      </c>
      <c r="F65" s="11"/>
      <c r="G65" s="11"/>
      <c r="H65" s="11"/>
      <c r="I65" s="11"/>
      <c r="J65" s="11">
        <f t="shared" si="47"/>
        <v>14.217499999999999</v>
      </c>
      <c r="K65" s="11">
        <f t="shared" si="48"/>
        <v>0</v>
      </c>
      <c r="L65" s="11">
        <f t="shared" si="49"/>
        <v>0</v>
      </c>
      <c r="M65" s="12">
        <v>0.45</v>
      </c>
      <c r="N65" s="11">
        <f>(D65*M65)+(L65*M65)</f>
        <v>6.397875</v>
      </c>
      <c r="O65" s="11">
        <f t="shared" si="50"/>
        <v>7.8196249999999994</v>
      </c>
      <c r="Q65" s="10">
        <f t="shared" si="51"/>
        <v>6.397875</v>
      </c>
      <c r="R65" s="10">
        <f t="shared" si="52"/>
        <v>7.8196249999999994</v>
      </c>
      <c r="S65" s="10">
        <f t="shared" si="53"/>
        <v>0</v>
      </c>
      <c r="T65" s="9" t="s">
        <v>24</v>
      </c>
    </row>
    <row r="66" spans="1:22" ht="14.25" hidden="1" customHeight="1">
      <c r="A66" s="13">
        <v>47</v>
      </c>
      <c r="B66" s="4" t="s">
        <v>25</v>
      </c>
      <c r="C66" s="10">
        <f t="shared" si="45"/>
        <v>30444524.217728</v>
      </c>
      <c r="D66" s="14">
        <f t="shared" si="46"/>
        <v>29496511.602320001</v>
      </c>
      <c r="E66" s="14">
        <f>SUM(F111:F127)-F166-F172</f>
        <v>3426314.0790000036</v>
      </c>
      <c r="F66" s="14"/>
      <c r="G66" s="14"/>
      <c r="H66" s="14"/>
      <c r="I66" s="14">
        <v>-134000</v>
      </c>
      <c r="J66" s="14">
        <f t="shared" si="47"/>
        <v>32788825.681320004</v>
      </c>
      <c r="K66" s="14">
        <f t="shared" si="48"/>
        <v>3292314.0790000036</v>
      </c>
      <c r="L66" s="14">
        <f t="shared" si="49"/>
        <v>1646157.0395000018</v>
      </c>
      <c r="M66" s="15">
        <v>0.08</v>
      </c>
      <c r="N66" s="14">
        <f>(D66*M66)+((E66+F66+I66)*M66*1.5)+G66</f>
        <v>2754798.617665601</v>
      </c>
      <c r="O66" s="14">
        <f t="shared" si="50"/>
        <v>30034027.063654404</v>
      </c>
      <c r="Q66" s="10">
        <f t="shared" si="51"/>
        <v>2567254.5005782405</v>
      </c>
      <c r="R66" s="10">
        <f t="shared" si="52"/>
        <v>31169583.79614976</v>
      </c>
      <c r="S66" s="10">
        <f t="shared" si="53"/>
        <v>187544.11708736047</v>
      </c>
    </row>
    <row r="67" spans="1:22" ht="14.25" hidden="1" customHeight="1">
      <c r="A67" s="13">
        <v>50</v>
      </c>
      <c r="B67" s="4" t="s">
        <v>26</v>
      </c>
      <c r="C67" s="10">
        <f t="shared" si="45"/>
        <v>281897.60137500003</v>
      </c>
      <c r="D67" s="14">
        <f t="shared" si="46"/>
        <v>85112.774249999988</v>
      </c>
      <c r="E67" s="14">
        <f>F130+F131</f>
        <v>405768.04</v>
      </c>
      <c r="F67" s="14">
        <f>-E67</f>
        <v>-405768.04</v>
      </c>
      <c r="G67" s="14">
        <f>-F67</f>
        <v>405768.04</v>
      </c>
      <c r="H67" s="14"/>
      <c r="I67" s="14"/>
      <c r="J67" s="14">
        <f t="shared" si="47"/>
        <v>490880.81424999994</v>
      </c>
      <c r="K67" s="14">
        <f t="shared" si="48"/>
        <v>0</v>
      </c>
      <c r="L67" s="14">
        <f t="shared" si="49"/>
        <v>0</v>
      </c>
      <c r="M67" s="15">
        <v>0.55000000000000004</v>
      </c>
      <c r="N67" s="14">
        <f>(D67*M67)+((E67+F67+I67)*M67*1.5)+G67</f>
        <v>452580.06583749998</v>
      </c>
      <c r="O67" s="14">
        <f t="shared" si="50"/>
        <v>38300.748412499961</v>
      </c>
      <c r="Q67" s="10">
        <f t="shared" si="51"/>
        <v>155043.68075625002</v>
      </c>
      <c r="R67" s="10">
        <f t="shared" si="52"/>
        <v>532621.96061874996</v>
      </c>
      <c r="S67" s="10">
        <f t="shared" si="53"/>
        <v>297536.38508124999</v>
      </c>
      <c r="T67" s="1" t="s">
        <v>27</v>
      </c>
      <c r="U67" s="11">
        <f>(S71*S73)/(1-S73)</f>
        <v>224190.11644747554</v>
      </c>
      <c r="V67" s="11"/>
    </row>
    <row r="68" spans="1:22" ht="14.25" hidden="1" customHeight="1">
      <c r="A68" s="8">
        <v>14.1</v>
      </c>
      <c r="C68" s="10">
        <f t="shared" si="45"/>
        <v>158564.66845500001</v>
      </c>
      <c r="D68" s="11">
        <f t="shared" si="46"/>
        <v>151958.60550000001</v>
      </c>
      <c r="E68" s="11">
        <v>0</v>
      </c>
      <c r="F68" s="11"/>
      <c r="G68" s="11"/>
      <c r="H68" s="11"/>
      <c r="I68" s="11"/>
      <c r="J68" s="11">
        <f t="shared" si="47"/>
        <v>151958.60550000001</v>
      </c>
      <c r="K68" s="11">
        <f t="shared" si="48"/>
        <v>0</v>
      </c>
      <c r="L68" s="11">
        <f t="shared" si="49"/>
        <v>0</v>
      </c>
      <c r="M68" s="12">
        <v>7.0000000000000007E-2</v>
      </c>
      <c r="N68" s="11">
        <f>(D68*M68)+(L68*M68)</f>
        <v>10637.102385000002</v>
      </c>
      <c r="O68" s="11">
        <f t="shared" si="50"/>
        <v>141321.503115</v>
      </c>
      <c r="Q68" s="10">
        <f t="shared" si="51"/>
        <v>11099.526791850001</v>
      </c>
      <c r="R68" s="10">
        <f t="shared" si="52"/>
        <v>147465.14166315002</v>
      </c>
      <c r="S68" s="10">
        <f t="shared" si="53"/>
        <v>-462.42440684999929</v>
      </c>
      <c r="T68" s="1" t="s">
        <v>28</v>
      </c>
      <c r="U68" s="11"/>
      <c r="V68" s="11">
        <f>-U67</f>
        <v>-224190.11644747554</v>
      </c>
    </row>
    <row r="69" spans="1:22" ht="14.25" hidden="1" customHeight="1">
      <c r="A69" s="13" t="s">
        <v>29</v>
      </c>
      <c r="B69" s="4" t="s">
        <v>30</v>
      </c>
      <c r="C69" s="10">
        <f t="shared" si="45"/>
        <v>296463.16028000001</v>
      </c>
      <c r="D69" s="14">
        <f t="shared" si="46"/>
        <v>287789.69620000001</v>
      </c>
      <c r="E69" s="14">
        <f>F128</f>
        <v>143855.20000000001</v>
      </c>
      <c r="F69" s="14"/>
      <c r="G69" s="14"/>
      <c r="H69" s="14"/>
      <c r="I69" s="14"/>
      <c r="J69" s="14">
        <f t="shared" si="47"/>
        <v>431644.89620000002</v>
      </c>
      <c r="K69" s="14">
        <f t="shared" si="48"/>
        <v>143855.20000000001</v>
      </c>
      <c r="L69" s="14">
        <f t="shared" si="49"/>
        <v>71927.600000000006</v>
      </c>
      <c r="M69" s="15">
        <v>0.06</v>
      </c>
      <c r="N69" s="14">
        <f>(D69*M69)+((E69+F69+I69)*M69*1.5)+G69</f>
        <v>30214.349772000001</v>
      </c>
      <c r="O69" s="14">
        <f t="shared" si="50"/>
        <v>401430.54642800003</v>
      </c>
      <c r="Q69" s="10">
        <f t="shared" si="51"/>
        <v>22103.4456168</v>
      </c>
      <c r="R69" s="10">
        <f t="shared" si="52"/>
        <v>418214.91466320003</v>
      </c>
      <c r="S69" s="10">
        <f t="shared" si="53"/>
        <v>8110.9041552000017</v>
      </c>
      <c r="V69" s="11"/>
    </row>
    <row r="70" spans="1:22" ht="15" hidden="1" customHeight="1">
      <c r="A70" s="8">
        <v>95</v>
      </c>
      <c r="B70" s="1" t="s">
        <v>31</v>
      </c>
      <c r="C70" s="10">
        <f t="shared" si="45"/>
        <v>3806999.6472000009</v>
      </c>
      <c r="D70" s="11">
        <f t="shared" si="46"/>
        <v>3806999.6472000009</v>
      </c>
      <c r="E70" s="11">
        <v>0</v>
      </c>
      <c r="F70" s="11">
        <f>F164-E164</f>
        <v>2201415.5099999993</v>
      </c>
      <c r="J70" s="11">
        <f>F164</f>
        <v>6008310.1572000002</v>
      </c>
      <c r="K70" s="11">
        <f t="shared" si="48"/>
        <v>2201415.5099999993</v>
      </c>
      <c r="L70" s="11">
        <f t="shared" si="49"/>
        <v>1100707.7549999997</v>
      </c>
      <c r="M70" s="12">
        <v>0</v>
      </c>
      <c r="N70" s="11">
        <f>(D70*M70)+(L70*M70)</f>
        <v>0</v>
      </c>
      <c r="O70" s="11">
        <f t="shared" si="50"/>
        <v>6008310.1572000002</v>
      </c>
      <c r="Q70" s="10">
        <f t="shared" si="51"/>
        <v>0</v>
      </c>
      <c r="R70" s="10">
        <f>O70</f>
        <v>6008310.1572000002</v>
      </c>
      <c r="S70" s="10">
        <f t="shared" si="53"/>
        <v>0</v>
      </c>
      <c r="V70" s="11"/>
    </row>
    <row r="71" spans="1:22" ht="14.25" hidden="1" customHeight="1">
      <c r="A71" s="16"/>
      <c r="B71" s="16"/>
      <c r="C71" s="17">
        <f t="shared" ref="C71:L71" si="54">SUM(C62:C70)</f>
        <v>55993565.710937999</v>
      </c>
      <c r="D71" s="18">
        <f t="shared" si="54"/>
        <v>53818247.963970006</v>
      </c>
      <c r="E71" s="18">
        <f t="shared" si="54"/>
        <v>4375961.3590000039</v>
      </c>
      <c r="F71" s="18">
        <f t="shared" si="54"/>
        <v>1395623.4299999992</v>
      </c>
      <c r="G71" s="18">
        <f t="shared" si="54"/>
        <v>805792.08000000007</v>
      </c>
      <c r="H71" s="18">
        <f t="shared" si="54"/>
        <v>0</v>
      </c>
      <c r="I71" s="18">
        <f t="shared" si="54"/>
        <v>-134000</v>
      </c>
      <c r="J71" s="18">
        <f t="shared" si="54"/>
        <v>60261519.832970008</v>
      </c>
      <c r="K71" s="18">
        <f t="shared" si="54"/>
        <v>5637584.7890000027</v>
      </c>
      <c r="L71" s="18">
        <f t="shared" si="54"/>
        <v>2818792.3945000013</v>
      </c>
      <c r="M71" s="18"/>
      <c r="N71" s="18">
        <f>SUM(N62:N70)</f>
        <v>4661942.1836551009</v>
      </c>
      <c r="O71" s="18">
        <f>SUM(O62:O70)</f>
        <v>55599577.64931491</v>
      </c>
      <c r="Q71" s="17">
        <f>SUM(Q62:Q70)</f>
        <v>4040131.8606781401</v>
      </c>
      <c r="R71" s="17">
        <f>SUM(R62:R70)</f>
        <v>58396705.719259866</v>
      </c>
      <c r="S71" s="17">
        <f>SUM(S62:S70)</f>
        <v>621810.32297696045</v>
      </c>
      <c r="T71" s="29" t="s">
        <v>39</v>
      </c>
      <c r="U71" s="29"/>
      <c r="V71" s="30">
        <f>SUM(V6:V70)</f>
        <v>-1008488.3533532849</v>
      </c>
    </row>
    <row r="72" spans="1:22" ht="15" hidden="1" customHeight="1">
      <c r="A72" s="21"/>
      <c r="F72" s="22"/>
      <c r="N72" s="19" t="s">
        <v>32</v>
      </c>
      <c r="V72" s="11"/>
    </row>
    <row r="73" spans="1:22" ht="15" hidden="1" customHeight="1">
      <c r="R73" s="9" t="s">
        <v>33</v>
      </c>
      <c r="S73" s="20">
        <f>S59</f>
        <v>0.26500000000000001</v>
      </c>
      <c r="V73" s="11"/>
    </row>
    <row r="74" spans="1:22" ht="15" customHeight="1">
      <c r="A74" s="3" t="str">
        <f>G107</f>
        <v>2023</v>
      </c>
    </row>
    <row r="75" spans="1:22" ht="38.25" customHeight="1">
      <c r="A75" s="5" t="str">
        <f t="shared" ref="A75:O75" si="55">A33</f>
        <v>Class #</v>
      </c>
      <c r="B75" s="5" t="str">
        <f t="shared" si="55"/>
        <v>Description</v>
      </c>
      <c r="C75" s="7" t="str">
        <f t="shared" si="55"/>
        <v>Non-AUCC Beginning</v>
      </c>
      <c r="D75" s="5" t="str">
        <f t="shared" si="55"/>
        <v>Tax Return
UCC Beginning</v>
      </c>
      <c r="E75" s="5" t="str">
        <f t="shared" si="55"/>
        <v>Additions</v>
      </c>
      <c r="F75" s="5" t="str">
        <f t="shared" si="55"/>
        <v>Adjustments and transfers</v>
      </c>
      <c r="G75" s="5" t="str">
        <f t="shared" si="55"/>
        <v>Immediate Expensing</v>
      </c>
      <c r="H75" s="5" t="str">
        <f t="shared" si="55"/>
        <v>Disposals</v>
      </c>
      <c r="I75" s="5" t="str">
        <f t="shared" si="55"/>
        <v>Proceeds</v>
      </c>
      <c r="J75" s="5" t="str">
        <f t="shared" si="55"/>
        <v>Adjusted UCC</v>
      </c>
      <c r="K75" s="5" t="str">
        <f t="shared" si="55"/>
        <v>Net Capital Cost of Additions</v>
      </c>
      <c r="L75" s="5" t="str">
        <f t="shared" si="55"/>
        <v>UCC Adjustment (half year)</v>
      </c>
      <c r="M75" s="5" t="str">
        <f t="shared" si="55"/>
        <v>CCA Rate</v>
      </c>
      <c r="N75" s="5" t="str">
        <f t="shared" si="55"/>
        <v>AIIP CCA</v>
      </c>
      <c r="O75" s="5" t="str">
        <f t="shared" si="55"/>
        <v>UCC Ending</v>
      </c>
      <c r="Q75" s="7" t="str">
        <f>Q61</f>
        <v>Normal CCA</v>
      </c>
      <c r="R75" s="7" t="str">
        <f>R61</f>
        <v>Normal UCC Ending</v>
      </c>
      <c r="S75" s="7" t="str">
        <f>S61</f>
        <v>Difference</v>
      </c>
    </row>
    <row r="76" spans="1:22" ht="14.25" customHeight="1">
      <c r="A76" s="8">
        <v>1</v>
      </c>
      <c r="B76" s="9" t="s">
        <v>20</v>
      </c>
      <c r="C76" s="10">
        <f t="shared" ref="C76:C84" si="56">R62</f>
        <v>18024111.636480004</v>
      </c>
      <c r="D76" s="11">
        <f t="shared" ref="D76:D84" si="57">O62</f>
        <v>18024111.636480004</v>
      </c>
      <c r="E76" s="11">
        <v>0</v>
      </c>
      <c r="F76" s="11"/>
      <c r="G76" s="11"/>
      <c r="H76" s="11"/>
      <c r="I76" s="11"/>
      <c r="J76" s="11">
        <f t="shared" ref="J76:J84" si="58">SUM(D76:I76)</f>
        <v>18024111.636480004</v>
      </c>
      <c r="K76" s="11">
        <f t="shared" ref="K76:K84" si="59">E76+F76+I76</f>
        <v>0</v>
      </c>
      <c r="L76" s="11">
        <f t="shared" ref="L76:L84" si="60">K76*0.5</f>
        <v>0</v>
      </c>
      <c r="M76" s="12">
        <v>0.04</v>
      </c>
      <c r="N76" s="11">
        <f>(D76*M76)+(L76*M76)</f>
        <v>720964.4654592002</v>
      </c>
      <c r="O76" s="11">
        <f t="shared" ref="O76:O84" si="61">J76-N76</f>
        <v>17303147.171020802</v>
      </c>
      <c r="Q76" s="10">
        <f t="shared" ref="Q76:Q84" si="62">(C76*M76)+(L76*M76)</f>
        <v>720964.4654592002</v>
      </c>
      <c r="R76" s="10">
        <f t="shared" ref="R76:R84" si="63">C76+SUM(E76:I76)-Q76</f>
        <v>17303147.171020802</v>
      </c>
      <c r="S76" s="10">
        <f t="shared" ref="S76:S84" si="64">N76-Q76</f>
        <v>0</v>
      </c>
    </row>
    <row r="77" spans="1:22" ht="14.25" customHeight="1">
      <c r="A77" s="13">
        <v>8</v>
      </c>
      <c r="B77" s="4" t="s">
        <v>21</v>
      </c>
      <c r="C77" s="10">
        <f t="shared" si="56"/>
        <v>1434088.0046399999</v>
      </c>
      <c r="D77" s="14">
        <f t="shared" si="57"/>
        <v>813972.65039999993</v>
      </c>
      <c r="E77" s="14">
        <v>78750</v>
      </c>
      <c r="F77" s="14"/>
      <c r="G77" s="14"/>
      <c r="H77" s="14"/>
      <c r="I77" s="14"/>
      <c r="J77" s="14">
        <f t="shared" si="58"/>
        <v>892722.65039999993</v>
      </c>
      <c r="K77" s="14">
        <f t="shared" si="59"/>
        <v>78750</v>
      </c>
      <c r="L77" s="14">
        <f t="shared" si="60"/>
        <v>39375</v>
      </c>
      <c r="M77" s="15">
        <v>0.2</v>
      </c>
      <c r="N77" s="14">
        <f>(D77*M77)+((E77+F77+I77)*M77*1.5)+G77</f>
        <v>186419.53008</v>
      </c>
      <c r="O77" s="14">
        <f t="shared" si="61"/>
        <v>706303.12031999999</v>
      </c>
      <c r="Q77" s="10">
        <f t="shared" si="62"/>
        <v>294692.600928</v>
      </c>
      <c r="R77" s="10">
        <f t="shared" si="63"/>
        <v>1218145.403712</v>
      </c>
      <c r="S77" s="10">
        <f t="shared" si="64"/>
        <v>-108273.070848</v>
      </c>
    </row>
    <row r="78" spans="1:22" ht="14.25" customHeight="1">
      <c r="A78" s="13">
        <v>10</v>
      </c>
      <c r="B78" s="4" t="s">
        <v>22</v>
      </c>
      <c r="C78" s="10">
        <f t="shared" si="56"/>
        <v>662302.28821999999</v>
      </c>
      <c r="D78" s="14">
        <f t="shared" si="57"/>
        <v>138095.52399999998</v>
      </c>
      <c r="E78" s="14">
        <f>G132+G133</f>
        <v>475690.20999999973</v>
      </c>
      <c r="F78" s="14"/>
      <c r="G78" s="14"/>
      <c r="H78" s="14"/>
      <c r="I78" s="14"/>
      <c r="J78" s="14">
        <f t="shared" si="58"/>
        <v>613785.73399999971</v>
      </c>
      <c r="K78" s="14">
        <f t="shared" si="59"/>
        <v>475690.20999999973</v>
      </c>
      <c r="L78" s="14">
        <f t="shared" si="60"/>
        <v>237845.10499999986</v>
      </c>
      <c r="M78" s="15">
        <v>0.3</v>
      </c>
      <c r="N78" s="14">
        <f>(D78*M78)+((E78+F78+I78)*M78*1.5)+G78</f>
        <v>255489.25169999985</v>
      </c>
      <c r="O78" s="14">
        <f t="shared" si="61"/>
        <v>358296.48229999986</v>
      </c>
      <c r="Q78" s="10">
        <f t="shared" si="62"/>
        <v>270044.21796599997</v>
      </c>
      <c r="R78" s="10">
        <f t="shared" si="63"/>
        <v>867948.28025399975</v>
      </c>
      <c r="S78" s="10">
        <f t="shared" si="64"/>
        <v>-14554.96626600012</v>
      </c>
    </row>
    <row r="79" spans="1:22" ht="14.25" customHeight="1">
      <c r="A79" s="8">
        <v>45</v>
      </c>
      <c r="B79" s="9" t="s">
        <v>23</v>
      </c>
      <c r="C79" s="10">
        <f t="shared" si="56"/>
        <v>7.8196249999999994</v>
      </c>
      <c r="D79" s="11">
        <f t="shared" si="57"/>
        <v>7.8196249999999994</v>
      </c>
      <c r="E79" s="11">
        <v>0</v>
      </c>
      <c r="F79" s="11"/>
      <c r="G79" s="11"/>
      <c r="H79" s="11"/>
      <c r="I79" s="11"/>
      <c r="J79" s="11">
        <f t="shared" si="58"/>
        <v>7.8196249999999994</v>
      </c>
      <c r="K79" s="11">
        <f t="shared" si="59"/>
        <v>0</v>
      </c>
      <c r="L79" s="11">
        <f t="shared" si="60"/>
        <v>0</v>
      </c>
      <c r="M79" s="12">
        <v>0.45</v>
      </c>
      <c r="N79" s="11">
        <f>(D79*M79)+(L79*M79)</f>
        <v>3.5188312499999999</v>
      </c>
      <c r="O79" s="11">
        <f t="shared" si="61"/>
        <v>4.3007937499999995</v>
      </c>
      <c r="Q79" s="10">
        <f t="shared" si="62"/>
        <v>3.5188312499999999</v>
      </c>
      <c r="R79" s="10">
        <f t="shared" si="63"/>
        <v>4.3007937499999995</v>
      </c>
      <c r="S79" s="10">
        <f t="shared" si="64"/>
        <v>0</v>
      </c>
      <c r="T79" s="9" t="s">
        <v>24</v>
      </c>
    </row>
    <row r="80" spans="1:22" ht="14.25" customHeight="1">
      <c r="A80" s="13">
        <v>47</v>
      </c>
      <c r="B80" s="4" t="s">
        <v>25</v>
      </c>
      <c r="C80" s="10">
        <f t="shared" si="56"/>
        <v>31169583.79614976</v>
      </c>
      <c r="D80" s="14">
        <f t="shared" si="57"/>
        <v>30034027.063654404</v>
      </c>
      <c r="E80" s="14">
        <v>7967969</v>
      </c>
      <c r="F80" s="14"/>
      <c r="G80" s="14"/>
      <c r="H80" s="14"/>
      <c r="I80" s="14"/>
      <c r="J80" s="14">
        <f t="shared" si="58"/>
        <v>38001996.063654408</v>
      </c>
      <c r="K80" s="14">
        <f t="shared" si="59"/>
        <v>7967969</v>
      </c>
      <c r="L80" s="14">
        <f t="shared" si="60"/>
        <v>3983984.5</v>
      </c>
      <c r="M80" s="15">
        <v>0.08</v>
      </c>
      <c r="N80" s="14">
        <f>(D80*M80)+((E80+F80+I80)*M80*1.5)+G80</f>
        <v>3358878.4450923521</v>
      </c>
      <c r="O80" s="14">
        <f t="shared" si="61"/>
        <v>34643117.618562058</v>
      </c>
      <c r="Q80" s="10">
        <f t="shared" si="62"/>
        <v>2812285.4636919806</v>
      </c>
      <c r="R80" s="10">
        <f t="shared" si="63"/>
        <v>36325267.332457781</v>
      </c>
      <c r="S80" s="10">
        <f t="shared" si="64"/>
        <v>546592.98140037153</v>
      </c>
    </row>
    <row r="81" spans="1:22" ht="14.25" customHeight="1">
      <c r="A81" s="13">
        <v>50</v>
      </c>
      <c r="B81" s="4" t="s">
        <v>26</v>
      </c>
      <c r="C81" s="10">
        <f t="shared" si="56"/>
        <v>532621.96061874996</v>
      </c>
      <c r="D81" s="14">
        <f t="shared" si="57"/>
        <v>38300.748412499961</v>
      </c>
      <c r="E81" s="14">
        <v>516300</v>
      </c>
      <c r="F81" s="14"/>
      <c r="G81" s="14"/>
      <c r="H81" s="14"/>
      <c r="I81" s="14"/>
      <c r="J81" s="14">
        <f t="shared" si="58"/>
        <v>554600.7484124999</v>
      </c>
      <c r="K81" s="14">
        <f t="shared" si="59"/>
        <v>516300</v>
      </c>
      <c r="L81" s="14">
        <f t="shared" si="60"/>
        <v>258150</v>
      </c>
      <c r="M81" s="15">
        <v>0.55000000000000004</v>
      </c>
      <c r="N81" s="14">
        <f>(D81*M81)+((E81+F81+I81)*M81*1.5)+G81</f>
        <v>447012.91162687499</v>
      </c>
      <c r="O81" s="14">
        <f t="shared" si="61"/>
        <v>107587.83678562491</v>
      </c>
      <c r="Q81" s="10">
        <f t="shared" si="62"/>
        <v>434924.57834031252</v>
      </c>
      <c r="R81" s="10">
        <f t="shared" si="63"/>
        <v>613997.38227843749</v>
      </c>
      <c r="S81" s="10">
        <f t="shared" si="64"/>
        <v>12088.333286562469</v>
      </c>
      <c r="T81" s="9" t="s">
        <v>27</v>
      </c>
      <c r="U81" s="11">
        <f>(S85*S87)/(1-S87)</f>
        <v>158248.68381880221</v>
      </c>
      <c r="V81" s="11"/>
    </row>
    <row r="82" spans="1:22" ht="14.25" customHeight="1">
      <c r="A82" s="8">
        <v>14.1</v>
      </c>
      <c r="C82" s="10">
        <f t="shared" si="56"/>
        <v>147465.14166315002</v>
      </c>
      <c r="D82" s="11">
        <f t="shared" si="57"/>
        <v>141321.503115</v>
      </c>
      <c r="E82" s="11">
        <v>0</v>
      </c>
      <c r="F82" s="11"/>
      <c r="G82" s="11"/>
      <c r="H82" s="11"/>
      <c r="I82" s="11"/>
      <c r="J82" s="11">
        <f t="shared" si="58"/>
        <v>141321.503115</v>
      </c>
      <c r="K82" s="11">
        <f t="shared" si="59"/>
        <v>0</v>
      </c>
      <c r="L82" s="11">
        <f t="shared" si="60"/>
        <v>0</v>
      </c>
      <c r="M82" s="12">
        <v>7.0000000000000007E-2</v>
      </c>
      <c r="N82" s="11">
        <f>(D82*M82)+(L82*M82)</f>
        <v>9892.5052180500006</v>
      </c>
      <c r="O82" s="11">
        <f t="shared" si="61"/>
        <v>131428.99789694999</v>
      </c>
      <c r="Q82" s="10">
        <f t="shared" si="62"/>
        <v>10322.559916420501</v>
      </c>
      <c r="R82" s="10">
        <f t="shared" si="63"/>
        <v>137142.58174672953</v>
      </c>
      <c r="S82" s="10">
        <f t="shared" si="64"/>
        <v>-430.05469837050077</v>
      </c>
      <c r="T82" s="9" t="s">
        <v>28</v>
      </c>
      <c r="U82" s="11"/>
      <c r="V82" s="11">
        <f>-U81</f>
        <v>-158248.68381880221</v>
      </c>
    </row>
    <row r="83" spans="1:22" ht="14.25" customHeight="1">
      <c r="A83" s="13" t="s">
        <v>29</v>
      </c>
      <c r="B83" s="4" t="s">
        <v>30</v>
      </c>
      <c r="C83" s="10">
        <f t="shared" si="56"/>
        <v>418214.91466320003</v>
      </c>
      <c r="D83" s="14">
        <f t="shared" si="57"/>
        <v>401430.54642800003</v>
      </c>
      <c r="E83" s="14">
        <f>G128</f>
        <v>75000</v>
      </c>
      <c r="F83" s="14"/>
      <c r="G83" s="14"/>
      <c r="H83" s="14"/>
      <c r="I83" s="14"/>
      <c r="J83" s="14">
        <f t="shared" si="58"/>
        <v>476430.54642800003</v>
      </c>
      <c r="K83" s="14">
        <f t="shared" si="59"/>
        <v>75000</v>
      </c>
      <c r="L83" s="14">
        <f t="shared" si="60"/>
        <v>37500</v>
      </c>
      <c r="M83" s="15">
        <v>0.06</v>
      </c>
      <c r="N83" s="14">
        <f>(D83*M83)+((E83+F83+I83)*M83*1.5)+G83</f>
        <v>30835.832785680002</v>
      </c>
      <c r="O83" s="14">
        <f t="shared" si="61"/>
        <v>445594.71364232001</v>
      </c>
      <c r="Q83" s="10">
        <f t="shared" si="62"/>
        <v>27342.894879792002</v>
      </c>
      <c r="R83" s="10">
        <f t="shared" si="63"/>
        <v>465872.01978340803</v>
      </c>
      <c r="S83" s="10">
        <f t="shared" si="64"/>
        <v>3492.9379058880004</v>
      </c>
    </row>
    <row r="84" spans="1:22" ht="15" customHeight="1">
      <c r="A84" s="8">
        <v>95</v>
      </c>
      <c r="B84" s="1" t="s">
        <v>31</v>
      </c>
      <c r="C84" s="10">
        <f t="shared" si="56"/>
        <v>6008310.1572000002</v>
      </c>
      <c r="D84" s="11">
        <f t="shared" si="57"/>
        <v>6008310.1572000002</v>
      </c>
      <c r="E84" s="11">
        <v>0</v>
      </c>
      <c r="F84" s="11">
        <f>G164-F164</f>
        <v>-6008310.1572000002</v>
      </c>
      <c r="J84" s="11">
        <f t="shared" si="58"/>
        <v>0</v>
      </c>
      <c r="K84" s="11">
        <f t="shared" si="59"/>
        <v>-6008310.1572000002</v>
      </c>
      <c r="L84" s="11">
        <f t="shared" si="60"/>
        <v>-3004155.0786000001</v>
      </c>
      <c r="M84" s="12">
        <v>0</v>
      </c>
      <c r="N84" s="11">
        <f>(D84*M84)+(L84*M84)</f>
        <v>0</v>
      </c>
      <c r="O84" s="11">
        <f t="shared" si="61"/>
        <v>0</v>
      </c>
      <c r="Q84" s="10">
        <f t="shared" si="62"/>
        <v>0</v>
      </c>
      <c r="R84" s="10">
        <f t="shared" si="63"/>
        <v>0</v>
      </c>
      <c r="S84" s="10">
        <f t="shared" si="64"/>
        <v>0</v>
      </c>
    </row>
    <row r="85" spans="1:22" ht="14.25" customHeight="1">
      <c r="A85" s="16"/>
      <c r="B85" s="16"/>
      <c r="C85" s="17">
        <f t="shared" ref="C85:L85" si="65">SUM(C76:C84)</f>
        <v>58396705.719259866</v>
      </c>
      <c r="D85" s="18">
        <f t="shared" si="65"/>
        <v>55599577.64931491</v>
      </c>
      <c r="E85" s="18">
        <f t="shared" si="65"/>
        <v>9113709.209999999</v>
      </c>
      <c r="F85" s="18">
        <f t="shared" si="65"/>
        <v>-6008310.1572000002</v>
      </c>
      <c r="G85" s="18">
        <f t="shared" si="65"/>
        <v>0</v>
      </c>
      <c r="H85" s="18">
        <f t="shared" si="65"/>
        <v>0</v>
      </c>
      <c r="I85" s="18">
        <f t="shared" si="65"/>
        <v>0</v>
      </c>
      <c r="J85" s="18">
        <f t="shared" si="65"/>
        <v>58704976.70211491</v>
      </c>
      <c r="K85" s="18">
        <f t="shared" si="65"/>
        <v>3105399.0527999988</v>
      </c>
      <c r="L85" s="18">
        <f t="shared" si="65"/>
        <v>1552699.5263999994</v>
      </c>
      <c r="M85" s="18"/>
      <c r="N85" s="18">
        <f>SUM(N76:N84)</f>
        <v>5009496.4607934076</v>
      </c>
      <c r="O85" s="18">
        <f>SUM(O76:O84)</f>
        <v>53695480.241321497</v>
      </c>
      <c r="Q85" s="17">
        <f>SUM(Q76:Q84)</f>
        <v>4570580.3000129564</v>
      </c>
      <c r="R85" s="17">
        <f>SUM(R76:R84)</f>
        <v>56931524.472046904</v>
      </c>
      <c r="S85" s="17">
        <f>SUM(S76:S84)</f>
        <v>438916.16078045138</v>
      </c>
      <c r="T85" s="2" t="s">
        <v>40</v>
      </c>
      <c r="U85" s="2"/>
      <c r="V85" s="23">
        <f>V82</f>
        <v>-158248.68381880221</v>
      </c>
    </row>
    <row r="86" spans="1:22" ht="15" customHeight="1">
      <c r="A86" s="21"/>
      <c r="F86" s="22"/>
      <c r="N86" s="19" t="s">
        <v>32</v>
      </c>
    </row>
    <row r="87" spans="1:22" ht="15" customHeight="1">
      <c r="R87" s="9" t="s">
        <v>33</v>
      </c>
      <c r="S87" s="20">
        <f>S73</f>
        <v>0.26500000000000001</v>
      </c>
    </row>
    <row r="88" spans="1:22" ht="15" customHeight="1">
      <c r="A88" s="3" t="str">
        <f>H107</f>
        <v>2024</v>
      </c>
    </row>
    <row r="89" spans="1:22" ht="40.5" customHeight="1">
      <c r="A89" s="5" t="str">
        <f t="shared" ref="A89:O89" si="66">A47</f>
        <v>Class #</v>
      </c>
      <c r="B89" s="5" t="str">
        <f t="shared" si="66"/>
        <v>Description</v>
      </c>
      <c r="C89" s="7" t="str">
        <f t="shared" si="66"/>
        <v>Non-AUCC Beginning</v>
      </c>
      <c r="D89" s="5" t="str">
        <f t="shared" si="66"/>
        <v>Tax Return
UCC Beginning</v>
      </c>
      <c r="E89" s="5" t="str">
        <f t="shared" si="66"/>
        <v>Additions</v>
      </c>
      <c r="F89" s="5" t="str">
        <f t="shared" si="66"/>
        <v>Adjustments and transfers</v>
      </c>
      <c r="G89" s="5" t="str">
        <f t="shared" si="66"/>
        <v>Immediate Expensing</v>
      </c>
      <c r="H89" s="5" t="str">
        <f t="shared" si="66"/>
        <v>Disposals</v>
      </c>
      <c r="I89" s="5" t="str">
        <f t="shared" si="66"/>
        <v>Proceeds</v>
      </c>
      <c r="J89" s="5" t="str">
        <f t="shared" si="66"/>
        <v>Adjusted UCC</v>
      </c>
      <c r="K89" s="5" t="str">
        <f t="shared" si="66"/>
        <v>Net Capital Cost of Additions</v>
      </c>
      <c r="L89" s="5" t="str">
        <f t="shared" si="66"/>
        <v>UCC Adjustment (half year)</v>
      </c>
      <c r="M89" s="5" t="str">
        <f t="shared" si="66"/>
        <v>CCA Rate</v>
      </c>
      <c r="N89" s="5" t="str">
        <f t="shared" si="66"/>
        <v>AIIP CCA</v>
      </c>
      <c r="O89" s="5" t="str">
        <f t="shared" si="66"/>
        <v>UCC Ending</v>
      </c>
      <c r="Q89" s="7" t="str">
        <f>Q75</f>
        <v>Normal CCA</v>
      </c>
      <c r="R89" s="7" t="str">
        <f>R75</f>
        <v>Normal UCC Ending</v>
      </c>
      <c r="S89" s="7" t="str">
        <f>S75</f>
        <v>Difference</v>
      </c>
    </row>
    <row r="90" spans="1:22" ht="15" customHeight="1">
      <c r="A90" s="8">
        <v>1</v>
      </c>
      <c r="B90" s="9" t="s">
        <v>20</v>
      </c>
      <c r="C90" s="10">
        <f t="shared" ref="C90:C98" si="67">R76</f>
        <v>17303147.171020802</v>
      </c>
      <c r="D90" s="11">
        <f t="shared" ref="D90:D98" si="68">O76</f>
        <v>17303147.171020802</v>
      </c>
      <c r="E90" s="11">
        <v>0</v>
      </c>
      <c r="F90" s="11"/>
      <c r="G90" s="11"/>
      <c r="H90" s="11"/>
      <c r="I90" s="11"/>
      <c r="J90" s="11">
        <f t="shared" ref="J90:J98" si="69">SUM(D90:I90)</f>
        <v>17303147.171020802</v>
      </c>
      <c r="K90" s="11">
        <f t="shared" ref="K90:K98" si="70">E90+F90+I90</f>
        <v>0</v>
      </c>
      <c r="L90" s="11">
        <f t="shared" ref="L90:L98" si="71">K90*0.5</f>
        <v>0</v>
      </c>
      <c r="M90" s="12">
        <v>0.04</v>
      </c>
      <c r="N90" s="11">
        <f>(D90*M90)+(L90*M90)</f>
        <v>692125.88684083207</v>
      </c>
      <c r="O90" s="11">
        <f t="shared" ref="O90:O98" si="72">J90-N90</f>
        <v>16611021.284179971</v>
      </c>
      <c r="Q90" s="10">
        <f t="shared" ref="Q90:Q98" si="73">(C90*M90)+(L90*M90)</f>
        <v>692125.88684083207</v>
      </c>
      <c r="R90" s="10">
        <f t="shared" ref="R90:R98" si="74">C90+SUM(E90:I90)-Q90</f>
        <v>16611021.284179971</v>
      </c>
      <c r="S90" s="10">
        <f t="shared" ref="S90:S98" si="75">N90-Q90</f>
        <v>0</v>
      </c>
    </row>
    <row r="91" spans="1:22" ht="15" customHeight="1">
      <c r="A91" s="13">
        <v>8</v>
      </c>
      <c r="B91" s="4" t="s">
        <v>21</v>
      </c>
      <c r="C91" s="10">
        <f t="shared" si="67"/>
        <v>1218145.403712</v>
      </c>
      <c r="D91" s="14">
        <f t="shared" si="68"/>
        <v>706303.12031999999</v>
      </c>
      <c r="E91" s="14">
        <v>82688</v>
      </c>
      <c r="F91" s="14"/>
      <c r="G91" s="14"/>
      <c r="H91" s="14"/>
      <c r="I91" s="14"/>
      <c r="J91" s="14">
        <f t="shared" si="69"/>
        <v>788991.12031999999</v>
      </c>
      <c r="K91" s="14">
        <f t="shared" si="70"/>
        <v>82688</v>
      </c>
      <c r="L91" s="14">
        <f t="shared" si="71"/>
        <v>41344</v>
      </c>
      <c r="M91" s="15">
        <v>0.2</v>
      </c>
      <c r="N91" s="14">
        <f>(D91*M91)+((E91+F91+I91)*M91*1)+G91</f>
        <v>157798.22406400001</v>
      </c>
      <c r="O91" s="14">
        <f t="shared" si="72"/>
        <v>631192.89625600004</v>
      </c>
      <c r="Q91" s="10">
        <f t="shared" si="73"/>
        <v>251897.88074240001</v>
      </c>
      <c r="R91" s="10">
        <f t="shared" si="74"/>
        <v>1048935.5229696</v>
      </c>
      <c r="S91" s="10">
        <f t="shared" si="75"/>
        <v>-94099.656678400002</v>
      </c>
    </row>
    <row r="92" spans="1:22" ht="15" customHeight="1">
      <c r="A92" s="13">
        <v>10</v>
      </c>
      <c r="B92" s="4" t="s">
        <v>22</v>
      </c>
      <c r="C92" s="10">
        <f t="shared" si="67"/>
        <v>867948.28025399975</v>
      </c>
      <c r="D92" s="14">
        <f t="shared" si="68"/>
        <v>358296.48229999986</v>
      </c>
      <c r="E92" s="14">
        <f>H132+H133</f>
        <v>470000.00000000029</v>
      </c>
      <c r="F92" s="14"/>
      <c r="G92" s="14"/>
      <c r="H92" s="14"/>
      <c r="I92" s="14"/>
      <c r="J92" s="14">
        <f t="shared" si="69"/>
        <v>828296.48230000015</v>
      </c>
      <c r="K92" s="14">
        <f t="shared" si="70"/>
        <v>470000.00000000029</v>
      </c>
      <c r="L92" s="14">
        <f t="shared" si="71"/>
        <v>235000.00000000015</v>
      </c>
      <c r="M92" s="15">
        <v>0.3</v>
      </c>
      <c r="N92" s="14">
        <f>(D92*M92)+((E92+F92+I92)*M92*1)+G92</f>
        <v>248488.94469000003</v>
      </c>
      <c r="O92" s="14">
        <f t="shared" si="72"/>
        <v>579807.53761000012</v>
      </c>
      <c r="Q92" s="10">
        <f t="shared" si="73"/>
        <v>330884.48407619994</v>
      </c>
      <c r="R92" s="10">
        <f t="shared" si="74"/>
        <v>1007063.7961778002</v>
      </c>
      <c r="S92" s="10">
        <f t="shared" si="75"/>
        <v>-82395.539386199904</v>
      </c>
    </row>
    <row r="93" spans="1:22" ht="15" customHeight="1">
      <c r="A93" s="8">
        <v>45</v>
      </c>
      <c r="B93" s="9" t="s">
        <v>23</v>
      </c>
      <c r="C93" s="10">
        <f t="shared" si="67"/>
        <v>4.3007937499999995</v>
      </c>
      <c r="D93" s="11">
        <f t="shared" si="68"/>
        <v>4.3007937499999995</v>
      </c>
      <c r="E93" s="11">
        <v>0</v>
      </c>
      <c r="F93" s="11"/>
      <c r="G93" s="11"/>
      <c r="H93" s="11"/>
      <c r="I93" s="11"/>
      <c r="J93" s="11">
        <f t="shared" si="69"/>
        <v>4.3007937499999995</v>
      </c>
      <c r="K93" s="11">
        <f t="shared" si="70"/>
        <v>0</v>
      </c>
      <c r="L93" s="11">
        <f t="shared" si="71"/>
        <v>0</v>
      </c>
      <c r="M93" s="12">
        <v>0.45</v>
      </c>
      <c r="N93" s="11">
        <f>(D93*M93)+(L93*M93)</f>
        <v>1.9353571874999997</v>
      </c>
      <c r="O93" s="11">
        <f t="shared" si="72"/>
        <v>2.3654365624999998</v>
      </c>
      <c r="Q93" s="10">
        <f t="shared" si="73"/>
        <v>1.9353571874999997</v>
      </c>
      <c r="R93" s="10">
        <f t="shared" si="74"/>
        <v>2.3654365624999998</v>
      </c>
      <c r="S93" s="10">
        <f t="shared" si="75"/>
        <v>0</v>
      </c>
      <c r="T93" s="9" t="s">
        <v>24</v>
      </c>
    </row>
    <row r="94" spans="1:22" ht="15" customHeight="1">
      <c r="A94" s="13">
        <v>47</v>
      </c>
      <c r="B94" s="4" t="s">
        <v>25</v>
      </c>
      <c r="C94" s="10">
        <f t="shared" si="67"/>
        <v>36325267.332457781</v>
      </c>
      <c r="D94" s="14">
        <f t="shared" si="68"/>
        <v>34643117.618562058</v>
      </c>
      <c r="E94" s="14">
        <f>9338739-400000</f>
        <v>8938739</v>
      </c>
      <c r="F94" s="14"/>
      <c r="G94" s="14"/>
      <c r="H94" s="14"/>
      <c r="I94" s="14"/>
      <c r="J94" s="14">
        <f t="shared" si="69"/>
        <v>43581856.618562058</v>
      </c>
      <c r="K94" s="14">
        <f t="shared" si="70"/>
        <v>8938739</v>
      </c>
      <c r="L94" s="14">
        <f t="shared" si="71"/>
        <v>4469369.5</v>
      </c>
      <c r="M94" s="15">
        <v>0.08</v>
      </c>
      <c r="N94" s="14">
        <f>(D94*M94)+((E94+F94+I94)*M94*1)+G94</f>
        <v>3486548.5294849649</v>
      </c>
      <c r="O94" s="14">
        <f t="shared" si="72"/>
        <v>40095308.089077093</v>
      </c>
      <c r="Q94" s="10">
        <f t="shared" si="73"/>
        <v>3263570.9465966225</v>
      </c>
      <c r="R94" s="10">
        <f t="shared" si="74"/>
        <v>42000435.385861158</v>
      </c>
      <c r="S94" s="10">
        <f t="shared" si="75"/>
        <v>222977.58288834244</v>
      </c>
    </row>
    <row r="95" spans="1:22" ht="15" customHeight="1">
      <c r="A95" s="13">
        <v>50</v>
      </c>
      <c r="B95" s="4" t="s">
        <v>26</v>
      </c>
      <c r="C95" s="10">
        <f t="shared" si="67"/>
        <v>613997.38227843749</v>
      </c>
      <c r="D95" s="14">
        <f t="shared" si="68"/>
        <v>107587.83678562491</v>
      </c>
      <c r="E95" s="14">
        <v>519303</v>
      </c>
      <c r="F95" s="14"/>
      <c r="G95" s="14"/>
      <c r="H95" s="14"/>
      <c r="I95" s="14"/>
      <c r="J95" s="14">
        <f t="shared" si="69"/>
        <v>626890.83678562497</v>
      </c>
      <c r="K95" s="14">
        <f t="shared" si="70"/>
        <v>519303</v>
      </c>
      <c r="L95" s="14">
        <f t="shared" si="71"/>
        <v>259651.5</v>
      </c>
      <c r="M95" s="15">
        <v>0.55000000000000004</v>
      </c>
      <c r="N95" s="14">
        <f>(D95*M95)+((E95+F95+I95)*M95*1)+G95</f>
        <v>344789.9602320937</v>
      </c>
      <c r="O95" s="14">
        <f t="shared" si="72"/>
        <v>282100.87655353127</v>
      </c>
      <c r="Q95" s="10">
        <f t="shared" si="73"/>
        <v>480506.88525314064</v>
      </c>
      <c r="R95" s="10">
        <f t="shared" si="74"/>
        <v>652793.49702529679</v>
      </c>
      <c r="S95" s="10">
        <f t="shared" si="75"/>
        <v>-135716.92502104695</v>
      </c>
      <c r="T95" s="9" t="s">
        <v>27</v>
      </c>
      <c r="V95" s="11">
        <f>(S99*S101)/(1-S101)</f>
        <v>0</v>
      </c>
    </row>
    <row r="96" spans="1:22" ht="15" customHeight="1">
      <c r="A96" s="8">
        <v>14.1</v>
      </c>
      <c r="C96" s="10">
        <f t="shared" si="67"/>
        <v>137142.58174672953</v>
      </c>
      <c r="D96" s="11">
        <f t="shared" si="68"/>
        <v>131428.99789694999</v>
      </c>
      <c r="E96" s="11">
        <v>0</v>
      </c>
      <c r="F96" s="11"/>
      <c r="G96" s="11"/>
      <c r="H96" s="11"/>
      <c r="I96" s="11"/>
      <c r="J96" s="11">
        <f t="shared" si="69"/>
        <v>131428.99789694999</v>
      </c>
      <c r="K96" s="11">
        <f t="shared" si="70"/>
        <v>0</v>
      </c>
      <c r="L96" s="11">
        <f t="shared" si="71"/>
        <v>0</v>
      </c>
      <c r="M96" s="12">
        <v>7.0000000000000007E-2</v>
      </c>
      <c r="N96" s="11">
        <f>(D96*M96)+(L96*M96)</f>
        <v>9200.0298527864998</v>
      </c>
      <c r="O96" s="11">
        <f t="shared" si="72"/>
        <v>122228.9680441635</v>
      </c>
      <c r="Q96" s="10">
        <f t="shared" si="73"/>
        <v>9599.9807222710679</v>
      </c>
      <c r="R96" s="10">
        <f t="shared" si="74"/>
        <v>127542.60102445846</v>
      </c>
      <c r="S96" s="10">
        <f t="shared" si="75"/>
        <v>-399.9508694845681</v>
      </c>
      <c r="T96" s="9" t="s">
        <v>28</v>
      </c>
      <c r="U96" s="11">
        <f>-V95</f>
        <v>0</v>
      </c>
    </row>
    <row r="97" spans="1:22" ht="15" customHeight="1">
      <c r="A97" s="13" t="s">
        <v>29</v>
      </c>
      <c r="B97" s="4" t="s">
        <v>30</v>
      </c>
      <c r="C97" s="10">
        <f t="shared" si="67"/>
        <v>465872.01978340803</v>
      </c>
      <c r="D97" s="14">
        <f t="shared" si="68"/>
        <v>445594.71364232001</v>
      </c>
      <c r="E97" s="14">
        <f>H128</f>
        <v>75000</v>
      </c>
      <c r="F97" s="14"/>
      <c r="G97" s="14"/>
      <c r="H97" s="14"/>
      <c r="I97" s="14"/>
      <c r="J97" s="14">
        <f t="shared" si="69"/>
        <v>520594.71364232001</v>
      </c>
      <c r="K97" s="14">
        <f t="shared" si="70"/>
        <v>75000</v>
      </c>
      <c r="L97" s="14">
        <f t="shared" si="71"/>
        <v>37500</v>
      </c>
      <c r="M97" s="15">
        <v>0.06</v>
      </c>
      <c r="N97" s="14">
        <f>(D97*M97)+((E97+F97+I97)*M97*1)+G97</f>
        <v>31235.682818539201</v>
      </c>
      <c r="O97" s="14">
        <f t="shared" si="72"/>
        <v>489359.03082378081</v>
      </c>
      <c r="Q97" s="10">
        <f t="shared" si="73"/>
        <v>30202.32118700448</v>
      </c>
      <c r="R97" s="10">
        <f t="shared" si="74"/>
        <v>510669.69859640353</v>
      </c>
      <c r="S97" s="10">
        <f t="shared" si="75"/>
        <v>1033.3616315347208</v>
      </c>
    </row>
    <row r="98" spans="1:22" ht="15" customHeight="1">
      <c r="A98" s="8">
        <v>95</v>
      </c>
      <c r="B98" s="1" t="s">
        <v>31</v>
      </c>
      <c r="C98" s="10">
        <f t="shared" si="67"/>
        <v>0</v>
      </c>
      <c r="D98" s="11">
        <f t="shared" si="68"/>
        <v>0</v>
      </c>
      <c r="E98" s="11">
        <v>0</v>
      </c>
      <c r="F98" s="11">
        <f>H164+G164</f>
        <v>6423739</v>
      </c>
      <c r="J98" s="11">
        <f t="shared" si="69"/>
        <v>6423739</v>
      </c>
      <c r="K98" s="11">
        <f t="shared" si="70"/>
        <v>6423739</v>
      </c>
      <c r="L98" s="11">
        <f t="shared" si="71"/>
        <v>3211869.5</v>
      </c>
      <c r="M98" s="12">
        <v>0</v>
      </c>
      <c r="N98" s="11">
        <f>(D98*M98)+(L98*M98)</f>
        <v>0</v>
      </c>
      <c r="O98" s="11">
        <f t="shared" si="72"/>
        <v>6423739</v>
      </c>
      <c r="Q98" s="10">
        <f t="shared" si="73"/>
        <v>0</v>
      </c>
      <c r="R98" s="10">
        <f t="shared" si="74"/>
        <v>6423739</v>
      </c>
      <c r="S98" s="10">
        <f t="shared" si="75"/>
        <v>0</v>
      </c>
    </row>
    <row r="99" spans="1:22" ht="15" customHeight="1">
      <c r="A99" s="16"/>
      <c r="B99" s="16"/>
      <c r="C99" s="17">
        <f t="shared" ref="C99:L99" si="76">SUM(C90:C98)</f>
        <v>56931524.472046904</v>
      </c>
      <c r="D99" s="18">
        <f t="shared" si="76"/>
        <v>53695480.241321497</v>
      </c>
      <c r="E99" s="18">
        <f t="shared" si="76"/>
        <v>10085730</v>
      </c>
      <c r="F99" s="18">
        <f t="shared" si="76"/>
        <v>6423739</v>
      </c>
      <c r="G99" s="18">
        <f t="shared" si="76"/>
        <v>0</v>
      </c>
      <c r="H99" s="18">
        <f t="shared" si="76"/>
        <v>0</v>
      </c>
      <c r="I99" s="18">
        <f t="shared" si="76"/>
        <v>0</v>
      </c>
      <c r="J99" s="18">
        <f t="shared" si="76"/>
        <v>70204949.241321504</v>
      </c>
      <c r="K99" s="18">
        <f t="shared" si="76"/>
        <v>16509469</v>
      </c>
      <c r="L99" s="18">
        <f t="shared" si="76"/>
        <v>8254734.5</v>
      </c>
      <c r="M99" s="18"/>
      <c r="N99" s="18">
        <f>SUM(N90:N98)</f>
        <v>4970189.193340404</v>
      </c>
      <c r="O99" s="18">
        <f>SUM(O90:O98)</f>
        <v>65234760.047981098</v>
      </c>
      <c r="Q99" s="17">
        <f>SUM(Q90:Q98)</f>
        <v>5058790.3207756579</v>
      </c>
      <c r="R99" s="17">
        <f>SUM(R90:R98)</f>
        <v>68382203.151271254</v>
      </c>
      <c r="S99" s="17">
        <f>SUM(S90:S98)</f>
        <v>-88601.127435254268</v>
      </c>
      <c r="T99" s="2" t="s">
        <v>41</v>
      </c>
      <c r="U99" s="2"/>
      <c r="V99" s="23">
        <f>V85+U96</f>
        <v>-158248.68381880221</v>
      </c>
    </row>
    <row r="100" spans="1:22" ht="15" customHeight="1">
      <c r="A100" s="21"/>
      <c r="F100" s="22"/>
      <c r="N100" s="19" t="s">
        <v>32</v>
      </c>
    </row>
    <row r="101" spans="1:22" ht="15" customHeight="1">
      <c r="R101" s="9"/>
      <c r="S101" s="20"/>
    </row>
    <row r="102" spans="1:22" ht="15" hidden="1" customHeight="1">
      <c r="N102" s="9" t="s">
        <v>42</v>
      </c>
      <c r="O102" s="11">
        <f>O99-O98</f>
        <v>58811021.047981098</v>
      </c>
    </row>
    <row r="103" spans="1:22" ht="15" hidden="1" customHeight="1">
      <c r="R103" s="20"/>
    </row>
    <row r="104" spans="1:22" ht="15" hidden="1" customHeight="1"/>
    <row r="105" spans="1:22" ht="15" hidden="1" customHeight="1"/>
    <row r="106" spans="1:22" ht="14.25" hidden="1" customHeight="1">
      <c r="J106" s="11"/>
      <c r="K106" s="11"/>
      <c r="L106" s="11"/>
      <c r="M106" s="11"/>
      <c r="V106" s="11"/>
    </row>
    <row r="107" spans="1:22" ht="14.25" hidden="1" customHeight="1">
      <c r="D107" t="s">
        <v>43</v>
      </c>
      <c r="E107" t="s">
        <v>44</v>
      </c>
      <c r="F107" t="s">
        <v>45</v>
      </c>
      <c r="G107" t="s">
        <v>46</v>
      </c>
      <c r="H107" t="s">
        <v>47</v>
      </c>
      <c r="J107" s="11"/>
      <c r="K107" s="11"/>
      <c r="L107" s="11"/>
      <c r="M107" s="11"/>
      <c r="V107" s="11"/>
    </row>
    <row r="108" spans="1:22" ht="14.25" hidden="1" customHeight="1">
      <c r="D108" t="s">
        <v>48</v>
      </c>
      <c r="E108" t="s">
        <v>48</v>
      </c>
      <c r="F108" t="s">
        <v>48</v>
      </c>
      <c r="G108" t="s">
        <v>48</v>
      </c>
      <c r="H108" t="s">
        <v>48</v>
      </c>
      <c r="J108" s="11"/>
      <c r="K108" s="11"/>
      <c r="L108" s="11"/>
      <c r="M108" s="11"/>
      <c r="V108" s="11"/>
    </row>
    <row r="109" spans="1:22" ht="14.25" hidden="1" customHeight="1">
      <c r="D109" t="s">
        <v>49</v>
      </c>
      <c r="E109" t="s">
        <v>49</v>
      </c>
      <c r="F109" t="s">
        <v>49</v>
      </c>
      <c r="G109" t="s">
        <v>50</v>
      </c>
      <c r="H109" t="s">
        <v>50</v>
      </c>
      <c r="J109" s="11"/>
      <c r="K109" s="11"/>
      <c r="L109" s="11"/>
      <c r="M109" s="11"/>
      <c r="V109" s="11"/>
    </row>
    <row r="110" spans="1:22" ht="14.25" hidden="1" customHeight="1">
      <c r="A110" t="s">
        <v>51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J110" s="11"/>
      <c r="K110" s="11"/>
      <c r="L110" s="11"/>
      <c r="M110" s="11"/>
      <c r="V110" s="11"/>
    </row>
    <row r="111" spans="1:22" ht="14.25" hidden="1" customHeight="1">
      <c r="A111" t="s">
        <v>52</v>
      </c>
      <c r="D111" s="22">
        <v>0</v>
      </c>
      <c r="E111" s="22">
        <v>0</v>
      </c>
      <c r="F111" s="22">
        <v>0</v>
      </c>
      <c r="G111" s="22">
        <v>5102673.9999999963</v>
      </c>
      <c r="H111" s="22">
        <v>4119999.9999999963</v>
      </c>
      <c r="J111" s="11"/>
      <c r="K111" s="11"/>
      <c r="L111" s="11"/>
      <c r="M111" s="11"/>
      <c r="V111" s="11"/>
    </row>
    <row r="112" spans="1:22" ht="14.25" hidden="1" customHeight="1">
      <c r="A112" t="s">
        <v>53</v>
      </c>
      <c r="D112" s="22">
        <v>3616651.83</v>
      </c>
      <c r="E112" s="22">
        <v>2419931.15</v>
      </c>
      <c r="F112" s="22">
        <v>467974.17</v>
      </c>
      <c r="G112" s="22">
        <v>6472154.0000000037</v>
      </c>
      <c r="H112" s="22">
        <v>3158000.0000000037</v>
      </c>
      <c r="I112" s="24"/>
      <c r="J112" s="11"/>
      <c r="K112" s="11"/>
      <c r="L112" s="11"/>
      <c r="M112" s="11"/>
      <c r="V112" s="11"/>
    </row>
    <row r="113" spans="1:22" ht="14.25" hidden="1" customHeight="1">
      <c r="A113" t="s">
        <v>54</v>
      </c>
      <c r="D113" s="22">
        <v>3195441.9</v>
      </c>
      <c r="E113" s="22">
        <v>4034416.02</v>
      </c>
      <c r="F113" s="22">
        <v>3566866.74</v>
      </c>
      <c r="G113" s="22">
        <v>30063401.000000045</v>
      </c>
      <c r="H113" s="22">
        <v>20907735.999999955</v>
      </c>
      <c r="I113" s="1"/>
      <c r="J113" s="11"/>
      <c r="K113" s="11"/>
      <c r="L113" s="11"/>
      <c r="M113" s="11"/>
      <c r="V113" s="11"/>
    </row>
    <row r="114" spans="1:22" ht="14.25" hidden="1" customHeight="1">
      <c r="A114" t="s">
        <v>55</v>
      </c>
      <c r="D114" s="22">
        <v>2310263.6</v>
      </c>
      <c r="E114" s="22">
        <v>3114575.43</v>
      </c>
      <c r="F114" s="22">
        <v>1181704.75</v>
      </c>
      <c r="G114" s="22">
        <v>1181499.9999999993</v>
      </c>
      <c r="H114" s="22">
        <v>423723</v>
      </c>
      <c r="I114" s="1"/>
      <c r="J114" s="11"/>
      <c r="K114" s="11"/>
      <c r="L114" s="11"/>
      <c r="M114" s="11"/>
      <c r="V114" s="11"/>
    </row>
    <row r="115" spans="1:22" ht="14.25" hidden="1" customHeight="1">
      <c r="A115" t="s">
        <v>56</v>
      </c>
      <c r="D115" s="22">
        <v>494241.62</v>
      </c>
      <c r="E115" s="22">
        <v>577678.93000000005</v>
      </c>
      <c r="F115" s="22">
        <v>4028774.81</v>
      </c>
      <c r="G115" s="22">
        <v>3460165.9599999967</v>
      </c>
      <c r="H115" s="22">
        <v>3500.0000000000041</v>
      </c>
      <c r="I115" s="1"/>
      <c r="J115" s="11"/>
      <c r="K115" s="11"/>
      <c r="L115" s="11"/>
      <c r="M115" s="11"/>
      <c r="V115" s="11"/>
    </row>
    <row r="116" spans="1:22" ht="14.25" hidden="1" customHeight="1">
      <c r="A116" t="s">
        <v>57</v>
      </c>
      <c r="D116" s="22">
        <v>429863.02</v>
      </c>
      <c r="E116" s="22">
        <v>724358.72</v>
      </c>
      <c r="F116" s="22">
        <v>1394496.39</v>
      </c>
      <c r="G116" s="22">
        <v>36515.000000000051</v>
      </c>
      <c r="H116" s="22">
        <v>120525</v>
      </c>
      <c r="I116" s="1"/>
      <c r="J116" s="11"/>
      <c r="K116" s="11"/>
      <c r="L116" s="11"/>
      <c r="M116" s="11"/>
      <c r="V116" s="11"/>
    </row>
    <row r="117" spans="1:22" ht="14.25" hidden="1" customHeight="1">
      <c r="A117" t="s">
        <v>58</v>
      </c>
      <c r="D117" s="22">
        <v>263993</v>
      </c>
      <c r="E117" s="22">
        <v>-136708.17000000001</v>
      </c>
      <c r="F117" s="22">
        <v>0</v>
      </c>
      <c r="G117" s="22">
        <v>0</v>
      </c>
      <c r="H117" s="22">
        <v>0</v>
      </c>
      <c r="I117" s="1"/>
      <c r="J117" s="11"/>
      <c r="K117" s="11"/>
      <c r="L117" s="11"/>
      <c r="M117" s="11"/>
      <c r="V117" s="11"/>
    </row>
    <row r="118" spans="1:22" ht="14.25" hidden="1" customHeight="1">
      <c r="A118" t="s">
        <v>59</v>
      </c>
      <c r="D118" s="22">
        <v>331880.33899999998</v>
      </c>
      <c r="E118" s="22">
        <v>403137.52899999998</v>
      </c>
      <c r="F118" s="22">
        <v>470584.61900000001</v>
      </c>
      <c r="G118" s="22">
        <v>174999.99999999965</v>
      </c>
      <c r="H118" s="22">
        <v>171624.99999999959</v>
      </c>
      <c r="I118" s="1"/>
      <c r="J118" s="11"/>
      <c r="K118" s="11"/>
      <c r="L118" s="11"/>
      <c r="M118" s="11"/>
      <c r="V118" s="11"/>
    </row>
    <row r="119" spans="1:22" ht="14.25" hidden="1" customHeight="1">
      <c r="A119" t="s">
        <v>60</v>
      </c>
      <c r="D119" s="22">
        <v>0</v>
      </c>
      <c r="E119" s="22">
        <v>136921.98000000001</v>
      </c>
      <c r="F119" s="22">
        <v>0</v>
      </c>
      <c r="G119" s="22">
        <v>0</v>
      </c>
      <c r="H119" s="22">
        <v>0</v>
      </c>
      <c r="I119" s="1"/>
      <c r="J119" s="11"/>
      <c r="K119" s="11"/>
      <c r="L119" s="11"/>
      <c r="M119" s="11"/>
      <c r="V119" s="11"/>
    </row>
    <row r="120" spans="1:22" ht="15" hidden="1" customHeight="1">
      <c r="A120" t="s">
        <v>61</v>
      </c>
      <c r="D120" s="22">
        <v>65233.64</v>
      </c>
      <c r="E120" s="22">
        <v>-103874.65</v>
      </c>
      <c r="F120" s="22">
        <v>0</v>
      </c>
      <c r="G120" s="22">
        <v>0</v>
      </c>
      <c r="H120" s="22">
        <v>0</v>
      </c>
    </row>
    <row r="121" spans="1:22" ht="15" hidden="1" customHeight="1">
      <c r="A121" t="s">
        <v>62</v>
      </c>
      <c r="D121" s="22">
        <v>984370.87</v>
      </c>
      <c r="E121" s="22">
        <v>890281.36</v>
      </c>
      <c r="F121" s="22">
        <v>531337.13</v>
      </c>
      <c r="G121" s="22">
        <v>71000.000000000044</v>
      </c>
      <c r="H121" s="22">
        <v>71000.000000000044</v>
      </c>
    </row>
    <row r="122" spans="1:22" ht="15" hidden="1" customHeight="1">
      <c r="A122" t="s">
        <v>63</v>
      </c>
      <c r="D122" s="22">
        <v>0</v>
      </c>
      <c r="E122" s="22">
        <v>103874.65</v>
      </c>
      <c r="F122" s="22">
        <v>0</v>
      </c>
      <c r="G122" s="22">
        <v>0</v>
      </c>
      <c r="H122" s="22">
        <v>0</v>
      </c>
    </row>
    <row r="123" spans="1:22" ht="15" hidden="1" customHeight="1">
      <c r="A123" t="s">
        <v>64</v>
      </c>
      <c r="D123" s="22">
        <v>79103.03</v>
      </c>
      <c r="E123" s="22">
        <v>148655.47</v>
      </c>
      <c r="F123" s="22">
        <v>106667.48</v>
      </c>
      <c r="G123" s="22">
        <v>54999.999999999949</v>
      </c>
      <c r="H123" s="22">
        <v>65000.000000000051</v>
      </c>
    </row>
    <row r="124" spans="1:22" ht="15" hidden="1" customHeight="1">
      <c r="A124" t="s">
        <v>65</v>
      </c>
      <c r="D124" s="22">
        <v>501353.61</v>
      </c>
      <c r="E124" s="22">
        <v>594931.17000000004</v>
      </c>
      <c r="F124" s="22">
        <v>445869.3</v>
      </c>
      <c r="G124" s="22">
        <v>224000.00000000035</v>
      </c>
      <c r="H124" s="22">
        <v>2807748</v>
      </c>
    </row>
    <row r="125" spans="1:22" ht="15" hidden="1" customHeight="1">
      <c r="A125" t="s">
        <v>66</v>
      </c>
      <c r="D125" s="22">
        <v>658.36</v>
      </c>
      <c r="E125" s="22">
        <v>-37025</v>
      </c>
      <c r="F125" s="22">
        <v>0</v>
      </c>
      <c r="G125" s="22">
        <v>0</v>
      </c>
      <c r="H125" s="22">
        <v>0</v>
      </c>
    </row>
    <row r="126" spans="1:22" ht="15" hidden="1" customHeight="1">
      <c r="A126" t="s">
        <v>67</v>
      </c>
      <c r="D126" s="22">
        <v>298619.55</v>
      </c>
      <c r="E126" s="22">
        <v>268891.09000000003</v>
      </c>
      <c r="F126" s="22">
        <v>228496.24</v>
      </c>
      <c r="G126" s="22">
        <v>533781.99999999965</v>
      </c>
      <c r="H126" s="22">
        <v>509499.99999999971</v>
      </c>
    </row>
    <row r="127" spans="1:22" ht="15" hidden="1" customHeight="1">
      <c r="A127" t="s">
        <v>68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</row>
    <row r="128" spans="1:22" ht="15" hidden="1" customHeight="1">
      <c r="A128" t="s">
        <v>69</v>
      </c>
      <c r="D128" s="22">
        <v>69708.960000000006</v>
      </c>
      <c r="E128" s="22">
        <v>43734.400000000001</v>
      </c>
      <c r="F128" s="22">
        <v>143855.20000000001</v>
      </c>
      <c r="G128" s="22">
        <v>75000</v>
      </c>
      <c r="H128" s="22">
        <v>75000</v>
      </c>
    </row>
    <row r="129" spans="1:8" ht="15" hidden="1" customHeight="1">
      <c r="A129" t="s">
        <v>70</v>
      </c>
      <c r="D129" s="22">
        <v>5438.47</v>
      </c>
      <c r="E129" s="22">
        <v>23352.54</v>
      </c>
      <c r="F129" s="22">
        <v>2165</v>
      </c>
      <c r="G129" s="22">
        <v>0</v>
      </c>
      <c r="H129" s="22">
        <v>0</v>
      </c>
    </row>
    <row r="130" spans="1:8" ht="15" hidden="1" customHeight="1">
      <c r="A130" t="s">
        <v>71</v>
      </c>
      <c r="D130" s="22">
        <v>90161.93</v>
      </c>
      <c r="E130" s="22">
        <v>24955.74</v>
      </c>
      <c r="F130" s="22">
        <v>84647.3</v>
      </c>
      <c r="G130" s="22">
        <v>79599.999999999956</v>
      </c>
      <c r="H130" s="22">
        <v>194303.00000000035</v>
      </c>
    </row>
    <row r="131" spans="1:8" ht="15" hidden="1" customHeight="1">
      <c r="A131" t="s">
        <v>72</v>
      </c>
      <c r="D131" s="22">
        <v>240107.03</v>
      </c>
      <c r="E131" s="22">
        <v>152644.92000000001</v>
      </c>
      <c r="F131" s="22">
        <v>321120.74</v>
      </c>
      <c r="G131" s="22">
        <v>326300.00000000029</v>
      </c>
      <c r="H131" s="22">
        <v>165000</v>
      </c>
    </row>
    <row r="132" spans="1:8" ht="15" hidden="1" customHeight="1">
      <c r="A132" t="s">
        <v>73</v>
      </c>
      <c r="D132" s="22">
        <v>0</v>
      </c>
      <c r="E132" s="22">
        <v>668543.31000000006</v>
      </c>
      <c r="F132" s="22">
        <v>48944.959999999999</v>
      </c>
      <c r="G132" s="22">
        <v>475690.20999999973</v>
      </c>
      <c r="H132" s="22">
        <v>470000.00000000029</v>
      </c>
    </row>
    <row r="133" spans="1:8" ht="15" hidden="1" customHeight="1">
      <c r="A133" t="s">
        <v>74</v>
      </c>
      <c r="D133">
        <v>0</v>
      </c>
      <c r="E133">
        <v>0</v>
      </c>
      <c r="F133">
        <v>0</v>
      </c>
      <c r="G133">
        <v>0</v>
      </c>
      <c r="H133">
        <v>0</v>
      </c>
    </row>
    <row r="134" spans="1:8" ht="15" hidden="1" customHeight="1">
      <c r="A134" t="s">
        <v>75</v>
      </c>
      <c r="D134" s="22">
        <v>0</v>
      </c>
      <c r="E134" s="22">
        <v>74701.22</v>
      </c>
      <c r="F134" s="22">
        <v>53426.58</v>
      </c>
      <c r="G134" s="22">
        <v>78750</v>
      </c>
      <c r="H134" s="22">
        <v>82688.000000000044</v>
      </c>
    </row>
    <row r="135" spans="1:8" ht="15" hidden="1" customHeight="1">
      <c r="A135" t="s">
        <v>76</v>
      </c>
      <c r="D135" s="22">
        <v>0</v>
      </c>
      <c r="E135" s="22">
        <v>2289.63</v>
      </c>
      <c r="F135" s="22">
        <v>2425</v>
      </c>
      <c r="G135" s="22">
        <v>0</v>
      </c>
      <c r="H135" s="22">
        <v>0</v>
      </c>
    </row>
    <row r="136" spans="1:8" ht="15" hidden="1" customHeight="1">
      <c r="A136" t="s">
        <v>77</v>
      </c>
      <c r="D136" s="22">
        <v>238750.35</v>
      </c>
      <c r="E136" s="22">
        <v>251847.58</v>
      </c>
      <c r="F136" s="22">
        <v>293062.5</v>
      </c>
      <c r="G136" s="22">
        <v>119640</v>
      </c>
      <c r="H136" s="22">
        <v>35000.000000000051</v>
      </c>
    </row>
    <row r="137" spans="1:8" ht="15" hidden="1" customHeight="1">
      <c r="A137" t="s">
        <v>78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</row>
    <row r="138" spans="1:8" ht="15" hidden="1" customHeight="1">
      <c r="A138" t="s">
        <v>79</v>
      </c>
      <c r="D138" s="22">
        <v>0</v>
      </c>
      <c r="E138" s="22">
        <v>0</v>
      </c>
      <c r="F138" s="22">
        <v>75328.44</v>
      </c>
      <c r="G138" s="22">
        <v>0</v>
      </c>
      <c r="H138" s="22">
        <v>0</v>
      </c>
    </row>
    <row r="139" spans="1:8" ht="15" hidden="1" customHeight="1">
      <c r="D139" s="24"/>
      <c r="E139" s="24"/>
      <c r="F139" s="24"/>
      <c r="G139" s="24"/>
      <c r="H139" s="24"/>
    </row>
    <row r="140" spans="1:8" ht="15" hidden="1" customHeight="1">
      <c r="D140" s="24"/>
      <c r="E140" s="24"/>
      <c r="F140" s="24"/>
      <c r="G140" s="24"/>
      <c r="H140" s="24"/>
    </row>
    <row r="141" spans="1:8" ht="15" hidden="1" customHeight="1">
      <c r="A141" t="s">
        <v>80</v>
      </c>
      <c r="D141" s="22">
        <v>4967027.7432000004</v>
      </c>
      <c r="E141" s="22">
        <v>3768504.3532000007</v>
      </c>
      <c r="F141" s="22">
        <v>5919874.0332000004</v>
      </c>
      <c r="G141" s="22">
        <v>0</v>
      </c>
      <c r="H141" s="22">
        <v>6423739</v>
      </c>
    </row>
    <row r="142" spans="1:8" ht="15" hidden="1" customHeight="1">
      <c r="A142" t="s">
        <v>81</v>
      </c>
      <c r="D142" s="22">
        <v>153498.03399999999</v>
      </c>
      <c r="E142" s="22">
        <v>38390.294000000002</v>
      </c>
      <c r="F142" s="22">
        <v>88436.123999999996</v>
      </c>
      <c r="G142" s="22">
        <v>0</v>
      </c>
      <c r="H142" s="22">
        <v>0</v>
      </c>
    </row>
    <row r="143" spans="1:8" ht="15" hidden="1" customHeight="1">
      <c r="D143" s="24"/>
      <c r="E143" s="24"/>
      <c r="F143" s="24"/>
      <c r="G143" s="24"/>
      <c r="H143" s="24"/>
    </row>
    <row r="144" spans="1:8" ht="15" hidden="1" customHeight="1">
      <c r="D144" s="24"/>
      <c r="E144" s="24"/>
      <c r="F144" s="24"/>
      <c r="G144" s="24"/>
      <c r="H144" s="24"/>
    </row>
    <row r="145" spans="1:8" ht="15" hidden="1" customHeight="1">
      <c r="A145" t="s">
        <v>82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</row>
    <row r="146" spans="1:8" ht="15" hidden="1" customHeight="1">
      <c r="A146" t="s">
        <v>83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</row>
    <row r="147" spans="1:8" ht="15" hidden="1" customHeight="1">
      <c r="A147" t="s">
        <v>84</v>
      </c>
      <c r="D147" s="22">
        <v>3398852.67</v>
      </c>
      <c r="E147" s="22">
        <v>93266.53</v>
      </c>
      <c r="F147" s="22">
        <v>9186.85</v>
      </c>
      <c r="G147" s="22">
        <v>4903278</v>
      </c>
      <c r="H147" s="22">
        <v>3112999.9999920004</v>
      </c>
    </row>
    <row r="148" spans="1:8" ht="15" hidden="1" customHeight="1">
      <c r="A148" t="s">
        <v>85</v>
      </c>
      <c r="D148" s="22">
        <v>1682738</v>
      </c>
      <c r="E148" s="22">
        <v>2734836.22</v>
      </c>
      <c r="F148" s="22">
        <v>2067894.8</v>
      </c>
      <c r="G148" s="22">
        <v>27949687.999992009</v>
      </c>
      <c r="H148" s="22">
        <v>18792524.499996003</v>
      </c>
    </row>
    <row r="149" spans="1:8" ht="15" hidden="1" customHeight="1">
      <c r="A149" t="s">
        <v>86</v>
      </c>
      <c r="D149" s="22">
        <v>1525475.66</v>
      </c>
      <c r="E149" s="22">
        <v>2282415.27</v>
      </c>
      <c r="F149" s="22">
        <v>759333.94</v>
      </c>
      <c r="G149" s="22">
        <v>850999.99999200029</v>
      </c>
      <c r="H149" s="22">
        <v>75999.999996000013</v>
      </c>
    </row>
    <row r="150" spans="1:8" ht="15" hidden="1" customHeight="1">
      <c r="A150" t="s">
        <v>87</v>
      </c>
      <c r="D150" s="22">
        <v>370719.58</v>
      </c>
      <c r="E150" s="22">
        <v>461295.19</v>
      </c>
      <c r="F150" s="22">
        <v>4028926.22</v>
      </c>
      <c r="G150" s="22">
        <v>2990109.0249359999</v>
      </c>
      <c r="H150" s="22">
        <v>3499.9999920000005</v>
      </c>
    </row>
    <row r="151" spans="1:8" ht="15" hidden="1" customHeight="1">
      <c r="A151" t="s">
        <v>88</v>
      </c>
      <c r="D151" s="22">
        <v>314495.18</v>
      </c>
      <c r="E151" s="22">
        <v>544776.89</v>
      </c>
      <c r="F151" s="22">
        <v>1301120.2</v>
      </c>
      <c r="G151" s="22">
        <v>15000</v>
      </c>
      <c r="H151" s="22">
        <v>15000</v>
      </c>
    </row>
    <row r="152" spans="1:8" ht="15" hidden="1" customHeight="1">
      <c r="A152" t="s">
        <v>89</v>
      </c>
      <c r="D152" s="22">
        <v>151772.16</v>
      </c>
      <c r="E152" s="22">
        <v>192596.85</v>
      </c>
      <c r="F152" s="22">
        <v>214720.12</v>
      </c>
      <c r="G152" s="22">
        <v>40999.999991999997</v>
      </c>
      <c r="H152" s="22">
        <v>40999.999991999997</v>
      </c>
    </row>
    <row r="153" spans="1:8" ht="15" hidden="1" customHeight="1">
      <c r="A153" t="s">
        <v>90</v>
      </c>
      <c r="D153" s="22">
        <v>716754.07</v>
      </c>
      <c r="E153" s="22">
        <v>602770.17000000004</v>
      </c>
      <c r="F153" s="22">
        <v>279224.40999999997</v>
      </c>
      <c r="G153" s="22">
        <v>55999.99999199999</v>
      </c>
      <c r="H153" s="22">
        <v>55999.99999199999</v>
      </c>
    </row>
    <row r="154" spans="1:8" ht="15" hidden="1" customHeight="1">
      <c r="A154" t="s">
        <v>91</v>
      </c>
      <c r="D154" s="25">
        <v>33850.54</v>
      </c>
      <c r="E154" s="25">
        <v>55713.29</v>
      </c>
      <c r="F154" s="25">
        <v>51142.1</v>
      </c>
      <c r="G154" s="25">
        <v>45000</v>
      </c>
      <c r="H154" s="25">
        <v>45000</v>
      </c>
    </row>
    <row r="155" spans="1:8" ht="15" hidden="1" customHeight="1">
      <c r="A155" t="s">
        <v>92</v>
      </c>
      <c r="D155" s="25">
        <v>304881.08</v>
      </c>
      <c r="E155" s="25">
        <v>396386.84</v>
      </c>
      <c r="F155" s="25">
        <v>274710.76</v>
      </c>
      <c r="G155" s="25">
        <v>184999.99999200003</v>
      </c>
      <c r="H155" s="25">
        <v>2108823.7384080007</v>
      </c>
    </row>
    <row r="156" spans="1:8" ht="15" hidden="1" customHeight="1">
      <c r="A156" t="s">
        <v>93</v>
      </c>
      <c r="D156" s="25">
        <v>2821.11</v>
      </c>
      <c r="E156" s="25">
        <v>17903.86</v>
      </c>
      <c r="F156" s="25">
        <v>10198.15</v>
      </c>
      <c r="G156" s="25">
        <v>9499.9999919999991</v>
      </c>
      <c r="H156" s="25">
        <v>9499.9999919999991</v>
      </c>
    </row>
    <row r="157" spans="1:8" ht="15" hidden="1" customHeight="1">
      <c r="A157" t="s">
        <v>94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</row>
    <row r="158" spans="1:8" ht="15" hidden="1" customHeight="1">
      <c r="A158" t="s">
        <v>95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</row>
    <row r="159" spans="1:8" ht="14.25" hidden="1" customHeight="1">
      <c r="A159" t="s">
        <v>96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</row>
    <row r="160" spans="1:8" ht="14.25" hidden="1" customHeight="1">
      <c r="A160" t="s">
        <v>97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</row>
    <row r="161" spans="1:8" ht="14.25" hidden="1" customHeight="1"/>
    <row r="162" spans="1:8" ht="14.25" hidden="1" customHeight="1">
      <c r="C162" s="24"/>
    </row>
    <row r="163" spans="1:8" ht="14.25" hidden="1" customHeight="1"/>
    <row r="164" spans="1:8" ht="15" hidden="1" customHeight="1">
      <c r="C164" s="24" t="s">
        <v>98</v>
      </c>
      <c r="D164" s="26">
        <f>D141+D142</f>
        <v>5120525.7772000004</v>
      </c>
      <c r="E164" s="26">
        <f>E141+E142</f>
        <v>3806894.6472000009</v>
      </c>
      <c r="F164" s="26">
        <f>F141+F142</f>
        <v>6008310.1572000002</v>
      </c>
      <c r="G164" s="26">
        <f>G141+G142</f>
        <v>0</v>
      </c>
      <c r="H164" s="26">
        <f>H141+H142</f>
        <v>6423739</v>
      </c>
    </row>
    <row r="165" spans="1:8" ht="15" hidden="1" customHeight="1">
      <c r="C165" s="24" t="s">
        <v>99</v>
      </c>
      <c r="D165" s="26">
        <f>SUM(D110:D137)</f>
        <v>13215841.108999997</v>
      </c>
      <c r="E165" s="26">
        <f>SUM(E110:E137)</f>
        <v>14382115.019000001</v>
      </c>
      <c r="F165" s="26">
        <f>SUM(F110:F137)</f>
        <v>13372418.909000006</v>
      </c>
      <c r="G165" s="26">
        <f>SUM(G110:G137)</f>
        <v>48530172.170000039</v>
      </c>
      <c r="H165" s="26">
        <f>SUM(H110:H137)</f>
        <v>33380347.999999955</v>
      </c>
    </row>
    <row r="166" spans="1:8" ht="15" hidden="1" customHeight="1">
      <c r="C166" s="24" t="s">
        <v>100</v>
      </c>
      <c r="D166" s="26">
        <f>SUM(D145:D157)</f>
        <v>8502360.0499999989</v>
      </c>
      <c r="E166" s="26">
        <f>SUM(E145:E157)</f>
        <v>7381961.1099999994</v>
      </c>
      <c r="F166" s="26">
        <f>SUM(F145:F157)</f>
        <v>8996457.5500000007</v>
      </c>
      <c r="G166" s="26">
        <f>SUM(G145:G157)</f>
        <v>37045575.024888001</v>
      </c>
      <c r="H166" s="26">
        <f>SUM(H145:H157)</f>
        <v>24260348.23836001</v>
      </c>
    </row>
    <row r="167" spans="1:8" ht="15" hidden="1" customHeight="1">
      <c r="D167" s="26">
        <f>D165-D166-E43+E42</f>
        <v>321091.05899999849</v>
      </c>
      <c r="E167" s="26">
        <f>E165-E166-E57-E172-E117-E119-E120-E122-E125</f>
        <v>1.4551915228366852E-9</v>
      </c>
      <c r="F167" s="26">
        <f>F165-F166-E71</f>
        <v>0</v>
      </c>
      <c r="G167" s="26">
        <f>G165-G166-E85</f>
        <v>2370887.9351120386</v>
      </c>
      <c r="H167" s="26">
        <f>H165-H166-E99</f>
        <v>-965730.23836005479</v>
      </c>
    </row>
    <row r="168" spans="1:8" ht="15" hidden="1" customHeight="1">
      <c r="D168" s="22"/>
      <c r="E168" s="22"/>
      <c r="F168" s="22"/>
      <c r="G168" s="22"/>
      <c r="H168" s="22"/>
    </row>
    <row r="169" spans="1:8" ht="15" hidden="1" customHeight="1"/>
    <row r="170" spans="1:8" ht="15" hidden="1" customHeight="1"/>
    <row r="171" spans="1:8" ht="14.25" hidden="1" customHeight="1">
      <c r="A171" s="27" t="s">
        <v>101</v>
      </c>
      <c r="D171" s="22"/>
      <c r="E171" s="22"/>
      <c r="G171" s="22"/>
      <c r="H171" s="22"/>
    </row>
    <row r="172" spans="1:8" ht="14.25" hidden="1" customHeight="1">
      <c r="A172" s="27" t="s">
        <v>102</v>
      </c>
      <c r="B172" s="28"/>
      <c r="C172" s="28"/>
      <c r="D172" s="28"/>
      <c r="E172" s="28">
        <v>146748</v>
      </c>
      <c r="F172" s="28"/>
      <c r="G172" s="28"/>
      <c r="H172" s="28"/>
    </row>
  </sheetData>
  <mergeCells count="1">
    <mergeCell ref="T34:U34"/>
  </mergeCells>
  <printOptions horizontalCentered="1"/>
  <pageMargins left="0.25" right="0.25" top="0.25" bottom="0.25" header="0.25" footer="0.25"/>
  <pageSetup scale="48" fitToHeight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5CA-BFA7-428E-99DD-8AE9DDAF1071}">
  <sheetPr>
    <pageSetUpPr fitToPage="1"/>
  </sheetPr>
  <dimension ref="B1:R155"/>
  <sheetViews>
    <sheetView showGridLines="0" tabSelected="1" workbookViewId="0">
      <selection activeCell="B2" sqref="B2"/>
    </sheetView>
  </sheetViews>
  <sheetFormatPr defaultColWidth="10" defaultRowHeight="14.25" customHeight="1"/>
  <cols>
    <col min="1" max="1" width="4.7109375" style="31" customWidth="1"/>
    <col min="2" max="15" width="13.7109375" style="31" customWidth="1"/>
    <col min="16" max="16384" width="10" style="31"/>
  </cols>
  <sheetData>
    <row r="1" spans="2:11" ht="15.75" customHeight="1"/>
    <row r="2" spans="2:11" ht="15.75" customHeight="1">
      <c r="B2" s="38" t="s">
        <v>103</v>
      </c>
      <c r="C2" s="38"/>
    </row>
    <row r="3" spans="2:11" ht="15.75" customHeight="1"/>
    <row r="4" spans="2:11" ht="51">
      <c r="B4" s="35" t="s">
        <v>104</v>
      </c>
      <c r="C4" s="35" t="s">
        <v>105</v>
      </c>
      <c r="D4" s="35" t="s">
        <v>106</v>
      </c>
      <c r="E4" s="35" t="s">
        <v>107</v>
      </c>
      <c r="F4" s="35" t="s">
        <v>108</v>
      </c>
      <c r="G4" s="35" t="s">
        <v>109</v>
      </c>
      <c r="K4" s="31">
        <v>604444.78</v>
      </c>
    </row>
    <row r="5" spans="2:11" ht="15.75" customHeight="1">
      <c r="B5" s="34">
        <v>2018</v>
      </c>
      <c r="C5" s="33">
        <v>3713285</v>
      </c>
      <c r="D5" s="33">
        <v>3884828</v>
      </c>
      <c r="E5" s="32">
        <f t="shared" ref="E5:E11" si="0">C5-D5</f>
        <v>-171543</v>
      </c>
      <c r="F5" s="32">
        <f t="shared" ref="F5:F11" si="1">E5*0.265/(1-0.265)</f>
        <v>-61848.836734693883</v>
      </c>
      <c r="G5" s="32">
        <f>F5</f>
        <v>-61848.836734693883</v>
      </c>
    </row>
    <row r="6" spans="2:11" ht="15.75" customHeight="1">
      <c r="B6" s="34">
        <v>2019</v>
      </c>
      <c r="C6" s="33">
        <v>3689587</v>
      </c>
      <c r="D6" s="33">
        <v>3932369</v>
      </c>
      <c r="E6" s="32">
        <f t="shared" si="0"/>
        <v>-242782</v>
      </c>
      <c r="F6" s="32">
        <f t="shared" si="1"/>
        <v>-87533.646258503402</v>
      </c>
      <c r="G6" s="32">
        <f>G5+F6</f>
        <v>-149382.48299319728</v>
      </c>
    </row>
    <row r="7" spans="2:11" ht="15.75" customHeight="1">
      <c r="B7" s="34">
        <v>2020</v>
      </c>
      <c r="C7" s="33">
        <v>3672032</v>
      </c>
      <c r="D7" s="33">
        <v>4129248</v>
      </c>
      <c r="E7" s="32">
        <f t="shared" si="0"/>
        <v>-457216</v>
      </c>
      <c r="F7" s="32">
        <f t="shared" si="1"/>
        <v>-164846.58503401361</v>
      </c>
      <c r="G7" s="32">
        <f>G6+F7</f>
        <v>-314229.06802721089</v>
      </c>
    </row>
    <row r="8" spans="2:11" ht="15.75" customHeight="1">
      <c r="B8" s="34">
        <v>2021</v>
      </c>
      <c r="C8" s="33">
        <v>3803064</v>
      </c>
      <c r="D8" s="33">
        <v>5106841</v>
      </c>
      <c r="E8" s="32">
        <f t="shared" si="0"/>
        <v>-1303777</v>
      </c>
      <c r="F8" s="32">
        <f t="shared" si="1"/>
        <v>-470069.25850340142</v>
      </c>
      <c r="G8" s="32">
        <f>G7+F8</f>
        <v>-784298.32653061231</v>
      </c>
    </row>
    <row r="9" spans="2:11" ht="15.75" customHeight="1">
      <c r="B9" s="34">
        <v>2022</v>
      </c>
      <c r="C9" s="33">
        <v>4040132</v>
      </c>
      <c r="D9" s="33">
        <v>4661942</v>
      </c>
      <c r="E9" s="32">
        <f t="shared" si="0"/>
        <v>-621810</v>
      </c>
      <c r="F9" s="32">
        <f t="shared" si="1"/>
        <v>-224190</v>
      </c>
      <c r="G9" s="32">
        <f>G8+F9</f>
        <v>-1008488.3265306123</v>
      </c>
    </row>
    <row r="10" spans="2:11" ht="15.75" customHeight="1">
      <c r="B10" s="34">
        <v>2023</v>
      </c>
      <c r="C10" s="33">
        <f>'Settlement Calc'!Q85</f>
        <v>4570580.3000129564</v>
      </c>
      <c r="D10" s="33">
        <f>'Settlement Calc'!N85</f>
        <v>5009496.4607934076</v>
      </c>
      <c r="E10" s="32">
        <f t="shared" si="0"/>
        <v>-438916.16078045126</v>
      </c>
      <c r="F10" s="32">
        <f t="shared" si="1"/>
        <v>-158248.68381880215</v>
      </c>
      <c r="G10" s="32">
        <f>G9+F10</f>
        <v>-1166737.0103494145</v>
      </c>
    </row>
    <row r="11" spans="2:11" ht="15.75" customHeight="1">
      <c r="B11" s="34">
        <v>2024</v>
      </c>
      <c r="C11" s="33">
        <f>'Settlement Calc'!Q99</f>
        <v>5058790.3207756579</v>
      </c>
      <c r="D11" s="33">
        <f>'Settlement Calc'!N99</f>
        <v>4970189.193340404</v>
      </c>
      <c r="E11" s="32">
        <f t="shared" si="0"/>
        <v>88601.127435253933</v>
      </c>
      <c r="F11" s="32">
        <f t="shared" si="1"/>
        <v>31944.624177336456</v>
      </c>
      <c r="G11" s="32">
        <f>F11</f>
        <v>31944.624177336456</v>
      </c>
    </row>
    <row r="12" spans="2:11" ht="15.75" customHeight="1"/>
    <row r="13" spans="2:11" s="39" customFormat="1" ht="8.1" customHeight="1"/>
    <row r="14" spans="2:11" ht="15.75" customHeight="1"/>
    <row r="15" spans="2:11" ht="15.75" customHeight="1">
      <c r="I15" s="38" t="s">
        <v>110</v>
      </c>
    </row>
    <row r="16" spans="2:11" ht="15.75" customHeight="1"/>
    <row r="17" spans="2:18" ht="15.75" customHeight="1">
      <c r="B17" s="40" t="s">
        <v>111</v>
      </c>
      <c r="C17" s="40"/>
      <c r="D17" s="40"/>
      <c r="E17" s="40"/>
      <c r="F17" s="40"/>
      <c r="G17" s="40"/>
      <c r="H17" s="40"/>
      <c r="I17" s="40" t="s">
        <v>111</v>
      </c>
      <c r="J17" s="40"/>
      <c r="K17" s="40"/>
      <c r="L17" s="40"/>
      <c r="M17" s="40"/>
      <c r="N17" s="40"/>
      <c r="O17" s="40"/>
    </row>
    <row r="18" spans="2:18" ht="15.75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51">
      <c r="B19" s="35" t="s">
        <v>104</v>
      </c>
      <c r="C19" s="35" t="s">
        <v>105</v>
      </c>
      <c r="D19" s="35" t="s">
        <v>106</v>
      </c>
      <c r="E19" s="35" t="s">
        <v>107</v>
      </c>
      <c r="F19" s="35" t="s">
        <v>108</v>
      </c>
      <c r="G19" s="35" t="s">
        <v>109</v>
      </c>
      <c r="I19" s="35" t="s">
        <v>104</v>
      </c>
      <c r="J19" s="35" t="s">
        <v>105</v>
      </c>
      <c r="K19" s="35" t="s">
        <v>106</v>
      </c>
      <c r="L19" s="35" t="s">
        <v>107</v>
      </c>
      <c r="M19" s="35" t="s">
        <v>108</v>
      </c>
      <c r="N19" s="35" t="s">
        <v>109</v>
      </c>
      <c r="P19" s="37"/>
      <c r="Q19" s="37"/>
      <c r="R19" s="37"/>
    </row>
    <row r="20" spans="2:18" ht="15.75" customHeight="1">
      <c r="B20" s="34">
        <v>2018</v>
      </c>
      <c r="C20" s="33">
        <v>3713285</v>
      </c>
      <c r="D20" s="33">
        <v>3884828</v>
      </c>
      <c r="E20" s="32">
        <f t="shared" ref="E20:E26" si="2">C20-D20</f>
        <v>-171543</v>
      </c>
      <c r="F20" s="32">
        <f t="shared" ref="F20:F26" si="3">E20*0.265/(1-0.265)</f>
        <v>-61848.836734693883</v>
      </c>
      <c r="G20" s="32">
        <f>F20</f>
        <v>-61848.836734693883</v>
      </c>
      <c r="I20" s="34">
        <v>2018</v>
      </c>
      <c r="J20" s="33">
        <v>3713285</v>
      </c>
      <c r="K20" s="33">
        <v>3884828</v>
      </c>
      <c r="L20" s="32">
        <f t="shared" ref="L20:L26" si="4">J20-K20</f>
        <v>-171543</v>
      </c>
      <c r="M20" s="32">
        <f t="shared" ref="M20:M26" si="5">L20*0.265/(1-0.265)</f>
        <v>-61848.836734693883</v>
      </c>
      <c r="N20" s="32">
        <f>M20</f>
        <v>-61848.836734693883</v>
      </c>
      <c r="P20" s="1"/>
      <c r="Q20" s="1"/>
      <c r="R20" s="1"/>
    </row>
    <row r="21" spans="2:18" ht="15.75" customHeight="1">
      <c r="B21" s="34">
        <v>2019</v>
      </c>
      <c r="C21" s="33">
        <v>3689587</v>
      </c>
      <c r="D21" s="33">
        <v>3932369</v>
      </c>
      <c r="E21" s="32">
        <f t="shared" si="2"/>
        <v>-242782</v>
      </c>
      <c r="F21" s="32">
        <f t="shared" si="3"/>
        <v>-87533.646258503402</v>
      </c>
      <c r="G21" s="32">
        <f>G20+F21</f>
        <v>-149382.48299319728</v>
      </c>
      <c r="I21" s="34">
        <v>2019</v>
      </c>
      <c r="J21" s="33">
        <v>3689587</v>
      </c>
      <c r="K21" s="33">
        <v>3932369</v>
      </c>
      <c r="L21" s="32">
        <f t="shared" si="4"/>
        <v>-242782</v>
      </c>
      <c r="M21" s="32">
        <f t="shared" si="5"/>
        <v>-87533.646258503402</v>
      </c>
      <c r="N21" s="32">
        <f>N20+M21</f>
        <v>-149382.48299319728</v>
      </c>
      <c r="P21" s="1"/>
      <c r="Q21" s="1"/>
      <c r="R21" s="1"/>
    </row>
    <row r="22" spans="2:18" ht="15.75" customHeight="1">
      <c r="B22" s="34">
        <v>2020</v>
      </c>
      <c r="C22" s="33">
        <v>3672032</v>
      </c>
      <c r="D22" s="33">
        <v>4129248</v>
      </c>
      <c r="E22" s="32">
        <f t="shared" si="2"/>
        <v>-457216</v>
      </c>
      <c r="F22" s="32">
        <f t="shared" si="3"/>
        <v>-164846.58503401361</v>
      </c>
      <c r="G22" s="32">
        <f>G21+F22</f>
        <v>-314229.06802721089</v>
      </c>
      <c r="I22" s="34">
        <v>2020</v>
      </c>
      <c r="J22" s="33">
        <v>3672032</v>
      </c>
      <c r="K22" s="33">
        <v>4129248</v>
      </c>
      <c r="L22" s="32">
        <f t="shared" si="4"/>
        <v>-457216</v>
      </c>
      <c r="M22" s="32">
        <f t="shared" si="5"/>
        <v>-164846.58503401361</v>
      </c>
      <c r="N22" s="32">
        <f>N21+M22</f>
        <v>-314229.06802721089</v>
      </c>
      <c r="P22" s="1"/>
      <c r="Q22" s="1"/>
      <c r="R22" s="1"/>
    </row>
    <row r="23" spans="2:18" ht="15.75" customHeight="1">
      <c r="B23" s="34">
        <v>2021</v>
      </c>
      <c r="C23" s="33">
        <v>3803064</v>
      </c>
      <c r="D23" s="33">
        <v>5106841</v>
      </c>
      <c r="E23" s="32">
        <f t="shared" si="2"/>
        <v>-1303777</v>
      </c>
      <c r="F23" s="32">
        <f t="shared" si="3"/>
        <v>-470069.25850340142</v>
      </c>
      <c r="G23" s="32">
        <f>G22+F23</f>
        <v>-784298.32653061231</v>
      </c>
      <c r="I23" s="34">
        <v>2021</v>
      </c>
      <c r="J23" s="33">
        <v>3803064</v>
      </c>
      <c r="K23" s="33">
        <v>5106841</v>
      </c>
      <c r="L23" s="32">
        <f t="shared" si="4"/>
        <v>-1303777</v>
      </c>
      <c r="M23" s="32">
        <f t="shared" si="5"/>
        <v>-470069.25850340142</v>
      </c>
      <c r="N23" s="32">
        <f>N22+M23</f>
        <v>-784298.32653061231</v>
      </c>
      <c r="P23" s="1"/>
      <c r="Q23" s="1"/>
      <c r="R23" s="1"/>
    </row>
    <row r="24" spans="2:18" ht="15.75" customHeight="1">
      <c r="B24" s="34">
        <v>2022</v>
      </c>
      <c r="C24" s="33">
        <v>4040132</v>
      </c>
      <c r="D24" s="33">
        <v>4661942</v>
      </c>
      <c r="E24" s="32">
        <f t="shared" si="2"/>
        <v>-621810</v>
      </c>
      <c r="F24" s="32">
        <f t="shared" si="3"/>
        <v>-224190</v>
      </c>
      <c r="G24" s="32">
        <f>G23+F24</f>
        <v>-1008488.3265306123</v>
      </c>
      <c r="I24" s="34">
        <v>2022</v>
      </c>
      <c r="J24" s="33">
        <v>4040132</v>
      </c>
      <c r="K24" s="33">
        <v>4661942</v>
      </c>
      <c r="L24" s="32">
        <f t="shared" si="4"/>
        <v>-621810</v>
      </c>
      <c r="M24" s="32">
        <f t="shared" si="5"/>
        <v>-224190</v>
      </c>
      <c r="N24" s="32">
        <f>N23+M24</f>
        <v>-1008488.3265306123</v>
      </c>
      <c r="P24" s="1"/>
      <c r="Q24" s="1"/>
      <c r="R24" s="1"/>
    </row>
    <row r="25" spans="2:18" ht="15.75" customHeight="1">
      <c r="B25" s="34">
        <v>2023</v>
      </c>
      <c r="C25" s="33">
        <v>4646650</v>
      </c>
      <c r="D25" s="33">
        <v>5237706</v>
      </c>
      <c r="E25" s="32">
        <f t="shared" si="2"/>
        <v>-591056</v>
      </c>
      <c r="F25" s="32">
        <f t="shared" si="3"/>
        <v>-213101.82312925169</v>
      </c>
      <c r="G25" s="32">
        <f>F25</f>
        <v>-213101.82312925169</v>
      </c>
      <c r="I25" s="34">
        <v>2023</v>
      </c>
      <c r="J25" s="33">
        <v>4620766</v>
      </c>
      <c r="K25" s="33">
        <v>5160053</v>
      </c>
      <c r="L25" s="32">
        <f t="shared" si="4"/>
        <v>-539287</v>
      </c>
      <c r="M25" s="32">
        <f t="shared" si="5"/>
        <v>-194436.80952380953</v>
      </c>
      <c r="N25" s="32">
        <f>M25</f>
        <v>-194436.80952380953</v>
      </c>
      <c r="P25" s="1"/>
      <c r="Q25" s="1"/>
      <c r="R25" s="1"/>
    </row>
    <row r="26" spans="2:18" ht="15.75" customHeight="1">
      <c r="B26" s="34">
        <v>2024</v>
      </c>
      <c r="C26" s="33">
        <v>5143549</v>
      </c>
      <c r="D26" s="33">
        <v>4994314</v>
      </c>
      <c r="E26" s="32">
        <f t="shared" si="2"/>
        <v>149235</v>
      </c>
      <c r="F26" s="32">
        <f t="shared" si="3"/>
        <v>53805.816326530614</v>
      </c>
      <c r="G26" s="32">
        <f>G25+F26</f>
        <v>-159296.00680272107</v>
      </c>
      <c r="I26" s="34">
        <v>2024</v>
      </c>
      <c r="J26" s="33">
        <v>5105575</v>
      </c>
      <c r="K26" s="33">
        <v>4994314</v>
      </c>
      <c r="L26" s="32">
        <f t="shared" si="4"/>
        <v>111261</v>
      </c>
      <c r="M26" s="32">
        <f t="shared" si="5"/>
        <v>40114.510204081635</v>
      </c>
      <c r="N26" s="32">
        <f>N25+M26</f>
        <v>-154322.2993197279</v>
      </c>
      <c r="P26" s="1"/>
      <c r="Q26" s="1"/>
      <c r="R26" s="1"/>
    </row>
    <row r="27" spans="2:18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15.75" customHeight="1">
      <c r="B28" s="1"/>
      <c r="C28" s="36"/>
      <c r="D28" s="36"/>
      <c r="E28" s="36"/>
      <c r="F28" s="36"/>
      <c r="G28" s="36"/>
      <c r="H28" s="36"/>
      <c r="I28" s="1"/>
      <c r="J28" s="36"/>
      <c r="K28" s="36"/>
      <c r="L28" s="36"/>
      <c r="M28" s="36"/>
      <c r="N28" s="36"/>
      <c r="O28" s="36"/>
      <c r="P28" s="1"/>
      <c r="Q28" s="1"/>
      <c r="R28" s="1"/>
    </row>
    <row r="29" spans="2:18" ht="15.75" customHeight="1">
      <c r="B29" s="1" t="s">
        <v>112</v>
      </c>
      <c r="C29" s="36"/>
      <c r="D29" s="36"/>
      <c r="E29" s="36"/>
      <c r="F29" s="36"/>
      <c r="G29" s="36"/>
      <c r="H29" s="36"/>
      <c r="I29" s="1" t="s">
        <v>112</v>
      </c>
      <c r="J29" s="36"/>
      <c r="K29" s="36"/>
      <c r="L29" s="36"/>
      <c r="M29" s="36"/>
      <c r="N29" s="36"/>
      <c r="O29" s="36"/>
      <c r="P29" s="1"/>
      <c r="Q29" s="1"/>
      <c r="R29" s="1"/>
    </row>
    <row r="30" spans="2:18" ht="15.75" customHeight="1"/>
    <row r="31" spans="2:18" ht="51">
      <c r="B31" s="35" t="s">
        <v>104</v>
      </c>
      <c r="C31" s="35" t="s">
        <v>105</v>
      </c>
      <c r="D31" s="35" t="s">
        <v>106</v>
      </c>
      <c r="E31" s="35" t="s">
        <v>107</v>
      </c>
      <c r="F31" s="35" t="s">
        <v>108</v>
      </c>
      <c r="G31" s="35" t="s">
        <v>109</v>
      </c>
      <c r="I31" s="35" t="s">
        <v>104</v>
      </c>
      <c r="J31" s="35" t="s">
        <v>105</v>
      </c>
      <c r="K31" s="35" t="s">
        <v>106</v>
      </c>
      <c r="L31" s="35" t="s">
        <v>107</v>
      </c>
      <c r="M31" s="35" t="s">
        <v>108</v>
      </c>
      <c r="N31" s="35" t="s">
        <v>109</v>
      </c>
    </row>
    <row r="32" spans="2:18" ht="15.75" customHeight="1">
      <c r="B32" s="34">
        <v>2018</v>
      </c>
      <c r="C32" s="33">
        <v>3713285</v>
      </c>
      <c r="D32" s="33">
        <v>3884828</v>
      </c>
      <c r="E32" s="32">
        <f t="shared" ref="E32:E38" si="6">C32-D32</f>
        <v>-171543</v>
      </c>
      <c r="F32" s="32">
        <f t="shared" ref="F32:F38" si="7">E32*0.265/(1-0.265)</f>
        <v>-61848.836734693883</v>
      </c>
      <c r="G32" s="32">
        <f>F32</f>
        <v>-61848.836734693883</v>
      </c>
      <c r="I32" s="34">
        <v>2018</v>
      </c>
      <c r="J32" s="33">
        <f>J20</f>
        <v>3713285</v>
      </c>
      <c r="K32" s="33">
        <f>K20</f>
        <v>3884828</v>
      </c>
      <c r="L32" s="32">
        <f t="shared" ref="L32:L38" si="8">J32-K32</f>
        <v>-171543</v>
      </c>
      <c r="M32" s="32">
        <f t="shared" ref="M32:M38" si="9">L32*0.265/(1-0.265)</f>
        <v>-61848.836734693883</v>
      </c>
      <c r="N32" s="32">
        <f>M32</f>
        <v>-61848.836734693883</v>
      </c>
    </row>
    <row r="33" spans="2:14" ht="15.75" customHeight="1">
      <c r="B33" s="34">
        <v>2019</v>
      </c>
      <c r="C33" s="33">
        <v>3689587</v>
      </c>
      <c r="D33" s="33">
        <v>3932369</v>
      </c>
      <c r="E33" s="32">
        <f t="shared" si="6"/>
        <v>-242782</v>
      </c>
      <c r="F33" s="32">
        <f t="shared" si="7"/>
        <v>-87533.646258503402</v>
      </c>
      <c r="G33" s="32">
        <f>G32+F33</f>
        <v>-149382.48299319728</v>
      </c>
      <c r="I33" s="34">
        <v>2019</v>
      </c>
      <c r="J33" s="33">
        <f t="shared" ref="J33:K33" si="10">J21</f>
        <v>3689587</v>
      </c>
      <c r="K33" s="33">
        <f t="shared" si="10"/>
        <v>3932369</v>
      </c>
      <c r="L33" s="32">
        <f t="shared" si="8"/>
        <v>-242782</v>
      </c>
      <c r="M33" s="32">
        <f t="shared" si="9"/>
        <v>-87533.646258503402</v>
      </c>
      <c r="N33" s="32">
        <f>N32+M33</f>
        <v>-149382.48299319728</v>
      </c>
    </row>
    <row r="34" spans="2:14" ht="15.75" customHeight="1">
      <c r="B34" s="34">
        <v>2020</v>
      </c>
      <c r="C34" s="33">
        <v>3672032</v>
      </c>
      <c r="D34" s="33">
        <v>4129248</v>
      </c>
      <c r="E34" s="32">
        <f t="shared" si="6"/>
        <v>-457216</v>
      </c>
      <c r="F34" s="32">
        <f t="shared" si="7"/>
        <v>-164846.58503401361</v>
      </c>
      <c r="G34" s="32">
        <f>G33+F34</f>
        <v>-314229.06802721089</v>
      </c>
      <c r="I34" s="34">
        <v>2020</v>
      </c>
      <c r="J34" s="33">
        <f t="shared" ref="J34:K34" si="11">J22</f>
        <v>3672032</v>
      </c>
      <c r="K34" s="33">
        <f t="shared" si="11"/>
        <v>4129248</v>
      </c>
      <c r="L34" s="32">
        <f t="shared" si="8"/>
        <v>-457216</v>
      </c>
      <c r="M34" s="32">
        <f t="shared" si="9"/>
        <v>-164846.58503401361</v>
      </c>
      <c r="N34" s="32">
        <f>N33+M34</f>
        <v>-314229.06802721089</v>
      </c>
    </row>
    <row r="35" spans="2:14" ht="15.75" customHeight="1">
      <c r="B35" s="34">
        <v>2021</v>
      </c>
      <c r="C35" s="33">
        <v>3803064</v>
      </c>
      <c r="D35" s="33">
        <v>5106841</v>
      </c>
      <c r="E35" s="32">
        <f t="shared" si="6"/>
        <v>-1303777</v>
      </c>
      <c r="F35" s="32">
        <f t="shared" si="7"/>
        <v>-470069.25850340142</v>
      </c>
      <c r="G35" s="32">
        <f>G34+F35</f>
        <v>-784298.32653061231</v>
      </c>
      <c r="I35" s="34">
        <v>2021</v>
      </c>
      <c r="J35" s="33">
        <f t="shared" ref="J35:K35" si="12">J23</f>
        <v>3803064</v>
      </c>
      <c r="K35" s="33">
        <f t="shared" si="12"/>
        <v>5106841</v>
      </c>
      <c r="L35" s="32">
        <f t="shared" si="8"/>
        <v>-1303777</v>
      </c>
      <c r="M35" s="32">
        <f t="shared" si="9"/>
        <v>-470069.25850340142</v>
      </c>
      <c r="N35" s="32">
        <f>N34+M35</f>
        <v>-784298.32653061231</v>
      </c>
    </row>
    <row r="36" spans="2:14" ht="15.75" customHeight="1">
      <c r="B36" s="34">
        <v>2022</v>
      </c>
      <c r="C36" s="33">
        <v>4040132</v>
      </c>
      <c r="D36" s="33">
        <v>4661942</v>
      </c>
      <c r="E36" s="32">
        <f t="shared" si="6"/>
        <v>-621810</v>
      </c>
      <c r="F36" s="32">
        <f t="shared" si="7"/>
        <v>-224190</v>
      </c>
      <c r="G36" s="32">
        <f>G35+F36</f>
        <v>-1008488.3265306123</v>
      </c>
      <c r="I36" s="34">
        <v>2022</v>
      </c>
      <c r="J36" s="33">
        <f t="shared" ref="J36:K36" si="13">J24</f>
        <v>4040132</v>
      </c>
      <c r="K36" s="33">
        <f t="shared" si="13"/>
        <v>4661942</v>
      </c>
      <c r="L36" s="32">
        <f t="shared" si="8"/>
        <v>-621810</v>
      </c>
      <c r="M36" s="32">
        <f t="shared" si="9"/>
        <v>-224190</v>
      </c>
      <c r="N36" s="32">
        <f>N35+M36</f>
        <v>-1008488.3265306123</v>
      </c>
    </row>
    <row r="37" spans="2:14" ht="15.75" customHeight="1">
      <c r="B37" s="34">
        <v>2023</v>
      </c>
      <c r="C37" s="33">
        <v>4646650</v>
      </c>
      <c r="D37" s="33">
        <v>5237706</v>
      </c>
      <c r="E37" s="32">
        <f t="shared" si="6"/>
        <v>-591056</v>
      </c>
      <c r="F37" s="32">
        <f t="shared" si="7"/>
        <v>-213101.82312925169</v>
      </c>
      <c r="G37" s="32">
        <f>G36+F37</f>
        <v>-1221590.1496598639</v>
      </c>
      <c r="I37" s="34">
        <v>2023</v>
      </c>
      <c r="J37" s="33">
        <f t="shared" ref="J37:K37" si="14">J25</f>
        <v>4620766</v>
      </c>
      <c r="K37" s="33">
        <f t="shared" si="14"/>
        <v>5160053</v>
      </c>
      <c r="L37" s="32">
        <f t="shared" si="8"/>
        <v>-539287</v>
      </c>
      <c r="M37" s="32">
        <f t="shared" si="9"/>
        <v>-194436.80952380953</v>
      </c>
      <c r="N37" s="32">
        <f>N36+M37</f>
        <v>-1202925.1360544218</v>
      </c>
    </row>
    <row r="38" spans="2:14" ht="15.75" customHeight="1">
      <c r="B38" s="34">
        <v>2024</v>
      </c>
      <c r="C38" s="33">
        <v>5143549</v>
      </c>
      <c r="D38" s="33">
        <v>4994314</v>
      </c>
      <c r="E38" s="32">
        <f t="shared" si="6"/>
        <v>149235</v>
      </c>
      <c r="F38" s="32">
        <f t="shared" si="7"/>
        <v>53805.816326530614</v>
      </c>
      <c r="G38" s="32">
        <f>F38</f>
        <v>53805.816326530614</v>
      </c>
      <c r="I38" s="34">
        <v>2024</v>
      </c>
      <c r="J38" s="33">
        <f t="shared" ref="J38:K38" si="15">J26</f>
        <v>5105575</v>
      </c>
      <c r="K38" s="33">
        <f t="shared" si="15"/>
        <v>4994314</v>
      </c>
      <c r="L38" s="32">
        <f t="shared" si="8"/>
        <v>111261</v>
      </c>
      <c r="M38" s="32">
        <f t="shared" si="9"/>
        <v>40114.510204081635</v>
      </c>
      <c r="N38" s="32">
        <f>M38</f>
        <v>40114.510204081635</v>
      </c>
    </row>
    <row r="39" spans="2:14" ht="15.75" customHeight="1"/>
    <row r="40" spans="2:14" ht="15.75" customHeight="1"/>
    <row r="41" spans="2:14" ht="15.75" customHeight="1"/>
    <row r="42" spans="2:14" ht="15.75" customHeight="1"/>
    <row r="43" spans="2:14" ht="15.75" customHeight="1"/>
    <row r="44" spans="2:14" ht="15.75" customHeight="1"/>
    <row r="45" spans="2:14" ht="15.75" customHeight="1"/>
    <row r="46" spans="2:14" ht="15.75" customHeight="1"/>
    <row r="47" spans="2:14" ht="15.75" customHeight="1"/>
    <row r="48" spans="2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</sheetData>
  <mergeCells count="2">
    <mergeCell ref="B17:H17"/>
    <mergeCell ref="I17:O17"/>
  </mergeCells>
  <pageMargins left="0.5" right="0.5" top="0.5" bottom="0.5" header="0.25" footer="0.25"/>
  <pageSetup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3BE2-D206-4563-8E11-51F71AA5EDAE}">
  <sheetPr>
    <pageSetUpPr fitToPage="1"/>
  </sheetPr>
  <dimension ref="A1:V172"/>
  <sheetViews>
    <sheetView topLeftCell="A74" workbookViewId="0">
      <selection activeCell="A74" sqref="A74"/>
    </sheetView>
  </sheetViews>
  <sheetFormatPr defaultColWidth="10" defaultRowHeight="14.25" customHeight="1"/>
  <cols>
    <col min="1" max="1" width="6.7109375" customWidth="1"/>
    <col min="2" max="2" width="28.5703125" bestFit="1" customWidth="1"/>
    <col min="3" max="12" width="12.7109375" customWidth="1"/>
    <col min="13" max="13" width="9.7109375" customWidth="1"/>
    <col min="14" max="15" width="12.7109375" customWidth="1"/>
    <col min="16" max="16" width="1.42578125" customWidth="1"/>
    <col min="17" max="19" width="12.7109375" customWidth="1"/>
    <col min="20" max="20" width="15.5703125" customWidth="1"/>
    <col min="21" max="22" width="12.7109375" customWidth="1"/>
  </cols>
  <sheetData>
    <row r="1" spans="1:22" ht="15" customHeight="1"/>
    <row r="2" spans="1:22" ht="15" customHeight="1">
      <c r="A2" s="2" t="s">
        <v>0</v>
      </c>
    </row>
    <row r="3" spans="1:22" ht="15" customHeight="1"/>
    <row r="4" spans="1:22" ht="15" customHeight="1">
      <c r="A4" s="3" t="s">
        <v>1</v>
      </c>
    </row>
    <row r="5" spans="1:22" ht="38.25" customHeight="1">
      <c r="A5" s="5" t="s">
        <v>2</v>
      </c>
      <c r="B5" s="6" t="s">
        <v>3</v>
      </c>
      <c r="C5" s="7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Q5" s="7" t="s">
        <v>17</v>
      </c>
      <c r="R5" s="7" t="s">
        <v>18</v>
      </c>
      <c r="S5" s="7" t="s">
        <v>19</v>
      </c>
    </row>
    <row r="6" spans="1:22" ht="15" customHeight="1">
      <c r="A6" s="8">
        <v>1</v>
      </c>
      <c r="B6" s="9" t="s">
        <v>20</v>
      </c>
      <c r="C6" s="10">
        <v>22105366</v>
      </c>
      <c r="D6" s="11">
        <v>22105366</v>
      </c>
      <c r="E6" s="11">
        <v>0</v>
      </c>
      <c r="F6" s="11"/>
      <c r="G6" s="11"/>
      <c r="H6" s="11"/>
      <c r="I6" s="11"/>
      <c r="J6" s="11">
        <f>D6+E6+H6+I6</f>
        <v>22105366</v>
      </c>
      <c r="K6" s="11">
        <f>E6+I6+H6</f>
        <v>0</v>
      </c>
      <c r="L6" s="11">
        <f t="shared" ref="L6:L14" si="0">K6*0.5</f>
        <v>0</v>
      </c>
      <c r="M6" s="12">
        <v>0.04</v>
      </c>
      <c r="N6" s="11">
        <f t="shared" ref="N6:N14" si="1">(D6*M6)+((E6-F6+I6)*M6*1.5)</f>
        <v>884214.64</v>
      </c>
      <c r="O6" s="11">
        <f t="shared" ref="O6:O14" si="2">J6-N6</f>
        <v>21221151.359999999</v>
      </c>
      <c r="Q6" s="10">
        <f t="shared" ref="Q6:Q14" si="3">(C6*M6)+(L6*M6)</f>
        <v>884214.64</v>
      </c>
      <c r="R6" s="10">
        <f>J6-Q6</f>
        <v>21221151.359999999</v>
      </c>
      <c r="S6" s="10">
        <f t="shared" ref="S6:S14" si="4">N6-Q6</f>
        <v>0</v>
      </c>
      <c r="T6" s="21"/>
    </row>
    <row r="7" spans="1:22" ht="15" customHeight="1">
      <c r="A7" s="13">
        <v>8</v>
      </c>
      <c r="B7" s="4" t="s">
        <v>21</v>
      </c>
      <c r="C7" s="10">
        <v>1756715</v>
      </c>
      <c r="D7" s="14">
        <v>1756715</v>
      </c>
      <c r="E7" s="14">
        <v>169606</v>
      </c>
      <c r="F7" s="14">
        <v>166322.72900429534</v>
      </c>
      <c r="G7" s="14">
        <v>3283.2709957046509</v>
      </c>
      <c r="H7" s="14"/>
      <c r="I7" s="14"/>
      <c r="J7" s="14">
        <f t="shared" ref="J7:J14" si="5">D7+E7+H7+I7</f>
        <v>1926321</v>
      </c>
      <c r="K7" s="14">
        <f t="shared" ref="K7:K14" si="6">E7+I7+H7</f>
        <v>169606</v>
      </c>
      <c r="L7" s="14">
        <f t="shared" si="0"/>
        <v>84803</v>
      </c>
      <c r="M7" s="15">
        <v>0.2</v>
      </c>
      <c r="N7" s="14">
        <v>401206</v>
      </c>
      <c r="O7" s="14">
        <f t="shared" si="2"/>
        <v>1525115</v>
      </c>
      <c r="Q7" s="10">
        <f t="shared" si="3"/>
        <v>368303.6</v>
      </c>
      <c r="R7" s="10">
        <f t="shared" ref="R7:R14" si="7">J7-Q7</f>
        <v>1558017.4</v>
      </c>
      <c r="S7" s="10">
        <f t="shared" si="4"/>
        <v>32902.400000000023</v>
      </c>
    </row>
    <row r="8" spans="1:22" ht="15" customHeight="1">
      <c r="A8" s="13">
        <v>10</v>
      </c>
      <c r="B8" s="4" t="s">
        <v>22</v>
      </c>
      <c r="C8" s="10">
        <v>132046</v>
      </c>
      <c r="D8" s="14">
        <v>132046</v>
      </c>
      <c r="E8" s="14">
        <v>557000</v>
      </c>
      <c r="F8" s="14">
        <v>555003.55699548125</v>
      </c>
      <c r="G8" s="14">
        <v>1996.4430045187144</v>
      </c>
      <c r="H8" s="14"/>
      <c r="I8" s="14"/>
      <c r="J8" s="14">
        <f t="shared" si="5"/>
        <v>689046</v>
      </c>
      <c r="K8" s="14">
        <f t="shared" si="6"/>
        <v>557000</v>
      </c>
      <c r="L8" s="14">
        <f t="shared" si="0"/>
        <v>278500</v>
      </c>
      <c r="M8" s="15">
        <v>0.3</v>
      </c>
      <c r="N8" s="14">
        <v>139513</v>
      </c>
      <c r="O8" s="14">
        <f t="shared" si="2"/>
        <v>549533</v>
      </c>
      <c r="Q8" s="10">
        <f t="shared" si="3"/>
        <v>123163.79999999999</v>
      </c>
      <c r="R8" s="10">
        <f t="shared" si="7"/>
        <v>565882.19999999995</v>
      </c>
      <c r="S8" s="10">
        <f t="shared" si="4"/>
        <v>16349.200000000012</v>
      </c>
    </row>
    <row r="9" spans="1:22" ht="15" customHeight="1">
      <c r="A9" s="8">
        <v>45</v>
      </c>
      <c r="B9" s="9" t="s">
        <v>23</v>
      </c>
      <c r="C9" s="10">
        <v>155</v>
      </c>
      <c r="D9" s="11">
        <v>155</v>
      </c>
      <c r="E9" s="11">
        <v>0</v>
      </c>
      <c r="F9" s="11">
        <v>0</v>
      </c>
      <c r="G9" s="11"/>
      <c r="H9" s="11"/>
      <c r="I9" s="11"/>
      <c r="J9" s="11">
        <f t="shared" si="5"/>
        <v>155</v>
      </c>
      <c r="K9" s="11">
        <f t="shared" si="6"/>
        <v>0</v>
      </c>
      <c r="L9" s="11">
        <f t="shared" si="0"/>
        <v>0</v>
      </c>
      <c r="M9" s="12">
        <v>0.45</v>
      </c>
      <c r="N9" s="11">
        <f t="shared" si="1"/>
        <v>69.75</v>
      </c>
      <c r="O9" s="11">
        <f t="shared" si="2"/>
        <v>85.25</v>
      </c>
      <c r="Q9" s="10">
        <f t="shared" si="3"/>
        <v>69.75</v>
      </c>
      <c r="R9" s="10">
        <f t="shared" si="7"/>
        <v>85.25</v>
      </c>
      <c r="S9" s="10">
        <f t="shared" si="4"/>
        <v>0</v>
      </c>
      <c r="T9" s="9" t="s">
        <v>24</v>
      </c>
    </row>
    <row r="10" spans="1:22" ht="15" customHeight="1">
      <c r="A10" s="13">
        <v>47</v>
      </c>
      <c r="B10" s="4" t="s">
        <v>25</v>
      </c>
      <c r="C10" s="10">
        <v>24705847</v>
      </c>
      <c r="D10" s="14">
        <v>24705847</v>
      </c>
      <c r="E10" s="14">
        <v>2849732</v>
      </c>
      <c r="F10" s="14">
        <v>1136611.6734944251</v>
      </c>
      <c r="G10" s="14">
        <v>1708720.3265055749</v>
      </c>
      <c r="H10" s="14">
        <v>-4400</v>
      </c>
      <c r="I10" s="14">
        <v>0</v>
      </c>
      <c r="J10" s="14">
        <f t="shared" si="5"/>
        <v>27551179</v>
      </c>
      <c r="K10" s="14">
        <f t="shared" si="6"/>
        <v>2845332</v>
      </c>
      <c r="L10" s="14">
        <f t="shared" si="0"/>
        <v>1422666</v>
      </c>
      <c r="M10" s="15">
        <v>0.08</v>
      </c>
      <c r="N10" s="14">
        <v>2171371</v>
      </c>
      <c r="O10" s="14">
        <f t="shared" si="2"/>
        <v>25379808</v>
      </c>
      <c r="Q10" s="10">
        <f t="shared" si="3"/>
        <v>2090281.04</v>
      </c>
      <c r="R10" s="10">
        <f t="shared" si="7"/>
        <v>25460897.960000001</v>
      </c>
      <c r="S10" s="10">
        <f t="shared" si="4"/>
        <v>81089.959999999963</v>
      </c>
    </row>
    <row r="11" spans="1:22" ht="15" customHeight="1">
      <c r="A11" s="13">
        <v>50</v>
      </c>
      <c r="B11" s="4" t="s">
        <v>26</v>
      </c>
      <c r="C11" s="10">
        <v>313870</v>
      </c>
      <c r="D11" s="14">
        <v>313870</v>
      </c>
      <c r="E11" s="14">
        <v>213043</v>
      </c>
      <c r="F11" s="14">
        <v>139944.06719907909</v>
      </c>
      <c r="G11" s="14">
        <v>73098.932800920928</v>
      </c>
      <c r="H11" s="14"/>
      <c r="I11" s="14"/>
      <c r="J11" s="14">
        <f t="shared" si="5"/>
        <v>526913</v>
      </c>
      <c r="K11" s="14">
        <f t="shared" si="6"/>
        <v>213043</v>
      </c>
      <c r="L11" s="14">
        <f t="shared" si="0"/>
        <v>106521.5</v>
      </c>
      <c r="M11" s="15">
        <v>0.55000000000000004</v>
      </c>
      <c r="N11" s="14">
        <v>268229</v>
      </c>
      <c r="O11" s="14">
        <f t="shared" si="2"/>
        <v>258684</v>
      </c>
      <c r="Q11" s="10">
        <f t="shared" si="3"/>
        <v>231215.32500000001</v>
      </c>
      <c r="R11" s="10">
        <f t="shared" si="7"/>
        <v>295697.67499999999</v>
      </c>
      <c r="S11" s="10">
        <f t="shared" si="4"/>
        <v>37013.674999999988</v>
      </c>
      <c r="T11" s="1" t="s">
        <v>27</v>
      </c>
      <c r="U11" s="11">
        <f>(S15*S17)/(1-S17)</f>
        <v>61848.578945578229</v>
      </c>
      <c r="V11" s="11"/>
    </row>
    <row r="12" spans="1:22" ht="15" customHeight="1">
      <c r="A12" s="8">
        <v>14.1</v>
      </c>
      <c r="C12" s="10">
        <v>203139</v>
      </c>
      <c r="D12" s="11">
        <v>203139</v>
      </c>
      <c r="E12" s="11">
        <v>0</v>
      </c>
      <c r="F12" s="11">
        <v>0</v>
      </c>
      <c r="G12" s="11"/>
      <c r="H12" s="11"/>
      <c r="I12" s="11"/>
      <c r="J12" s="11">
        <f t="shared" si="5"/>
        <v>203139</v>
      </c>
      <c r="K12" s="11">
        <f t="shared" si="6"/>
        <v>0</v>
      </c>
      <c r="L12" s="11">
        <f t="shared" si="0"/>
        <v>0</v>
      </c>
      <c r="M12" s="12">
        <v>0.05</v>
      </c>
      <c r="N12" s="11">
        <v>14220</v>
      </c>
      <c r="O12" s="11">
        <f t="shared" si="2"/>
        <v>188919</v>
      </c>
      <c r="Q12" s="10">
        <f t="shared" si="3"/>
        <v>10156.950000000001</v>
      </c>
      <c r="R12" s="10">
        <f t="shared" si="7"/>
        <v>192982.05</v>
      </c>
      <c r="S12" s="10">
        <f t="shared" si="4"/>
        <v>4063.0499999999993</v>
      </c>
      <c r="T12" s="1" t="s">
        <v>28</v>
      </c>
      <c r="U12" s="11"/>
      <c r="V12" s="11">
        <f>-U11</f>
        <v>-61848.578945578229</v>
      </c>
    </row>
    <row r="13" spans="1:22" ht="15" customHeight="1">
      <c r="A13" s="13" t="s">
        <v>29</v>
      </c>
      <c r="B13" s="4" t="s">
        <v>30</v>
      </c>
      <c r="C13" s="10">
        <v>0</v>
      </c>
      <c r="D13" s="14">
        <v>0</v>
      </c>
      <c r="E13" s="14">
        <v>196000</v>
      </c>
      <c r="F13" s="14">
        <v>196000</v>
      </c>
      <c r="G13" s="14"/>
      <c r="H13" s="14"/>
      <c r="I13" s="14"/>
      <c r="J13" s="14">
        <f t="shared" si="5"/>
        <v>196000</v>
      </c>
      <c r="K13" s="14">
        <f t="shared" si="6"/>
        <v>196000</v>
      </c>
      <c r="L13" s="14">
        <f t="shared" si="0"/>
        <v>98000</v>
      </c>
      <c r="M13" s="15">
        <v>0.06</v>
      </c>
      <c r="N13" s="14">
        <v>6004</v>
      </c>
      <c r="O13" s="14">
        <f t="shared" si="2"/>
        <v>189996</v>
      </c>
      <c r="Q13" s="10">
        <f t="shared" si="3"/>
        <v>5880</v>
      </c>
      <c r="R13" s="10">
        <f t="shared" si="7"/>
        <v>190120</v>
      </c>
      <c r="S13" s="10">
        <f t="shared" si="4"/>
        <v>124</v>
      </c>
    </row>
    <row r="14" spans="1:22" ht="15" customHeight="1">
      <c r="A14" s="8">
        <v>95</v>
      </c>
      <c r="B14" s="9" t="s">
        <v>31</v>
      </c>
      <c r="C14" s="10">
        <v>1137092</v>
      </c>
      <c r="D14" s="11">
        <v>1137092</v>
      </c>
      <c r="E14" s="11">
        <v>129908</v>
      </c>
      <c r="F14" s="11"/>
      <c r="J14" s="11">
        <f t="shared" si="5"/>
        <v>1267000</v>
      </c>
      <c r="K14" s="11">
        <f t="shared" si="6"/>
        <v>129908</v>
      </c>
      <c r="L14" s="11">
        <f t="shared" si="0"/>
        <v>64954</v>
      </c>
      <c r="M14" s="12">
        <v>0</v>
      </c>
      <c r="N14" s="11">
        <f t="shared" si="1"/>
        <v>0</v>
      </c>
      <c r="O14" s="11">
        <f t="shared" si="2"/>
        <v>1267000</v>
      </c>
      <c r="Q14" s="10">
        <f t="shared" si="3"/>
        <v>0</v>
      </c>
      <c r="R14" s="10">
        <f t="shared" si="7"/>
        <v>1267000</v>
      </c>
      <c r="S14" s="10">
        <f t="shared" si="4"/>
        <v>0</v>
      </c>
    </row>
    <row r="15" spans="1:22" ht="15" customHeight="1">
      <c r="A15" s="16"/>
      <c r="B15" s="16"/>
      <c r="C15" s="17">
        <f t="shared" ref="C15" si="8">SUM(C6:C14)</f>
        <v>50354230</v>
      </c>
      <c r="D15" s="18">
        <f t="shared" ref="D15" si="9">SUM(D6:D14)</f>
        <v>50354230</v>
      </c>
      <c r="E15" s="18">
        <f t="shared" ref="E15" si="10">SUM(E6:E14)</f>
        <v>4115289</v>
      </c>
      <c r="F15" s="18">
        <f t="shared" ref="F15" si="11">SUM(F6:F14)</f>
        <v>2193882.0266932808</v>
      </c>
      <c r="G15" s="18">
        <f t="shared" ref="G15" si="12">SUM(G6:G14)</f>
        <v>1787098.9733067192</v>
      </c>
      <c r="H15" s="18">
        <f t="shared" ref="H15" si="13">SUM(H6:H14)</f>
        <v>-4400</v>
      </c>
      <c r="I15" s="18">
        <f t="shared" ref="I15" si="14">SUM(I6:I14)</f>
        <v>0</v>
      </c>
      <c r="J15" s="18">
        <f t="shared" ref="J15" si="15">SUM(J6:J14)</f>
        <v>54465119</v>
      </c>
      <c r="K15" s="18">
        <f t="shared" ref="K15" si="16">SUM(K6:K14)</f>
        <v>4110889</v>
      </c>
      <c r="L15" s="18">
        <f t="shared" ref="L15" si="17">SUM(L6:L14)</f>
        <v>2055444.5</v>
      </c>
      <c r="M15" s="18"/>
      <c r="N15" s="18">
        <f>SUM(N6:N14)</f>
        <v>3884827.39</v>
      </c>
      <c r="O15" s="18">
        <f>SUM(O6:O14)</f>
        <v>50580291.609999999</v>
      </c>
      <c r="Q15" s="17">
        <f>SUM(Q6:Q14)</f>
        <v>3713285.1050000004</v>
      </c>
      <c r="R15" s="17">
        <f>SUM(R6:R14)</f>
        <v>50751833.894999996</v>
      </c>
      <c r="S15" s="17">
        <f>SUM(S6:S14)</f>
        <v>171542.28499999997</v>
      </c>
      <c r="T15" s="2"/>
      <c r="U15" s="2"/>
      <c r="V15" s="11"/>
    </row>
    <row r="16" spans="1:22" ht="15" customHeight="1">
      <c r="N16" s="19" t="s">
        <v>32</v>
      </c>
    </row>
    <row r="17" spans="1:22" ht="15" customHeight="1">
      <c r="R17" s="9" t="s">
        <v>33</v>
      </c>
      <c r="S17" s="20">
        <v>0.26500000000000001</v>
      </c>
    </row>
    <row r="18" spans="1:22" ht="15" customHeight="1">
      <c r="A18" s="3" t="s">
        <v>34</v>
      </c>
    </row>
    <row r="19" spans="1:22" ht="38.25" customHeight="1">
      <c r="A19" s="5" t="s">
        <v>2</v>
      </c>
      <c r="B19" s="6" t="s">
        <v>3</v>
      </c>
      <c r="C19" s="7" t="s">
        <v>4</v>
      </c>
      <c r="D19" s="5" t="s">
        <v>5</v>
      </c>
      <c r="E19" s="5" t="s">
        <v>6</v>
      </c>
      <c r="F19" s="5" t="s">
        <v>35</v>
      </c>
      <c r="G19" s="5" t="s">
        <v>36</v>
      </c>
      <c r="H19" s="5" t="s">
        <v>9</v>
      </c>
      <c r="I19" s="5" t="s">
        <v>10</v>
      </c>
      <c r="J19" s="5" t="s">
        <v>11</v>
      </c>
      <c r="K19" s="5" t="s">
        <v>12</v>
      </c>
      <c r="L19" s="5" t="s">
        <v>13</v>
      </c>
      <c r="M19" s="5" t="s">
        <v>14</v>
      </c>
      <c r="N19" s="5" t="s">
        <v>15</v>
      </c>
      <c r="O19" s="5" t="s">
        <v>16</v>
      </c>
      <c r="Q19" s="7" t="s">
        <v>17</v>
      </c>
      <c r="R19" s="7" t="s">
        <v>18</v>
      </c>
      <c r="S19" s="7" t="s">
        <v>19</v>
      </c>
    </row>
    <row r="20" spans="1:22" ht="15" customHeight="1">
      <c r="A20" s="8">
        <v>1</v>
      </c>
      <c r="B20" s="9" t="s">
        <v>20</v>
      </c>
      <c r="C20" s="10">
        <f>R6</f>
        <v>21221151.359999999</v>
      </c>
      <c r="D20" s="11">
        <f>O6</f>
        <v>21221151.359999999</v>
      </c>
      <c r="E20" s="11">
        <v>0</v>
      </c>
      <c r="F20" s="11"/>
      <c r="G20" s="11"/>
      <c r="H20" s="11"/>
      <c r="I20" s="11"/>
      <c r="J20" s="11">
        <f>D20+E20+H20+I20</f>
        <v>21221151.359999999</v>
      </c>
      <c r="K20" s="11">
        <f>E20+I20+H20</f>
        <v>0</v>
      </c>
      <c r="L20" s="11">
        <f t="shared" ref="L20:L28" si="18">K20*0.5</f>
        <v>0</v>
      </c>
      <c r="M20" s="12">
        <v>0.04</v>
      </c>
      <c r="N20" s="11">
        <f t="shared" ref="N20" si="19">(D20*M20)+((E20-F20+I20)*M20*1.5)</f>
        <v>848846.05440000002</v>
      </c>
      <c r="O20" s="11">
        <f t="shared" ref="O20:O28" si="20">J20-N20</f>
        <v>20372305.305599999</v>
      </c>
      <c r="Q20" s="10">
        <f t="shared" ref="Q20:Q28" si="21">(C20*M20)+(L20*M20)</f>
        <v>848846.05440000002</v>
      </c>
      <c r="R20" s="10">
        <f>J20-Q20</f>
        <v>20372305.305599999</v>
      </c>
      <c r="S20" s="10">
        <f t="shared" ref="S20:S28" si="22">N20-Q20</f>
        <v>0</v>
      </c>
      <c r="T20" s="21"/>
    </row>
    <row r="21" spans="1:22" ht="15" customHeight="1">
      <c r="A21" s="13">
        <v>8</v>
      </c>
      <c r="B21" s="4" t="s">
        <v>21</v>
      </c>
      <c r="C21" s="10">
        <f t="shared" ref="C21:C28" si="23">R7</f>
        <v>1558017.4</v>
      </c>
      <c r="D21" s="14">
        <f t="shared" ref="D21:D28" si="24">O7</f>
        <v>1525115</v>
      </c>
      <c r="E21" s="14">
        <v>43691</v>
      </c>
      <c r="F21" s="14">
        <v>43691</v>
      </c>
      <c r="G21" s="14"/>
      <c r="H21" s="14"/>
      <c r="I21" s="14"/>
      <c r="J21" s="14">
        <f t="shared" ref="J21:J28" si="25">D21+E21+H21+I21</f>
        <v>1568806</v>
      </c>
      <c r="K21" s="14">
        <f t="shared" ref="K21:K28" si="26">E21+I21+H21</f>
        <v>43691</v>
      </c>
      <c r="L21" s="14">
        <f t="shared" si="18"/>
        <v>21845.5</v>
      </c>
      <c r="M21" s="15">
        <v>0.2</v>
      </c>
      <c r="N21" s="14">
        <v>318130</v>
      </c>
      <c r="O21" s="14">
        <f t="shared" si="20"/>
        <v>1250676</v>
      </c>
      <c r="Q21" s="10">
        <f t="shared" si="21"/>
        <v>315972.57999999996</v>
      </c>
      <c r="R21" s="10">
        <f t="shared" ref="R21:R28" si="27">J21-Q21</f>
        <v>1252833.42</v>
      </c>
      <c r="S21" s="10">
        <f t="shared" si="22"/>
        <v>2157.4200000000419</v>
      </c>
    </row>
    <row r="22" spans="1:22" ht="15" customHeight="1">
      <c r="A22" s="13">
        <v>10</v>
      </c>
      <c r="B22" s="4" t="s">
        <v>22</v>
      </c>
      <c r="C22" s="10">
        <f t="shared" si="23"/>
        <v>565882.19999999995</v>
      </c>
      <c r="D22" s="14">
        <f t="shared" si="24"/>
        <v>549533</v>
      </c>
      <c r="E22" s="14">
        <v>6000</v>
      </c>
      <c r="F22" s="14">
        <v>6000</v>
      </c>
      <c r="G22" s="14">
        <v>1996.4430045187144</v>
      </c>
      <c r="H22" s="14"/>
      <c r="I22" s="14"/>
      <c r="J22" s="14">
        <f t="shared" si="25"/>
        <v>555533</v>
      </c>
      <c r="K22" s="14">
        <f t="shared" si="26"/>
        <v>6000</v>
      </c>
      <c r="L22" s="14">
        <f t="shared" si="18"/>
        <v>3000</v>
      </c>
      <c r="M22" s="15">
        <v>0.3</v>
      </c>
      <c r="N22" s="14">
        <v>167560</v>
      </c>
      <c r="O22" s="14">
        <f t="shared" si="20"/>
        <v>387973</v>
      </c>
      <c r="Q22" s="10">
        <f t="shared" si="21"/>
        <v>170664.65999999997</v>
      </c>
      <c r="R22" s="10">
        <f t="shared" si="27"/>
        <v>384868.34</v>
      </c>
      <c r="S22" s="10">
        <f t="shared" si="22"/>
        <v>-3104.6599999999744</v>
      </c>
    </row>
    <row r="23" spans="1:22" ht="15" customHeight="1">
      <c r="A23" s="8">
        <v>45</v>
      </c>
      <c r="B23" s="9" t="s">
        <v>23</v>
      </c>
      <c r="C23" s="10">
        <f t="shared" si="23"/>
        <v>85.25</v>
      </c>
      <c r="D23" s="11">
        <f t="shared" si="24"/>
        <v>85.25</v>
      </c>
      <c r="E23" s="11">
        <v>0</v>
      </c>
      <c r="F23" s="11">
        <v>0</v>
      </c>
      <c r="G23" s="11"/>
      <c r="H23" s="11"/>
      <c r="I23" s="11"/>
      <c r="J23" s="11">
        <f t="shared" si="25"/>
        <v>85.25</v>
      </c>
      <c r="K23" s="11">
        <f t="shared" si="26"/>
        <v>0</v>
      </c>
      <c r="L23" s="11">
        <f t="shared" si="18"/>
        <v>0</v>
      </c>
      <c r="M23" s="12">
        <v>0.45</v>
      </c>
      <c r="N23" s="11">
        <f t="shared" ref="N23" si="28">(D23*M23)+((E23-F23+I23)*M23*1.5)</f>
        <v>38.362500000000004</v>
      </c>
      <c r="O23" s="11">
        <f t="shared" si="20"/>
        <v>46.887499999999996</v>
      </c>
      <c r="Q23" s="10">
        <f t="shared" si="21"/>
        <v>38.362500000000004</v>
      </c>
      <c r="R23" s="10">
        <f t="shared" si="27"/>
        <v>46.887499999999996</v>
      </c>
      <c r="S23" s="10">
        <f t="shared" si="22"/>
        <v>0</v>
      </c>
      <c r="T23" s="9" t="s">
        <v>24</v>
      </c>
    </row>
    <row r="24" spans="1:22" ht="15" customHeight="1">
      <c r="A24" s="13">
        <v>47</v>
      </c>
      <c r="B24" s="4" t="s">
        <v>25</v>
      </c>
      <c r="C24" s="10">
        <f t="shared" si="23"/>
        <v>25460897.960000001</v>
      </c>
      <c r="D24" s="14">
        <f t="shared" si="24"/>
        <v>25379808</v>
      </c>
      <c r="E24" s="14">
        <v>2451505</v>
      </c>
      <c r="F24" s="14">
        <v>2451505</v>
      </c>
      <c r="G24" s="14"/>
      <c r="H24" s="14"/>
      <c r="I24" s="14">
        <v>-6000</v>
      </c>
      <c r="J24" s="14">
        <f t="shared" si="25"/>
        <v>27825313</v>
      </c>
      <c r="K24" s="14">
        <f t="shared" si="26"/>
        <v>2445505</v>
      </c>
      <c r="L24" s="14">
        <f t="shared" si="18"/>
        <v>1222752.5</v>
      </c>
      <c r="M24" s="15">
        <v>0.08</v>
      </c>
      <c r="N24" s="14">
        <v>2323845</v>
      </c>
      <c r="O24" s="14">
        <f t="shared" si="20"/>
        <v>25501468</v>
      </c>
      <c r="Q24" s="10">
        <f t="shared" si="21"/>
        <v>2134692.0368000004</v>
      </c>
      <c r="R24" s="10">
        <f t="shared" si="27"/>
        <v>25690620.963199999</v>
      </c>
      <c r="S24" s="10">
        <f t="shared" si="22"/>
        <v>189152.96319999965</v>
      </c>
    </row>
    <row r="25" spans="1:22" ht="15" customHeight="1">
      <c r="A25" s="13">
        <v>50</v>
      </c>
      <c r="B25" s="4" t="s">
        <v>26</v>
      </c>
      <c r="C25" s="10">
        <f t="shared" si="23"/>
        <v>295697.67499999999</v>
      </c>
      <c r="D25" s="14">
        <f t="shared" si="24"/>
        <v>258684</v>
      </c>
      <c r="E25" s="14">
        <v>125612</v>
      </c>
      <c r="F25" s="14">
        <v>125612</v>
      </c>
      <c r="G25" s="14"/>
      <c r="H25" s="14"/>
      <c r="I25" s="14"/>
      <c r="J25" s="14">
        <f t="shared" si="25"/>
        <v>384296</v>
      </c>
      <c r="K25" s="14">
        <f t="shared" si="26"/>
        <v>125612</v>
      </c>
      <c r="L25" s="14">
        <f t="shared" si="18"/>
        <v>62806</v>
      </c>
      <c r="M25" s="15">
        <v>0.55000000000000004</v>
      </c>
      <c r="N25" s="14">
        <v>245906</v>
      </c>
      <c r="O25" s="14">
        <f t="shared" si="20"/>
        <v>138390</v>
      </c>
      <c r="Q25" s="10">
        <f t="shared" si="21"/>
        <v>197177.02124999999</v>
      </c>
      <c r="R25" s="10">
        <f t="shared" si="27"/>
        <v>187118.97875000001</v>
      </c>
      <c r="S25" s="10">
        <f t="shared" si="22"/>
        <v>48728.978750000009</v>
      </c>
      <c r="T25" s="1" t="s">
        <v>27</v>
      </c>
      <c r="U25" s="11">
        <f>(S29*S31)/(1-S31)</f>
        <v>87533.790277891065</v>
      </c>
      <c r="V25" s="11"/>
    </row>
    <row r="26" spans="1:22" ht="15" customHeight="1">
      <c r="A26" s="8">
        <v>14.1</v>
      </c>
      <c r="C26" s="10">
        <f t="shared" si="23"/>
        <v>192982.05</v>
      </c>
      <c r="D26" s="11">
        <f t="shared" si="24"/>
        <v>188919</v>
      </c>
      <c r="E26" s="11">
        <v>0</v>
      </c>
      <c r="F26" s="11">
        <v>0</v>
      </c>
      <c r="G26" s="11"/>
      <c r="H26" s="11"/>
      <c r="I26" s="11"/>
      <c r="J26" s="11">
        <f t="shared" si="25"/>
        <v>188919</v>
      </c>
      <c r="K26" s="11">
        <f t="shared" si="26"/>
        <v>0</v>
      </c>
      <c r="L26" s="11">
        <f t="shared" si="18"/>
        <v>0</v>
      </c>
      <c r="M26" s="12">
        <v>0.05</v>
      </c>
      <c r="N26" s="11">
        <v>13224</v>
      </c>
      <c r="O26" s="11">
        <f t="shared" si="20"/>
        <v>175695</v>
      </c>
      <c r="Q26" s="10">
        <f t="shared" si="21"/>
        <v>9649.1024999999991</v>
      </c>
      <c r="R26" s="10">
        <f t="shared" si="27"/>
        <v>179269.89749999999</v>
      </c>
      <c r="S26" s="10">
        <f t="shared" si="22"/>
        <v>3574.8975000000009</v>
      </c>
      <c r="T26" s="1" t="s">
        <v>28</v>
      </c>
      <c r="U26" s="11"/>
      <c r="V26" s="11">
        <f>-U25</f>
        <v>-87533.790277891065</v>
      </c>
    </row>
    <row r="27" spans="1:22" ht="15" customHeight="1">
      <c r="A27" s="13" t="s">
        <v>29</v>
      </c>
      <c r="B27" s="4" t="s">
        <v>30</v>
      </c>
      <c r="C27" s="10">
        <f t="shared" si="23"/>
        <v>190120</v>
      </c>
      <c r="D27" s="14">
        <f t="shared" si="24"/>
        <v>189996</v>
      </c>
      <c r="E27" s="14">
        <v>38000</v>
      </c>
      <c r="F27" s="14">
        <v>38000</v>
      </c>
      <c r="G27" s="14"/>
      <c r="H27" s="14"/>
      <c r="I27" s="14"/>
      <c r="J27" s="14">
        <f t="shared" si="25"/>
        <v>227996</v>
      </c>
      <c r="K27" s="14">
        <f t="shared" si="26"/>
        <v>38000</v>
      </c>
      <c r="L27" s="14">
        <f t="shared" si="18"/>
        <v>19000</v>
      </c>
      <c r="M27" s="15">
        <v>0.06</v>
      </c>
      <c r="N27" s="14">
        <v>14820</v>
      </c>
      <c r="O27" s="14">
        <f t="shared" si="20"/>
        <v>213176</v>
      </c>
      <c r="Q27" s="10">
        <f t="shared" si="21"/>
        <v>12547.199999999999</v>
      </c>
      <c r="R27" s="10">
        <f t="shared" si="27"/>
        <v>215448.8</v>
      </c>
      <c r="S27" s="10">
        <f t="shared" si="22"/>
        <v>2272.8000000000011</v>
      </c>
    </row>
    <row r="28" spans="1:22" ht="15" customHeight="1">
      <c r="A28" s="8">
        <v>95</v>
      </c>
      <c r="B28" s="9" t="s">
        <v>31</v>
      </c>
      <c r="C28" s="10">
        <f t="shared" si="23"/>
        <v>1267000</v>
      </c>
      <c r="D28" s="11">
        <f t="shared" si="24"/>
        <v>1267000</v>
      </c>
      <c r="E28" s="11">
        <v>2470000</v>
      </c>
      <c r="F28" s="11"/>
      <c r="J28" s="11">
        <f t="shared" si="25"/>
        <v>3737000</v>
      </c>
      <c r="K28" s="11">
        <f t="shared" si="26"/>
        <v>2470000</v>
      </c>
      <c r="L28" s="11">
        <f t="shared" si="18"/>
        <v>1235000</v>
      </c>
      <c r="M28" s="12">
        <v>0</v>
      </c>
      <c r="N28" s="11">
        <f t="shared" ref="N28" si="29">(D28*M28)+((E28-F28+I28)*M28*1.5)</f>
        <v>0</v>
      </c>
      <c r="O28" s="11">
        <f t="shared" si="20"/>
        <v>3737000</v>
      </c>
      <c r="Q28" s="10">
        <f t="shared" si="21"/>
        <v>0</v>
      </c>
      <c r="R28" s="10">
        <f t="shared" si="27"/>
        <v>3737000</v>
      </c>
      <c r="S28" s="10">
        <f t="shared" si="22"/>
        <v>0</v>
      </c>
    </row>
    <row r="29" spans="1:22" ht="15" customHeight="1">
      <c r="A29" s="16"/>
      <c r="B29" s="16"/>
      <c r="C29" s="17">
        <f t="shared" ref="C29" si="30">SUM(C20:C28)</f>
        <v>50751833.894999996</v>
      </c>
      <c r="D29" s="18">
        <f t="shared" ref="D29" si="31">SUM(D20:D28)</f>
        <v>50580291.609999999</v>
      </c>
      <c r="E29" s="18">
        <f t="shared" ref="E29" si="32">SUM(E20:E28)</f>
        <v>5134808</v>
      </c>
      <c r="F29" s="18">
        <f t="shared" ref="F29" si="33">SUM(F20:F28)</f>
        <v>2664808</v>
      </c>
      <c r="G29" s="18">
        <f t="shared" ref="G29" si="34">SUM(G20:G28)</f>
        <v>1996.4430045187144</v>
      </c>
      <c r="H29" s="18">
        <f t="shared" ref="H29" si="35">SUM(H20:H28)</f>
        <v>0</v>
      </c>
      <c r="I29" s="18">
        <f t="shared" ref="I29" si="36">SUM(I20:I28)</f>
        <v>-6000</v>
      </c>
      <c r="J29" s="18">
        <f t="shared" ref="J29" si="37">SUM(J20:J28)</f>
        <v>55709099.609999999</v>
      </c>
      <c r="K29" s="18">
        <f t="shared" ref="K29" si="38">SUM(K20:K28)</f>
        <v>5128808</v>
      </c>
      <c r="L29" s="18">
        <f t="shared" ref="L29" si="39">SUM(L20:L28)</f>
        <v>2564404</v>
      </c>
      <c r="M29" s="18"/>
      <c r="N29" s="18">
        <f>SUM(N20:N28)</f>
        <v>3932369.4169000001</v>
      </c>
      <c r="O29" s="18">
        <f>SUM(O20:O28)</f>
        <v>51776730.193099998</v>
      </c>
      <c r="Q29" s="17">
        <f>SUM(Q20:Q28)</f>
        <v>3689587.0174500002</v>
      </c>
      <c r="R29" s="17">
        <f>SUM(R20:R28)</f>
        <v>52019512.592549995</v>
      </c>
      <c r="S29" s="17">
        <f>SUM(S20:S28)</f>
        <v>242782.39944999971</v>
      </c>
      <c r="T29" s="2"/>
      <c r="U29" s="2"/>
      <c r="V29" s="11"/>
    </row>
    <row r="30" spans="1:22" ht="15" customHeight="1">
      <c r="N30" s="19" t="s">
        <v>32</v>
      </c>
    </row>
    <row r="31" spans="1:22" ht="15" customHeight="1">
      <c r="R31" s="9" t="s">
        <v>33</v>
      </c>
      <c r="S31" s="20">
        <v>0.26500000000000001</v>
      </c>
    </row>
    <row r="32" spans="1:22" ht="15" customHeight="1">
      <c r="A32" s="3" t="s">
        <v>37</v>
      </c>
    </row>
    <row r="33" spans="1:22" ht="38.25" customHeight="1">
      <c r="A33" s="5" t="s">
        <v>2</v>
      </c>
      <c r="B33" s="6" t="s">
        <v>3</v>
      </c>
      <c r="C33" s="7" t="s">
        <v>4</v>
      </c>
      <c r="D33" s="5" t="s">
        <v>5</v>
      </c>
      <c r="E33" s="5" t="s">
        <v>6</v>
      </c>
      <c r="F33" s="5" t="s">
        <v>35</v>
      </c>
      <c r="G33" s="5" t="s">
        <v>36</v>
      </c>
      <c r="H33" s="5" t="s">
        <v>9</v>
      </c>
      <c r="I33" s="5" t="s">
        <v>10</v>
      </c>
      <c r="J33" s="5" t="s">
        <v>11</v>
      </c>
      <c r="K33" s="5" t="s">
        <v>12</v>
      </c>
      <c r="L33" s="5" t="s">
        <v>13</v>
      </c>
      <c r="M33" s="5" t="s">
        <v>14</v>
      </c>
      <c r="N33" s="5" t="s">
        <v>15</v>
      </c>
      <c r="O33" s="5" t="s">
        <v>16</v>
      </c>
      <c r="Q33" s="7" t="s">
        <v>17</v>
      </c>
      <c r="R33" s="7" t="s">
        <v>18</v>
      </c>
      <c r="S33" s="7" t="s">
        <v>19</v>
      </c>
    </row>
    <row r="34" spans="1:22" ht="15" customHeight="1">
      <c r="A34" s="8">
        <v>1</v>
      </c>
      <c r="B34" s="9" t="s">
        <v>20</v>
      </c>
      <c r="C34" s="10">
        <v>20372305</v>
      </c>
      <c r="D34" s="11">
        <v>20372305</v>
      </c>
      <c r="E34" s="11">
        <v>0</v>
      </c>
      <c r="F34" s="11"/>
      <c r="G34" s="11"/>
      <c r="H34" s="11"/>
      <c r="I34" s="11"/>
      <c r="J34" s="11">
        <f t="shared" ref="J34:J42" si="40">SUM(D34:I34)</f>
        <v>20372305</v>
      </c>
      <c r="K34" s="11">
        <f t="shared" ref="K34:K42" si="41">E34+F34+I34</f>
        <v>0</v>
      </c>
      <c r="L34" s="11">
        <f t="shared" ref="L34:L42" si="42">K34*0.5</f>
        <v>0</v>
      </c>
      <c r="M34" s="12">
        <v>0.04</v>
      </c>
      <c r="N34" s="11">
        <f t="shared" ref="N34:N42" si="43">(D34*M34)+((E34-F34+I34)*M34*1.5)</f>
        <v>814892.20000000007</v>
      </c>
      <c r="O34" s="11">
        <f t="shared" ref="O34:O42" si="44">J34-N34</f>
        <v>19557412.800000001</v>
      </c>
      <c r="Q34" s="10">
        <f t="shared" ref="Q34:Q42" si="45">(C34*M34)+(L34*M34)</f>
        <v>814892.20000000007</v>
      </c>
      <c r="R34" s="10">
        <f t="shared" ref="R34:R42" si="46">C34+SUM(E34:I34)-Q34</f>
        <v>19557412.800000001</v>
      </c>
      <c r="S34" s="10">
        <f t="shared" ref="S34:S42" si="47">N34-Q34</f>
        <v>0</v>
      </c>
      <c r="T34" s="41"/>
      <c r="U34" s="42"/>
      <c r="V34" s="11"/>
    </row>
    <row r="35" spans="1:22" ht="15" customHeight="1">
      <c r="A35" s="13">
        <v>8</v>
      </c>
      <c r="B35" s="4" t="s">
        <v>21</v>
      </c>
      <c r="C35" s="10">
        <v>1285735.82</v>
      </c>
      <c r="D35" s="14">
        <v>1250676</v>
      </c>
      <c r="E35" s="14">
        <v>262130</v>
      </c>
      <c r="F35" s="14"/>
      <c r="G35" s="14"/>
      <c r="H35" s="14"/>
      <c r="I35" s="14"/>
      <c r="J35" s="14">
        <f t="shared" si="40"/>
        <v>1512806</v>
      </c>
      <c r="K35" s="14">
        <f t="shared" si="41"/>
        <v>262130</v>
      </c>
      <c r="L35" s="14">
        <f t="shared" si="42"/>
        <v>131065</v>
      </c>
      <c r="M35" s="15">
        <v>0.2</v>
      </c>
      <c r="N35" s="14">
        <f t="shared" si="43"/>
        <v>328774.2</v>
      </c>
      <c r="O35" s="14">
        <f t="shared" si="44"/>
        <v>1184031.8</v>
      </c>
      <c r="Q35" s="10">
        <f t="shared" si="45"/>
        <v>283360.16399999999</v>
      </c>
      <c r="R35" s="10">
        <f t="shared" si="46"/>
        <v>1264505.656</v>
      </c>
      <c r="S35" s="10">
        <f t="shared" si="47"/>
        <v>45414.036000000022</v>
      </c>
    </row>
    <row r="36" spans="1:22" ht="15" customHeight="1">
      <c r="A36" s="13">
        <v>10</v>
      </c>
      <c r="B36" s="4" t="s">
        <v>22</v>
      </c>
      <c r="C36" s="10">
        <v>401217.54</v>
      </c>
      <c r="D36" s="14">
        <v>387973</v>
      </c>
      <c r="E36" s="14">
        <v>18630</v>
      </c>
      <c r="F36" s="14"/>
      <c r="G36" s="14"/>
      <c r="H36" s="14"/>
      <c r="I36" s="14"/>
      <c r="J36" s="14">
        <f t="shared" si="40"/>
        <v>406603</v>
      </c>
      <c r="K36" s="14">
        <f t="shared" si="41"/>
        <v>18630</v>
      </c>
      <c r="L36" s="14">
        <f t="shared" si="42"/>
        <v>9315</v>
      </c>
      <c r="M36" s="15">
        <v>0.3</v>
      </c>
      <c r="N36" s="14">
        <f t="shared" si="43"/>
        <v>124775.4</v>
      </c>
      <c r="O36" s="14">
        <f t="shared" si="44"/>
        <v>281827.59999999998</v>
      </c>
      <c r="Q36" s="10">
        <f t="shared" si="45"/>
        <v>123159.76199999999</v>
      </c>
      <c r="R36" s="10">
        <f t="shared" si="46"/>
        <v>296687.77799999999</v>
      </c>
      <c r="S36" s="10">
        <f t="shared" si="47"/>
        <v>1615.6380000000063</v>
      </c>
    </row>
    <row r="37" spans="1:22" ht="15" customHeight="1">
      <c r="A37" s="8">
        <v>45</v>
      </c>
      <c r="B37" s="9" t="s">
        <v>23</v>
      </c>
      <c r="C37" s="10">
        <v>47</v>
      </c>
      <c r="D37" s="11">
        <v>47</v>
      </c>
      <c r="E37" s="11">
        <v>0</v>
      </c>
      <c r="F37" s="11"/>
      <c r="G37" s="11"/>
      <c r="H37" s="11"/>
      <c r="I37" s="11"/>
      <c r="J37" s="11">
        <f t="shared" si="40"/>
        <v>47</v>
      </c>
      <c r="K37" s="11">
        <f t="shared" si="41"/>
        <v>0</v>
      </c>
      <c r="L37" s="11">
        <f t="shared" si="42"/>
        <v>0</v>
      </c>
      <c r="M37" s="12">
        <v>0.45</v>
      </c>
      <c r="N37" s="11">
        <f t="shared" si="43"/>
        <v>21.150000000000002</v>
      </c>
      <c r="O37" s="11">
        <f t="shared" si="44"/>
        <v>25.849999999999998</v>
      </c>
      <c r="Q37" s="10">
        <f t="shared" si="45"/>
        <v>21.150000000000002</v>
      </c>
      <c r="R37" s="10">
        <f t="shared" si="46"/>
        <v>25.849999999999998</v>
      </c>
      <c r="S37" s="10">
        <f t="shared" si="47"/>
        <v>0</v>
      </c>
      <c r="T37" s="9" t="s">
        <v>24</v>
      </c>
    </row>
    <row r="38" spans="1:22" ht="15" customHeight="1">
      <c r="A38" s="13">
        <v>47</v>
      </c>
      <c r="B38" s="4" t="s">
        <v>25</v>
      </c>
      <c r="C38" s="10">
        <v>25771710.920000002</v>
      </c>
      <c r="D38" s="14">
        <v>25501468</v>
      </c>
      <c r="E38" s="14">
        <v>3711652</v>
      </c>
      <c r="F38" s="14"/>
      <c r="G38" s="14"/>
      <c r="H38" s="14"/>
      <c r="I38" s="14">
        <v>-39000</v>
      </c>
      <c r="J38" s="14">
        <f t="shared" si="40"/>
        <v>29174120</v>
      </c>
      <c r="K38" s="14">
        <f t="shared" si="41"/>
        <v>3672652</v>
      </c>
      <c r="L38" s="14">
        <f t="shared" si="42"/>
        <v>1836326</v>
      </c>
      <c r="M38" s="15">
        <v>0.08</v>
      </c>
      <c r="N38" s="14">
        <f t="shared" si="43"/>
        <v>2480835.6800000002</v>
      </c>
      <c r="O38" s="14">
        <f t="shared" si="44"/>
        <v>26693284.32</v>
      </c>
      <c r="Q38" s="10">
        <f t="shared" si="45"/>
        <v>2208642.9536000001</v>
      </c>
      <c r="R38" s="10">
        <f t="shared" si="46"/>
        <v>27235719.966400001</v>
      </c>
      <c r="S38" s="10">
        <f t="shared" si="47"/>
        <v>272192.72640000004</v>
      </c>
    </row>
    <row r="39" spans="1:22" ht="15" customHeight="1">
      <c r="A39" s="13">
        <v>50</v>
      </c>
      <c r="B39" s="4" t="s">
        <v>26</v>
      </c>
      <c r="C39" s="10">
        <v>224132.65</v>
      </c>
      <c r="D39" s="14">
        <v>138390</v>
      </c>
      <c r="E39" s="14">
        <v>330269</v>
      </c>
      <c r="F39" s="14"/>
      <c r="G39" s="14"/>
      <c r="H39" s="14"/>
      <c r="I39" s="14"/>
      <c r="J39" s="14">
        <f t="shared" si="40"/>
        <v>468659</v>
      </c>
      <c r="K39" s="14">
        <f t="shared" si="41"/>
        <v>330269</v>
      </c>
      <c r="L39" s="14">
        <f t="shared" si="42"/>
        <v>165134.5</v>
      </c>
      <c r="M39" s="15">
        <v>0.55000000000000004</v>
      </c>
      <c r="N39" s="14">
        <f t="shared" si="43"/>
        <v>348586.42500000005</v>
      </c>
      <c r="O39" s="14">
        <f t="shared" si="44"/>
        <v>120072.57499999995</v>
      </c>
      <c r="Q39" s="10">
        <f t="shared" si="45"/>
        <v>214096.9325</v>
      </c>
      <c r="R39" s="10">
        <f t="shared" si="46"/>
        <v>340304.71750000003</v>
      </c>
      <c r="S39" s="10">
        <f t="shared" si="47"/>
        <v>134489.49250000005</v>
      </c>
      <c r="T39" s="1" t="s">
        <v>27</v>
      </c>
      <c r="U39" s="11">
        <f>(S43*S45)/(1-S45)</f>
        <v>164846.57364081638</v>
      </c>
      <c r="V39" s="11"/>
    </row>
    <row r="40" spans="1:22" ht="15" customHeight="1">
      <c r="A40" s="8">
        <v>14.1</v>
      </c>
      <c r="C40" s="10">
        <v>183332.95</v>
      </c>
      <c r="D40" s="11">
        <v>175695</v>
      </c>
      <c r="E40" s="11">
        <v>0</v>
      </c>
      <c r="F40" s="11"/>
      <c r="G40" s="11"/>
      <c r="H40" s="11"/>
      <c r="I40" s="11"/>
      <c r="J40" s="11">
        <f t="shared" si="40"/>
        <v>175695</v>
      </c>
      <c r="K40" s="11">
        <f t="shared" si="41"/>
        <v>0</v>
      </c>
      <c r="L40" s="11">
        <f t="shared" si="42"/>
        <v>0</v>
      </c>
      <c r="M40" s="12">
        <v>7.0000000000000007E-2</v>
      </c>
      <c r="N40" s="11">
        <f t="shared" si="43"/>
        <v>12298.650000000001</v>
      </c>
      <c r="O40" s="11">
        <f t="shared" si="44"/>
        <v>163396.35</v>
      </c>
      <c r="Q40" s="10">
        <f t="shared" si="45"/>
        <v>12833.306500000002</v>
      </c>
      <c r="R40" s="10">
        <f t="shared" si="46"/>
        <v>170499.64350000001</v>
      </c>
      <c r="S40" s="10">
        <f t="shared" si="47"/>
        <v>-534.65650000000096</v>
      </c>
      <c r="T40" s="1" t="s">
        <v>28</v>
      </c>
      <c r="U40" s="11"/>
      <c r="V40" s="11">
        <f>-U39</f>
        <v>-164846.57364081638</v>
      </c>
    </row>
    <row r="41" spans="1:22" ht="15" customHeight="1">
      <c r="A41" s="13" t="s">
        <v>29</v>
      </c>
      <c r="B41" s="4" t="s">
        <v>30</v>
      </c>
      <c r="C41" s="10">
        <v>215572.8</v>
      </c>
      <c r="D41" s="14">
        <v>213176</v>
      </c>
      <c r="E41" s="14">
        <v>69709</v>
      </c>
      <c r="F41" s="14"/>
      <c r="G41" s="14"/>
      <c r="H41" s="14"/>
      <c r="I41" s="14"/>
      <c r="J41" s="14">
        <f t="shared" si="40"/>
        <v>282885</v>
      </c>
      <c r="K41" s="14">
        <f t="shared" si="41"/>
        <v>69709</v>
      </c>
      <c r="L41" s="14">
        <f t="shared" si="42"/>
        <v>34854.5</v>
      </c>
      <c r="M41" s="15">
        <v>0.06</v>
      </c>
      <c r="N41" s="14">
        <f t="shared" si="43"/>
        <v>19064.37</v>
      </c>
      <c r="O41" s="14">
        <f t="shared" si="44"/>
        <v>263820.63</v>
      </c>
      <c r="Q41" s="10">
        <f t="shared" si="45"/>
        <v>15025.637999999999</v>
      </c>
      <c r="R41" s="10">
        <f t="shared" si="46"/>
        <v>270256.16200000001</v>
      </c>
      <c r="S41" s="10">
        <f t="shared" si="47"/>
        <v>4038.732</v>
      </c>
    </row>
    <row r="42" spans="1:22" ht="15" customHeight="1">
      <c r="A42" s="8">
        <v>95</v>
      </c>
      <c r="B42" s="9" t="s">
        <v>31</v>
      </c>
      <c r="C42" s="10">
        <v>3737000</v>
      </c>
      <c r="D42" s="11">
        <v>3737000</v>
      </c>
      <c r="E42" s="11">
        <v>1384000</v>
      </c>
      <c r="F42" s="11"/>
      <c r="J42" s="11">
        <f t="shared" si="40"/>
        <v>5121000</v>
      </c>
      <c r="K42" s="11">
        <f t="shared" si="41"/>
        <v>1384000</v>
      </c>
      <c r="L42" s="11">
        <f t="shared" si="42"/>
        <v>692000</v>
      </c>
      <c r="M42" s="12">
        <v>0</v>
      </c>
      <c r="N42" s="11">
        <f t="shared" si="43"/>
        <v>0</v>
      </c>
      <c r="O42" s="11">
        <f t="shared" si="44"/>
        <v>5121000</v>
      </c>
      <c r="Q42" s="10">
        <f t="shared" si="45"/>
        <v>0</v>
      </c>
      <c r="R42" s="10">
        <f t="shared" si="46"/>
        <v>5121000</v>
      </c>
      <c r="S42" s="10">
        <f t="shared" si="47"/>
        <v>0</v>
      </c>
    </row>
    <row r="43" spans="1:22" ht="15" customHeight="1">
      <c r="A43" s="16"/>
      <c r="B43" s="16"/>
      <c r="C43" s="17">
        <f t="shared" ref="C43:L43" si="48">SUM(C34:C42)</f>
        <v>52191054.68</v>
      </c>
      <c r="D43" s="18">
        <f t="shared" si="48"/>
        <v>51776730</v>
      </c>
      <c r="E43" s="18">
        <f t="shared" si="48"/>
        <v>5776390</v>
      </c>
      <c r="F43" s="18">
        <f t="shared" si="48"/>
        <v>0</v>
      </c>
      <c r="G43" s="18">
        <f t="shared" si="48"/>
        <v>0</v>
      </c>
      <c r="H43" s="18">
        <f t="shared" si="48"/>
        <v>0</v>
      </c>
      <c r="I43" s="18">
        <f t="shared" si="48"/>
        <v>-39000</v>
      </c>
      <c r="J43" s="18">
        <f t="shared" si="48"/>
        <v>57514120</v>
      </c>
      <c r="K43" s="18">
        <f t="shared" si="48"/>
        <v>5737390</v>
      </c>
      <c r="L43" s="18">
        <f t="shared" si="48"/>
        <v>2868695</v>
      </c>
      <c r="M43" s="18"/>
      <c r="N43" s="18">
        <f>SUM(N34:N42)</f>
        <v>4129248.0749999997</v>
      </c>
      <c r="O43" s="18">
        <f>SUM(O34:O42)</f>
        <v>53384871.925000012</v>
      </c>
      <c r="Q43" s="17">
        <f>SUM(Q34:Q42)</f>
        <v>3672032.1066000001</v>
      </c>
      <c r="R43" s="17">
        <f>SUM(R34:R42)</f>
        <v>54256412.573400006</v>
      </c>
      <c r="S43" s="17">
        <f>SUM(S34:S42)</f>
        <v>457215.96840000013</v>
      </c>
    </row>
    <row r="44" spans="1:22" ht="15" customHeight="1">
      <c r="N44" s="19" t="s">
        <v>32</v>
      </c>
    </row>
    <row r="45" spans="1:22" ht="15" customHeight="1">
      <c r="R45" s="9" t="s">
        <v>33</v>
      </c>
      <c r="S45" s="20">
        <v>0.26500000000000001</v>
      </c>
    </row>
    <row r="46" spans="1:22" ht="14.25" customHeight="1">
      <c r="A46" s="3" t="s">
        <v>38</v>
      </c>
    </row>
    <row r="47" spans="1:22" ht="38.25" customHeight="1">
      <c r="A47" s="5" t="str">
        <f t="shared" ref="A47:O47" si="49">A33</f>
        <v>Class #</v>
      </c>
      <c r="B47" s="5" t="str">
        <f t="shared" si="49"/>
        <v>Description</v>
      </c>
      <c r="C47" s="7" t="str">
        <f t="shared" si="49"/>
        <v>Non-AUCC Beginning</v>
      </c>
      <c r="D47" s="5" t="str">
        <f t="shared" si="49"/>
        <v>Tax Return
UCC Beginning</v>
      </c>
      <c r="E47" s="5" t="str">
        <f t="shared" si="49"/>
        <v>Additions</v>
      </c>
      <c r="F47" s="5" t="str">
        <f t="shared" si="49"/>
        <v>Adjustments and transfers</v>
      </c>
      <c r="G47" s="5" t="str">
        <f t="shared" si="49"/>
        <v>Immediate Expensing</v>
      </c>
      <c r="H47" s="5" t="str">
        <f t="shared" si="49"/>
        <v>Disposals</v>
      </c>
      <c r="I47" s="5" t="str">
        <f t="shared" si="49"/>
        <v>Proceeds</v>
      </c>
      <c r="J47" s="5" t="str">
        <f t="shared" si="49"/>
        <v>Adjusted UCC</v>
      </c>
      <c r="K47" s="5" t="str">
        <f t="shared" si="49"/>
        <v>Net Capital Cost of Additions</v>
      </c>
      <c r="L47" s="5" t="str">
        <f t="shared" si="49"/>
        <v>UCC Adjustment (half year)</v>
      </c>
      <c r="M47" s="5" t="str">
        <f t="shared" si="49"/>
        <v>CCA Rate</v>
      </c>
      <c r="N47" s="5" t="str">
        <f t="shared" si="49"/>
        <v>AIIP CCA</v>
      </c>
      <c r="O47" s="5" t="str">
        <f t="shared" si="49"/>
        <v>UCC Ending</v>
      </c>
      <c r="Q47" s="7" t="str">
        <f>Q33</f>
        <v>Normal CCA</v>
      </c>
      <c r="R47" s="7" t="str">
        <f>R33</f>
        <v>Normal UCC Ending</v>
      </c>
      <c r="S47" s="7" t="str">
        <f>S33</f>
        <v>Difference</v>
      </c>
    </row>
    <row r="48" spans="1:22" ht="14.25" customHeight="1">
      <c r="A48" s="8">
        <v>1</v>
      </c>
      <c r="B48" s="9" t="s">
        <v>20</v>
      </c>
      <c r="C48" s="10">
        <f t="shared" ref="C48:C56" si="50">R34</f>
        <v>19557412.800000001</v>
      </c>
      <c r="D48" s="11">
        <f t="shared" ref="D48:D56" si="51">O34</f>
        <v>19557412.800000001</v>
      </c>
      <c r="E48" s="11">
        <v>0</v>
      </c>
      <c r="F48" s="11"/>
      <c r="G48" s="11"/>
      <c r="H48" s="11"/>
      <c r="I48" s="11"/>
      <c r="J48" s="11">
        <f t="shared" ref="J48:J56" si="52">SUM(D48:I48)</f>
        <v>19557412.800000001</v>
      </c>
      <c r="K48" s="11">
        <f t="shared" ref="K48:K56" si="53">E48+F48+I48</f>
        <v>0</v>
      </c>
      <c r="L48" s="11">
        <f t="shared" ref="L48:L56" si="54">K48*0.5</f>
        <v>0</v>
      </c>
      <c r="M48" s="12">
        <v>0.04</v>
      </c>
      <c r="N48" s="11">
        <f>(D48*M48)+(L48*M48)</f>
        <v>782296.5120000001</v>
      </c>
      <c r="O48" s="11">
        <f t="shared" ref="O48:O56" si="55">J48-N48</f>
        <v>18775116.288000003</v>
      </c>
      <c r="Q48" s="10">
        <f t="shared" ref="Q48:Q56" si="56">(C48*M48)+(L48*M48)</f>
        <v>782296.5120000001</v>
      </c>
      <c r="R48" s="10">
        <f t="shared" ref="R48:R56" si="57">C48+SUM(E48:I48)-Q48</f>
        <v>18775116.288000003</v>
      </c>
      <c r="S48" s="10">
        <f t="shared" ref="S48:S56" si="58">N48-Q48</f>
        <v>0</v>
      </c>
      <c r="T48" s="21"/>
    </row>
    <row r="49" spans="1:22" ht="14.25" customHeight="1">
      <c r="A49" s="13">
        <v>8</v>
      </c>
      <c r="B49" s="4" t="s">
        <v>21</v>
      </c>
      <c r="C49" s="10">
        <f t="shared" si="50"/>
        <v>1264505.656</v>
      </c>
      <c r="D49" s="14">
        <f t="shared" si="51"/>
        <v>1184031.8</v>
      </c>
      <c r="E49" s="14">
        <f>E129+E134+E135+E136</f>
        <v>352190.97</v>
      </c>
      <c r="F49" s="14">
        <f>-E136</f>
        <v>-251847.58</v>
      </c>
      <c r="G49" s="14">
        <f>-F49</f>
        <v>251847.58</v>
      </c>
      <c r="H49" s="14"/>
      <c r="I49" s="14"/>
      <c r="J49" s="14">
        <f t="shared" si="52"/>
        <v>1536222.77</v>
      </c>
      <c r="K49" s="14">
        <f t="shared" si="53"/>
        <v>100343.38999999998</v>
      </c>
      <c r="L49" s="14">
        <f t="shared" si="54"/>
        <v>50171.694999999992</v>
      </c>
      <c r="M49" s="15">
        <v>0.2</v>
      </c>
      <c r="N49" s="14">
        <f>(D49*M49)+((E49+F49+I49)*M49*1.5)+G49</f>
        <v>518756.95700000005</v>
      </c>
      <c r="O49" s="14">
        <f t="shared" si="55"/>
        <v>1017465.813</v>
      </c>
      <c r="Q49" s="10">
        <f t="shared" si="56"/>
        <v>262935.47019999998</v>
      </c>
      <c r="R49" s="10">
        <f t="shared" si="57"/>
        <v>1353761.1557999998</v>
      </c>
      <c r="S49" s="10">
        <f t="shared" si="58"/>
        <v>255821.48680000007</v>
      </c>
    </row>
    <row r="50" spans="1:22" ht="14.25" customHeight="1">
      <c r="A50" s="13">
        <v>10</v>
      </c>
      <c r="B50" s="4" t="s">
        <v>22</v>
      </c>
      <c r="C50" s="10">
        <f t="shared" si="50"/>
        <v>296687.77799999999</v>
      </c>
      <c r="D50" s="14">
        <f t="shared" si="51"/>
        <v>281827.59999999998</v>
      </c>
      <c r="E50" s="14">
        <f>E132+E133</f>
        <v>668543.31000000006</v>
      </c>
      <c r="F50" s="14">
        <f>-E132</f>
        <v>-668543.31000000006</v>
      </c>
      <c r="G50" s="14">
        <f>-F50</f>
        <v>668543.31000000006</v>
      </c>
      <c r="H50" s="14"/>
      <c r="I50" s="14"/>
      <c r="J50" s="14">
        <f t="shared" si="52"/>
        <v>950370.91</v>
      </c>
      <c r="K50" s="14">
        <f t="shared" si="53"/>
        <v>0</v>
      </c>
      <c r="L50" s="14">
        <f t="shared" si="54"/>
        <v>0</v>
      </c>
      <c r="M50" s="15">
        <v>0.3</v>
      </c>
      <c r="N50" s="14">
        <f>(D50*M50)+((E50+F50+I50)*M50*1.5)+G50</f>
        <v>753091.59000000008</v>
      </c>
      <c r="O50" s="14">
        <f t="shared" si="55"/>
        <v>197279.31999999995</v>
      </c>
      <c r="Q50" s="10">
        <f t="shared" si="56"/>
        <v>89006.333399999989</v>
      </c>
      <c r="R50" s="10">
        <f t="shared" si="57"/>
        <v>876224.75459999999</v>
      </c>
      <c r="S50" s="10">
        <f t="shared" si="58"/>
        <v>664085.25660000008</v>
      </c>
    </row>
    <row r="51" spans="1:22" ht="14.25" customHeight="1">
      <c r="A51" s="8">
        <v>45</v>
      </c>
      <c r="B51" s="9" t="s">
        <v>23</v>
      </c>
      <c r="C51" s="10">
        <f t="shared" si="50"/>
        <v>25.849999999999998</v>
      </c>
      <c r="D51" s="11">
        <f t="shared" si="51"/>
        <v>25.849999999999998</v>
      </c>
      <c r="E51" s="11">
        <v>0</v>
      </c>
      <c r="F51" s="11"/>
      <c r="G51" s="11"/>
      <c r="H51" s="11"/>
      <c r="I51" s="11"/>
      <c r="J51" s="11">
        <f t="shared" si="52"/>
        <v>25.849999999999998</v>
      </c>
      <c r="K51" s="11">
        <f t="shared" si="53"/>
        <v>0</v>
      </c>
      <c r="L51" s="11">
        <f t="shared" si="54"/>
        <v>0</v>
      </c>
      <c r="M51" s="12">
        <v>0.45</v>
      </c>
      <c r="N51" s="11">
        <f>(D51*M51)+(L51*M51)</f>
        <v>11.632499999999999</v>
      </c>
      <c r="O51" s="11">
        <f t="shared" si="55"/>
        <v>14.217499999999999</v>
      </c>
      <c r="Q51" s="10">
        <f t="shared" si="56"/>
        <v>11.632499999999999</v>
      </c>
      <c r="R51" s="10">
        <f t="shared" si="57"/>
        <v>14.217499999999999</v>
      </c>
      <c r="S51" s="10">
        <f t="shared" si="58"/>
        <v>0</v>
      </c>
      <c r="T51" s="9" t="s">
        <v>24</v>
      </c>
    </row>
    <row r="52" spans="1:22" ht="14.25" customHeight="1">
      <c r="A52" s="13">
        <v>47</v>
      </c>
      <c r="B52" s="4" t="s">
        <v>25</v>
      </c>
      <c r="C52" s="10">
        <f t="shared" si="50"/>
        <v>27235719.966400001</v>
      </c>
      <c r="D52" s="14">
        <f t="shared" si="51"/>
        <v>26693284.32</v>
      </c>
      <c r="E52" s="14">
        <f>E112+E113+E114+E115+E116+E118+E121+E123+E124+E126-E166-E172</f>
        <v>5648147.7589999996</v>
      </c>
      <c r="F52" s="14"/>
      <c r="G52" s="14"/>
      <c r="H52" s="14"/>
      <c r="I52" s="14">
        <v>-36000</v>
      </c>
      <c r="J52" s="14">
        <f t="shared" si="52"/>
        <v>32305432.079</v>
      </c>
      <c r="K52" s="14">
        <f t="shared" si="53"/>
        <v>5612147.7589999996</v>
      </c>
      <c r="L52" s="14">
        <f t="shared" si="54"/>
        <v>2806073.8794999998</v>
      </c>
      <c r="M52" s="15">
        <v>0.08</v>
      </c>
      <c r="N52" s="14">
        <f>(D52*M52)+((E52+F52+I52)*M52*1.5)+G52</f>
        <v>2808920.4766799998</v>
      </c>
      <c r="O52" s="14">
        <f t="shared" si="55"/>
        <v>29496511.602320001</v>
      </c>
      <c r="Q52" s="10">
        <f t="shared" si="56"/>
        <v>2403343.5076720002</v>
      </c>
      <c r="R52" s="10">
        <f t="shared" si="57"/>
        <v>30444524.217728</v>
      </c>
      <c r="S52" s="10">
        <f t="shared" si="58"/>
        <v>405576.96900799964</v>
      </c>
    </row>
    <row r="53" spans="1:22" ht="14.25" customHeight="1">
      <c r="A53" s="13">
        <v>50</v>
      </c>
      <c r="B53" s="4" t="s">
        <v>26</v>
      </c>
      <c r="C53" s="10">
        <f t="shared" si="50"/>
        <v>340304.71750000003</v>
      </c>
      <c r="D53" s="14">
        <f t="shared" si="51"/>
        <v>120072.57499999995</v>
      </c>
      <c r="E53" s="14">
        <f>E130+E131</f>
        <v>177600.66</v>
      </c>
      <c r="F53" s="14"/>
      <c r="G53" s="14"/>
      <c r="H53" s="14"/>
      <c r="I53" s="14"/>
      <c r="J53" s="14">
        <f t="shared" si="52"/>
        <v>297673.23499999999</v>
      </c>
      <c r="K53" s="14">
        <f t="shared" si="53"/>
        <v>177600.66</v>
      </c>
      <c r="L53" s="14">
        <f t="shared" si="54"/>
        <v>88800.33</v>
      </c>
      <c r="M53" s="15">
        <v>0.55000000000000004</v>
      </c>
      <c r="N53" s="14">
        <f>(D53*M53)+((E53+F53+I53)*M53*1.5)+G53</f>
        <v>212560.46075</v>
      </c>
      <c r="O53" s="14">
        <f t="shared" si="55"/>
        <v>85112.774249999988</v>
      </c>
      <c r="Q53" s="10">
        <f t="shared" si="56"/>
        <v>236007.77612500003</v>
      </c>
      <c r="R53" s="10">
        <f t="shared" si="57"/>
        <v>281897.60137500003</v>
      </c>
      <c r="S53" s="10">
        <f t="shared" si="58"/>
        <v>-23447.315375000035</v>
      </c>
      <c r="T53" s="1" t="s">
        <v>27</v>
      </c>
      <c r="U53" s="11">
        <f>(S57*S59)/(1-S59)</f>
        <v>470069.29404152371</v>
      </c>
      <c r="V53" s="11"/>
    </row>
    <row r="54" spans="1:22" ht="14.25" customHeight="1">
      <c r="A54" s="8">
        <v>14.1</v>
      </c>
      <c r="C54" s="10">
        <f t="shared" si="50"/>
        <v>170499.64350000001</v>
      </c>
      <c r="D54" s="11">
        <f t="shared" si="51"/>
        <v>163396.35</v>
      </c>
      <c r="E54" s="11">
        <v>0</v>
      </c>
      <c r="F54" s="11"/>
      <c r="G54" s="11"/>
      <c r="H54" s="11"/>
      <c r="I54" s="11"/>
      <c r="J54" s="11">
        <f t="shared" si="52"/>
        <v>163396.35</v>
      </c>
      <c r="K54" s="11">
        <f t="shared" si="53"/>
        <v>0</v>
      </c>
      <c r="L54" s="11">
        <f t="shared" si="54"/>
        <v>0</v>
      </c>
      <c r="M54" s="12">
        <v>7.0000000000000007E-2</v>
      </c>
      <c r="N54" s="11">
        <f>(D54*M54)+(L54*M54)</f>
        <v>11437.744500000001</v>
      </c>
      <c r="O54" s="11">
        <f t="shared" si="55"/>
        <v>151958.60550000001</v>
      </c>
      <c r="Q54" s="10">
        <f t="shared" si="56"/>
        <v>11934.975045000001</v>
      </c>
      <c r="R54" s="10">
        <f t="shared" si="57"/>
        <v>158564.66845500001</v>
      </c>
      <c r="S54" s="10">
        <f t="shared" si="58"/>
        <v>-497.23054500000035</v>
      </c>
      <c r="T54" s="1" t="s">
        <v>28</v>
      </c>
      <c r="U54" s="11"/>
      <c r="V54" s="11">
        <f>-U53</f>
        <v>-470069.29404152371</v>
      </c>
    </row>
    <row r="55" spans="1:22" ht="14.25" customHeight="1">
      <c r="A55" s="13" t="s">
        <v>29</v>
      </c>
      <c r="B55" s="4" t="s">
        <v>30</v>
      </c>
      <c r="C55" s="10">
        <f t="shared" si="50"/>
        <v>270256.16200000001</v>
      </c>
      <c r="D55" s="14">
        <f t="shared" si="51"/>
        <v>263820.63</v>
      </c>
      <c r="E55" s="14">
        <f>E128</f>
        <v>43734.400000000001</v>
      </c>
      <c r="F55" s="14"/>
      <c r="G55" s="14"/>
      <c r="H55" s="14"/>
      <c r="I55" s="14"/>
      <c r="J55" s="14">
        <f t="shared" si="52"/>
        <v>307555.03000000003</v>
      </c>
      <c r="K55" s="14">
        <f t="shared" si="53"/>
        <v>43734.400000000001</v>
      </c>
      <c r="L55" s="14">
        <f t="shared" si="54"/>
        <v>21867.200000000001</v>
      </c>
      <c r="M55" s="15">
        <v>0.06</v>
      </c>
      <c r="N55" s="14">
        <f>(D55*M55)+((E55+F55+I55)*M55*1.5)+G55</f>
        <v>19765.3338</v>
      </c>
      <c r="O55" s="14">
        <f t="shared" si="55"/>
        <v>287789.69620000001</v>
      </c>
      <c r="Q55" s="10">
        <f t="shared" si="56"/>
        <v>17527.401720000002</v>
      </c>
      <c r="R55" s="10">
        <f t="shared" si="57"/>
        <v>296463.16028000001</v>
      </c>
      <c r="S55" s="10">
        <f t="shared" si="58"/>
        <v>2237.9320799999987</v>
      </c>
    </row>
    <row r="56" spans="1:22" ht="15" customHeight="1">
      <c r="A56" s="8">
        <v>95</v>
      </c>
      <c r="B56" s="9" t="s">
        <v>31</v>
      </c>
      <c r="C56" s="10">
        <f t="shared" si="50"/>
        <v>5121000</v>
      </c>
      <c r="D56" s="11">
        <f t="shared" si="51"/>
        <v>5121000</v>
      </c>
      <c r="E56" s="11">
        <v>0</v>
      </c>
      <c r="F56" s="11">
        <f>-D56+E164+105</f>
        <v>-1314000.3527999991</v>
      </c>
      <c r="J56" s="11">
        <f t="shared" si="52"/>
        <v>3806999.6472000009</v>
      </c>
      <c r="K56" s="11">
        <f t="shared" si="53"/>
        <v>-1314000.3527999991</v>
      </c>
      <c r="L56" s="11">
        <f t="shared" si="54"/>
        <v>-657000.17639999953</v>
      </c>
      <c r="M56" s="12">
        <v>0</v>
      </c>
      <c r="N56" s="11">
        <f>(D56*M56)+(L56*M56)</f>
        <v>0</v>
      </c>
      <c r="O56" s="11">
        <f t="shared" si="55"/>
        <v>3806999.6472000009</v>
      </c>
      <c r="Q56" s="10">
        <f t="shared" si="56"/>
        <v>0</v>
      </c>
      <c r="R56" s="10">
        <f t="shared" si="57"/>
        <v>3806999.6472000009</v>
      </c>
      <c r="S56" s="10">
        <f t="shared" si="58"/>
        <v>0</v>
      </c>
    </row>
    <row r="57" spans="1:22" ht="14.25" customHeight="1">
      <c r="A57" s="16"/>
      <c r="B57" s="16"/>
      <c r="C57" s="17">
        <f t="shared" ref="C57:L57" si="59">SUM(C48:C56)</f>
        <v>54256412.573400006</v>
      </c>
      <c r="D57" s="18">
        <f t="shared" si="59"/>
        <v>53384871.925000012</v>
      </c>
      <c r="E57" s="18">
        <f t="shared" si="59"/>
        <v>6890217.0990000004</v>
      </c>
      <c r="F57" s="18">
        <f t="shared" si="59"/>
        <v>-2234391.2427999992</v>
      </c>
      <c r="G57" s="18">
        <f t="shared" si="59"/>
        <v>920390.89</v>
      </c>
      <c r="H57" s="18">
        <f t="shared" si="59"/>
        <v>0</v>
      </c>
      <c r="I57" s="18">
        <f t="shared" si="59"/>
        <v>-36000</v>
      </c>
      <c r="J57" s="18">
        <f t="shared" si="59"/>
        <v>58925088.671200007</v>
      </c>
      <c r="K57" s="18">
        <f t="shared" si="59"/>
        <v>4619825.8562000003</v>
      </c>
      <c r="L57" s="18">
        <f t="shared" si="59"/>
        <v>2309912.9281000001</v>
      </c>
      <c r="M57" s="18"/>
      <c r="N57" s="18">
        <f>SUM(N48:N56)</f>
        <v>5106840.7072299998</v>
      </c>
      <c r="O57" s="18">
        <f>SUM(O48:O56)</f>
        <v>53818247.963970006</v>
      </c>
      <c r="Q57" s="17">
        <f>SUM(Q48:Q56)</f>
        <v>3803063.6086620004</v>
      </c>
      <c r="R57" s="17">
        <f>SUM(R48:R56)</f>
        <v>55993565.710937999</v>
      </c>
      <c r="S57" s="17">
        <f>SUM(S48:S56)</f>
        <v>1303777.0985679997</v>
      </c>
      <c r="T57" s="2"/>
      <c r="U57" s="2"/>
      <c r="V57" s="11"/>
    </row>
    <row r="58" spans="1:22" ht="14.25" customHeight="1">
      <c r="F58" s="22"/>
      <c r="K58" s="11"/>
      <c r="L58" s="11"/>
      <c r="M58" s="11"/>
      <c r="N58" s="19" t="s">
        <v>32</v>
      </c>
      <c r="O58" s="11"/>
    </row>
    <row r="59" spans="1:22" ht="15" customHeight="1">
      <c r="R59" s="9" t="s">
        <v>33</v>
      </c>
      <c r="S59" s="20">
        <f>S45</f>
        <v>0.26500000000000001</v>
      </c>
    </row>
    <row r="60" spans="1:22" ht="14.25" customHeight="1">
      <c r="A60" s="3" t="str">
        <f>F107</f>
        <v>2022</v>
      </c>
    </row>
    <row r="61" spans="1:22" ht="38.25" customHeight="1">
      <c r="A61" s="5" t="str">
        <f t="shared" ref="A61:O61" si="60">A33</f>
        <v>Class #</v>
      </c>
      <c r="B61" s="5" t="str">
        <f t="shared" si="60"/>
        <v>Description</v>
      </c>
      <c r="C61" s="7" t="str">
        <f t="shared" si="60"/>
        <v>Non-AUCC Beginning</v>
      </c>
      <c r="D61" s="5" t="str">
        <f t="shared" si="60"/>
        <v>Tax Return
UCC Beginning</v>
      </c>
      <c r="E61" s="5" t="str">
        <f t="shared" si="60"/>
        <v>Additions</v>
      </c>
      <c r="F61" s="5" t="str">
        <f t="shared" si="60"/>
        <v>Adjustments and transfers</v>
      </c>
      <c r="G61" s="5" t="str">
        <f t="shared" si="60"/>
        <v>Immediate Expensing</v>
      </c>
      <c r="H61" s="5" t="str">
        <f t="shared" si="60"/>
        <v>Disposals</v>
      </c>
      <c r="I61" s="5" t="str">
        <f t="shared" si="60"/>
        <v>Proceeds</v>
      </c>
      <c r="J61" s="5" t="str">
        <f t="shared" si="60"/>
        <v>Adjusted UCC</v>
      </c>
      <c r="K61" s="5" t="str">
        <f t="shared" si="60"/>
        <v>Net Capital Cost of Additions</v>
      </c>
      <c r="L61" s="5" t="str">
        <f t="shared" si="60"/>
        <v>UCC Adjustment (half year)</v>
      </c>
      <c r="M61" s="5" t="str">
        <f t="shared" si="60"/>
        <v>CCA Rate</v>
      </c>
      <c r="N61" s="5" t="str">
        <f t="shared" si="60"/>
        <v>AIIP CCA</v>
      </c>
      <c r="O61" s="5" t="str">
        <f t="shared" si="60"/>
        <v>UCC Ending</v>
      </c>
      <c r="Q61" s="7" t="str">
        <f>Q47</f>
        <v>Normal CCA</v>
      </c>
      <c r="R61" s="7" t="str">
        <f>R47</f>
        <v>Normal UCC Ending</v>
      </c>
      <c r="S61" s="7" t="str">
        <f>S47</f>
        <v>Difference</v>
      </c>
    </row>
    <row r="62" spans="1:22" ht="14.25" customHeight="1">
      <c r="A62" s="8">
        <v>1</v>
      </c>
      <c r="B62" s="9" t="s">
        <v>20</v>
      </c>
      <c r="C62" s="10">
        <f t="shared" ref="C62:C70" si="61">R48</f>
        <v>18775116.288000003</v>
      </c>
      <c r="D62" s="11">
        <f t="shared" ref="D62:D70" si="62">O48</f>
        <v>18775116.288000003</v>
      </c>
      <c r="E62" s="11">
        <v>0</v>
      </c>
      <c r="F62" s="11"/>
      <c r="G62" s="11"/>
      <c r="H62" s="11"/>
      <c r="I62" s="11"/>
      <c r="J62" s="11">
        <f t="shared" ref="J62:J69" si="63">SUM(D62:I62)</f>
        <v>18775116.288000003</v>
      </c>
      <c r="K62" s="11">
        <f t="shared" ref="K62:K70" si="64">E62+F62+I62</f>
        <v>0</v>
      </c>
      <c r="L62" s="11">
        <f t="shared" ref="L62:L70" si="65">K62*0.5</f>
        <v>0</v>
      </c>
      <c r="M62" s="12">
        <v>0.04</v>
      </c>
      <c r="N62" s="11">
        <f>(D62*M62)+(L62*M62)</f>
        <v>751004.65152000007</v>
      </c>
      <c r="O62" s="11">
        <f t="shared" ref="O62:O70" si="66">J62-N62</f>
        <v>18024111.636480004</v>
      </c>
      <c r="Q62" s="10">
        <f t="shared" ref="Q62:Q70" si="67">(C62*M62)+(L62*M62)</f>
        <v>751004.65152000007</v>
      </c>
      <c r="R62" s="10">
        <f t="shared" ref="R62:R70" si="68">C62+SUM(E62:I62)-Q62</f>
        <v>18024111.636480004</v>
      </c>
      <c r="S62" s="10">
        <f t="shared" ref="S62:S70" si="69">N62-Q62</f>
        <v>0</v>
      </c>
    </row>
    <row r="63" spans="1:22" ht="14.25" customHeight="1">
      <c r="A63" s="13">
        <v>8</v>
      </c>
      <c r="B63" s="4" t="s">
        <v>21</v>
      </c>
      <c r="C63" s="10">
        <f t="shared" si="61"/>
        <v>1353761.1557999998</v>
      </c>
      <c r="D63" s="14">
        <f t="shared" si="62"/>
        <v>1017465.813</v>
      </c>
      <c r="E63" s="14">
        <f>F129+F134+F135+F136</f>
        <v>351079.08</v>
      </c>
      <c r="F63" s="14">
        <f>-E63</f>
        <v>-351079.08</v>
      </c>
      <c r="G63" s="14">
        <f>-F63</f>
        <v>351079.08</v>
      </c>
      <c r="H63" s="14"/>
      <c r="I63" s="14"/>
      <c r="J63" s="14">
        <f t="shared" si="63"/>
        <v>1368544.8929999999</v>
      </c>
      <c r="K63" s="14">
        <f t="shared" si="64"/>
        <v>0</v>
      </c>
      <c r="L63" s="14">
        <f t="shared" si="65"/>
        <v>0</v>
      </c>
      <c r="M63" s="15">
        <v>0.2</v>
      </c>
      <c r="N63" s="14">
        <f>(D63*M63)+((E63+F63+I63)*M63*1.5)+G63</f>
        <v>554572.2426</v>
      </c>
      <c r="O63" s="14">
        <f t="shared" si="66"/>
        <v>813972.65039999993</v>
      </c>
      <c r="Q63" s="10">
        <f t="shared" si="67"/>
        <v>270752.23115999997</v>
      </c>
      <c r="R63" s="10">
        <f t="shared" si="68"/>
        <v>1434088.0046399999</v>
      </c>
      <c r="S63" s="10">
        <f t="shared" si="69"/>
        <v>283820.01144000003</v>
      </c>
    </row>
    <row r="64" spans="1:22" ht="14.25" customHeight="1">
      <c r="A64" s="13">
        <v>10</v>
      </c>
      <c r="B64" s="4" t="s">
        <v>22</v>
      </c>
      <c r="C64" s="10">
        <f t="shared" si="61"/>
        <v>876224.75459999999</v>
      </c>
      <c r="D64" s="14">
        <f t="shared" si="62"/>
        <v>197279.31999999995</v>
      </c>
      <c r="E64" s="14">
        <f>F132+F133</f>
        <v>48944.959999999999</v>
      </c>
      <c r="F64" s="14">
        <f>-F132</f>
        <v>-48944.959999999999</v>
      </c>
      <c r="G64" s="14">
        <f>-F64</f>
        <v>48944.959999999999</v>
      </c>
      <c r="H64" s="14"/>
      <c r="I64" s="14"/>
      <c r="J64" s="14">
        <f t="shared" si="63"/>
        <v>246224.27999999994</v>
      </c>
      <c r="K64" s="14">
        <f t="shared" si="64"/>
        <v>0</v>
      </c>
      <c r="L64" s="14">
        <f t="shared" si="65"/>
        <v>0</v>
      </c>
      <c r="M64" s="15">
        <v>0.3</v>
      </c>
      <c r="N64" s="14">
        <f>(D64*M64)+((E64+F64+I64)*M64*1.5)+G64</f>
        <v>108128.75599999998</v>
      </c>
      <c r="O64" s="14">
        <f t="shared" si="66"/>
        <v>138095.52399999998</v>
      </c>
      <c r="Q64" s="10">
        <f t="shared" si="67"/>
        <v>262867.42637999996</v>
      </c>
      <c r="R64" s="10">
        <f t="shared" si="68"/>
        <v>662302.28821999999</v>
      </c>
      <c r="S64" s="10">
        <f t="shared" si="69"/>
        <v>-154738.67037999997</v>
      </c>
    </row>
    <row r="65" spans="1:22" ht="14.25" customHeight="1">
      <c r="A65" s="8">
        <v>45</v>
      </c>
      <c r="B65" s="9" t="s">
        <v>23</v>
      </c>
      <c r="C65" s="10">
        <f t="shared" si="61"/>
        <v>14.217499999999999</v>
      </c>
      <c r="D65" s="11">
        <f t="shared" si="62"/>
        <v>14.217499999999999</v>
      </c>
      <c r="E65" s="11">
        <v>0</v>
      </c>
      <c r="F65" s="11"/>
      <c r="G65" s="11"/>
      <c r="H65" s="11"/>
      <c r="I65" s="11"/>
      <c r="J65" s="11">
        <f t="shared" si="63"/>
        <v>14.217499999999999</v>
      </c>
      <c r="K65" s="11">
        <f t="shared" si="64"/>
        <v>0</v>
      </c>
      <c r="L65" s="11">
        <f t="shared" si="65"/>
        <v>0</v>
      </c>
      <c r="M65" s="12">
        <v>0.45</v>
      </c>
      <c r="N65" s="11">
        <f>(D65*M65)+(L65*M65)</f>
        <v>6.397875</v>
      </c>
      <c r="O65" s="11">
        <f t="shared" si="66"/>
        <v>7.8196249999999994</v>
      </c>
      <c r="Q65" s="10">
        <f t="shared" si="67"/>
        <v>6.397875</v>
      </c>
      <c r="R65" s="10">
        <f t="shared" si="68"/>
        <v>7.8196249999999994</v>
      </c>
      <c r="S65" s="10">
        <f t="shared" si="69"/>
        <v>0</v>
      </c>
      <c r="T65" s="9" t="s">
        <v>24</v>
      </c>
    </row>
    <row r="66" spans="1:22" ht="14.25" customHeight="1">
      <c r="A66" s="13">
        <v>47</v>
      </c>
      <c r="B66" s="4" t="s">
        <v>25</v>
      </c>
      <c r="C66" s="10">
        <f t="shared" si="61"/>
        <v>30444524.217728</v>
      </c>
      <c r="D66" s="14">
        <f t="shared" si="62"/>
        <v>29496511.602320001</v>
      </c>
      <c r="E66" s="14">
        <f>SUM(F111:F127)-F166-F172</f>
        <v>3426314.0790000036</v>
      </c>
      <c r="F66" s="14"/>
      <c r="G66" s="14"/>
      <c r="H66" s="14"/>
      <c r="I66" s="14">
        <v>-134000</v>
      </c>
      <c r="J66" s="14">
        <f t="shared" si="63"/>
        <v>32788825.681320004</v>
      </c>
      <c r="K66" s="14">
        <f t="shared" si="64"/>
        <v>3292314.0790000036</v>
      </c>
      <c r="L66" s="14">
        <f t="shared" si="65"/>
        <v>1646157.0395000018</v>
      </c>
      <c r="M66" s="15">
        <v>0.08</v>
      </c>
      <c r="N66" s="14">
        <f>(D66*M66)+((E66+F66+I66)*M66*1.5)+G66</f>
        <v>2754798.617665601</v>
      </c>
      <c r="O66" s="14">
        <f t="shared" si="66"/>
        <v>30034027.063654404</v>
      </c>
      <c r="Q66" s="10">
        <f t="shared" si="67"/>
        <v>2567254.5005782405</v>
      </c>
      <c r="R66" s="10">
        <f t="shared" si="68"/>
        <v>31169583.79614976</v>
      </c>
      <c r="S66" s="10">
        <f t="shared" si="69"/>
        <v>187544.11708736047</v>
      </c>
    </row>
    <row r="67" spans="1:22" ht="14.25" customHeight="1">
      <c r="A67" s="13">
        <v>50</v>
      </c>
      <c r="B67" s="4" t="s">
        <v>26</v>
      </c>
      <c r="C67" s="10">
        <f t="shared" si="61"/>
        <v>281897.60137500003</v>
      </c>
      <c r="D67" s="14">
        <f t="shared" si="62"/>
        <v>85112.774249999988</v>
      </c>
      <c r="E67" s="14">
        <f>F130+F131</f>
        <v>405768.04</v>
      </c>
      <c r="F67" s="14">
        <f>-E67</f>
        <v>-405768.04</v>
      </c>
      <c r="G67" s="14">
        <f>-F67</f>
        <v>405768.04</v>
      </c>
      <c r="H67" s="14"/>
      <c r="I67" s="14"/>
      <c r="J67" s="14">
        <f t="shared" si="63"/>
        <v>490880.81424999994</v>
      </c>
      <c r="K67" s="14">
        <f t="shared" si="64"/>
        <v>0</v>
      </c>
      <c r="L67" s="14">
        <f t="shared" si="65"/>
        <v>0</v>
      </c>
      <c r="M67" s="15">
        <v>0.55000000000000004</v>
      </c>
      <c r="N67" s="14">
        <f>(D67*M67)+((E67+F67+I67)*M67*1.5)+G67</f>
        <v>452580.06583749998</v>
      </c>
      <c r="O67" s="14">
        <f t="shared" si="66"/>
        <v>38300.748412499961</v>
      </c>
      <c r="Q67" s="10">
        <f t="shared" si="67"/>
        <v>155043.68075625002</v>
      </c>
      <c r="R67" s="10">
        <f t="shared" si="68"/>
        <v>532621.96061874996</v>
      </c>
      <c r="S67" s="10">
        <f t="shared" si="69"/>
        <v>297536.38508124999</v>
      </c>
      <c r="T67" s="1" t="s">
        <v>27</v>
      </c>
      <c r="U67" s="11">
        <f>(S71*S73)/(1-S73)</f>
        <v>224190.11644747554</v>
      </c>
      <c r="V67" s="11"/>
    </row>
    <row r="68" spans="1:22" ht="14.25" customHeight="1">
      <c r="A68" s="8">
        <v>14.1</v>
      </c>
      <c r="C68" s="10">
        <f t="shared" si="61"/>
        <v>158564.66845500001</v>
      </c>
      <c r="D68" s="11">
        <f t="shared" si="62"/>
        <v>151958.60550000001</v>
      </c>
      <c r="E68" s="11">
        <v>0</v>
      </c>
      <c r="F68" s="11"/>
      <c r="G68" s="11"/>
      <c r="H68" s="11"/>
      <c r="I68" s="11"/>
      <c r="J68" s="11">
        <f t="shared" si="63"/>
        <v>151958.60550000001</v>
      </c>
      <c r="K68" s="11">
        <f t="shared" si="64"/>
        <v>0</v>
      </c>
      <c r="L68" s="11">
        <f t="shared" si="65"/>
        <v>0</v>
      </c>
      <c r="M68" s="12">
        <v>7.0000000000000007E-2</v>
      </c>
      <c r="N68" s="11">
        <f>(D68*M68)+(L68*M68)</f>
        <v>10637.102385000002</v>
      </c>
      <c r="O68" s="11">
        <f t="shared" si="66"/>
        <v>141321.503115</v>
      </c>
      <c r="Q68" s="10">
        <f t="shared" si="67"/>
        <v>11099.526791850001</v>
      </c>
      <c r="R68" s="10">
        <f t="shared" si="68"/>
        <v>147465.14166315002</v>
      </c>
      <c r="S68" s="10">
        <f t="shared" si="69"/>
        <v>-462.42440684999929</v>
      </c>
      <c r="T68" s="1" t="s">
        <v>28</v>
      </c>
      <c r="U68" s="11"/>
      <c r="V68" s="11">
        <f>-U67</f>
        <v>-224190.11644747554</v>
      </c>
    </row>
    <row r="69" spans="1:22" ht="14.25" customHeight="1">
      <c r="A69" s="13" t="s">
        <v>29</v>
      </c>
      <c r="B69" s="4" t="s">
        <v>30</v>
      </c>
      <c r="C69" s="10">
        <f t="shared" si="61"/>
        <v>296463.16028000001</v>
      </c>
      <c r="D69" s="14">
        <f t="shared" si="62"/>
        <v>287789.69620000001</v>
      </c>
      <c r="E69" s="14">
        <f>F128</f>
        <v>143855.20000000001</v>
      </c>
      <c r="F69" s="14"/>
      <c r="G69" s="14"/>
      <c r="H69" s="14"/>
      <c r="I69" s="14"/>
      <c r="J69" s="14">
        <f t="shared" si="63"/>
        <v>431644.89620000002</v>
      </c>
      <c r="K69" s="14">
        <f t="shared" si="64"/>
        <v>143855.20000000001</v>
      </c>
      <c r="L69" s="14">
        <f t="shared" si="65"/>
        <v>71927.600000000006</v>
      </c>
      <c r="M69" s="15">
        <v>0.06</v>
      </c>
      <c r="N69" s="14">
        <f>(D69*M69)+((E69+F69+I69)*M69*1.5)+G69</f>
        <v>30214.349772000001</v>
      </c>
      <c r="O69" s="14">
        <f t="shared" si="66"/>
        <v>401430.54642800003</v>
      </c>
      <c r="Q69" s="10">
        <f t="shared" si="67"/>
        <v>22103.4456168</v>
      </c>
      <c r="R69" s="10">
        <f t="shared" si="68"/>
        <v>418214.91466320003</v>
      </c>
      <c r="S69" s="10">
        <f t="shared" si="69"/>
        <v>8110.9041552000017</v>
      </c>
      <c r="V69" s="11"/>
    </row>
    <row r="70" spans="1:22" ht="15" customHeight="1">
      <c r="A70" s="8">
        <v>95</v>
      </c>
      <c r="B70" s="1" t="s">
        <v>31</v>
      </c>
      <c r="C70" s="10">
        <f t="shared" si="61"/>
        <v>3806999.6472000009</v>
      </c>
      <c r="D70" s="11">
        <f t="shared" si="62"/>
        <v>3806999.6472000009</v>
      </c>
      <c r="E70" s="11">
        <v>0</v>
      </c>
      <c r="F70" s="11">
        <f>F164-E164</f>
        <v>2201415.5099999993</v>
      </c>
      <c r="J70" s="11">
        <f>F164</f>
        <v>6008310.1572000002</v>
      </c>
      <c r="K70" s="11">
        <f t="shared" si="64"/>
        <v>2201415.5099999993</v>
      </c>
      <c r="L70" s="11">
        <f t="shared" si="65"/>
        <v>1100707.7549999997</v>
      </c>
      <c r="M70" s="12">
        <v>0</v>
      </c>
      <c r="N70" s="11">
        <f>(D70*M70)+(L70*M70)</f>
        <v>0</v>
      </c>
      <c r="O70" s="11">
        <f t="shared" si="66"/>
        <v>6008310.1572000002</v>
      </c>
      <c r="Q70" s="10">
        <f t="shared" si="67"/>
        <v>0</v>
      </c>
      <c r="R70" s="10">
        <f t="shared" si="68"/>
        <v>6008415.1572000002</v>
      </c>
      <c r="S70" s="10">
        <f t="shared" si="69"/>
        <v>0</v>
      </c>
      <c r="V70" s="11"/>
    </row>
    <row r="71" spans="1:22" ht="14.25" customHeight="1">
      <c r="A71" s="16"/>
      <c r="B71" s="16"/>
      <c r="C71" s="17">
        <f t="shared" ref="C71:L71" si="70">SUM(C62:C70)</f>
        <v>55993565.710937999</v>
      </c>
      <c r="D71" s="18">
        <f t="shared" si="70"/>
        <v>53818247.963970006</v>
      </c>
      <c r="E71" s="18">
        <f t="shared" si="70"/>
        <v>4375961.3590000039</v>
      </c>
      <c r="F71" s="18">
        <f t="shared" si="70"/>
        <v>1395623.4299999992</v>
      </c>
      <c r="G71" s="18">
        <f t="shared" si="70"/>
        <v>805792.08000000007</v>
      </c>
      <c r="H71" s="18">
        <f t="shared" si="70"/>
        <v>0</v>
      </c>
      <c r="I71" s="18">
        <f t="shared" si="70"/>
        <v>-134000</v>
      </c>
      <c r="J71" s="18">
        <f t="shared" si="70"/>
        <v>60261519.832970008</v>
      </c>
      <c r="K71" s="18">
        <f t="shared" si="70"/>
        <v>5637584.7890000027</v>
      </c>
      <c r="L71" s="18">
        <f t="shared" si="70"/>
        <v>2818792.3945000013</v>
      </c>
      <c r="M71" s="18"/>
      <c r="N71" s="18">
        <f>SUM(N62:N70)</f>
        <v>4661942.1836551009</v>
      </c>
      <c r="O71" s="18">
        <f>SUM(O62:O70)</f>
        <v>55599577.64931491</v>
      </c>
      <c r="Q71" s="17">
        <f>SUM(Q62:Q70)</f>
        <v>4040131.8606781401</v>
      </c>
      <c r="R71" s="17">
        <f>SUM(R62:R70)</f>
        <v>58396810.719259866</v>
      </c>
      <c r="S71" s="17">
        <f>SUM(S62:S70)</f>
        <v>621810.32297696045</v>
      </c>
      <c r="T71" s="29" t="s">
        <v>39</v>
      </c>
      <c r="U71" s="29"/>
      <c r="V71" s="30">
        <f>SUM(V6:V70)</f>
        <v>-1008488.3533532849</v>
      </c>
    </row>
    <row r="72" spans="1:22" ht="15" customHeight="1">
      <c r="A72" s="21"/>
      <c r="F72" s="22"/>
      <c r="N72" s="19" t="s">
        <v>32</v>
      </c>
      <c r="V72" s="11"/>
    </row>
    <row r="73" spans="1:22" ht="15" customHeight="1">
      <c r="R73" s="9" t="s">
        <v>33</v>
      </c>
      <c r="S73" s="20">
        <f>S59</f>
        <v>0.26500000000000001</v>
      </c>
      <c r="V73" s="11"/>
    </row>
    <row r="74" spans="1:22" ht="15" customHeight="1">
      <c r="A74" s="3" t="str">
        <f>G107</f>
        <v>2023</v>
      </c>
    </row>
    <row r="75" spans="1:22" ht="38.25" customHeight="1">
      <c r="A75" s="5" t="str">
        <f t="shared" ref="A75:O75" si="71">A33</f>
        <v>Class #</v>
      </c>
      <c r="B75" s="5" t="str">
        <f t="shared" si="71"/>
        <v>Description</v>
      </c>
      <c r="C75" s="7" t="str">
        <f t="shared" si="71"/>
        <v>Non-AUCC Beginning</v>
      </c>
      <c r="D75" s="5" t="str">
        <f t="shared" si="71"/>
        <v>Tax Return
UCC Beginning</v>
      </c>
      <c r="E75" s="5" t="str">
        <f t="shared" si="71"/>
        <v>Additions</v>
      </c>
      <c r="F75" s="5" t="str">
        <f t="shared" si="71"/>
        <v>Adjustments and transfers</v>
      </c>
      <c r="G75" s="5" t="str">
        <f t="shared" si="71"/>
        <v>Immediate Expensing</v>
      </c>
      <c r="H75" s="5" t="str">
        <f t="shared" si="71"/>
        <v>Disposals</v>
      </c>
      <c r="I75" s="5" t="str">
        <f t="shared" si="71"/>
        <v>Proceeds</v>
      </c>
      <c r="J75" s="5" t="str">
        <f t="shared" si="71"/>
        <v>Adjusted UCC</v>
      </c>
      <c r="K75" s="5" t="str">
        <f t="shared" si="71"/>
        <v>Net Capital Cost of Additions</v>
      </c>
      <c r="L75" s="5" t="str">
        <f t="shared" si="71"/>
        <v>UCC Adjustment (half year)</v>
      </c>
      <c r="M75" s="5" t="str">
        <f t="shared" si="71"/>
        <v>CCA Rate</v>
      </c>
      <c r="N75" s="5" t="str">
        <f t="shared" si="71"/>
        <v>AIIP CCA</v>
      </c>
      <c r="O75" s="5" t="str">
        <f t="shared" si="71"/>
        <v>UCC Ending</v>
      </c>
      <c r="Q75" s="7" t="str">
        <f>Q61</f>
        <v>Normal CCA</v>
      </c>
      <c r="R75" s="7" t="str">
        <f>R61</f>
        <v>Normal UCC Ending</v>
      </c>
      <c r="S75" s="7" t="str">
        <f>S61</f>
        <v>Difference</v>
      </c>
    </row>
    <row r="76" spans="1:22" ht="14.25" customHeight="1">
      <c r="A76" s="8">
        <v>1</v>
      </c>
      <c r="B76" s="9" t="s">
        <v>20</v>
      </c>
      <c r="C76" s="10">
        <f t="shared" ref="C76:C84" si="72">R62</f>
        <v>18024111.636480004</v>
      </c>
      <c r="D76" s="11">
        <f t="shared" ref="D76:D84" si="73">O62</f>
        <v>18024111.636480004</v>
      </c>
      <c r="E76" s="11">
        <v>0</v>
      </c>
      <c r="F76" s="11"/>
      <c r="G76" s="11"/>
      <c r="H76" s="11"/>
      <c r="I76" s="11"/>
      <c r="J76" s="11">
        <f t="shared" ref="J76:J84" si="74">SUM(D76:I76)</f>
        <v>18024111.636480004</v>
      </c>
      <c r="K76" s="11">
        <f t="shared" ref="K76:K84" si="75">E76+F76+I76</f>
        <v>0</v>
      </c>
      <c r="L76" s="11">
        <f t="shared" ref="L76:L84" si="76">K76*0.5</f>
        <v>0</v>
      </c>
      <c r="M76" s="12">
        <v>0.04</v>
      </c>
      <c r="N76" s="11">
        <f>(D76*M76)+(L76*M76)</f>
        <v>720964.4654592002</v>
      </c>
      <c r="O76" s="11">
        <f t="shared" ref="O76:O84" si="77">J76-N76</f>
        <v>17303147.171020802</v>
      </c>
      <c r="Q76" s="10">
        <f t="shared" ref="Q76:Q84" si="78">(C76*M76)+(L76*M76)</f>
        <v>720964.4654592002</v>
      </c>
      <c r="R76" s="10">
        <f t="shared" ref="R76:R84" si="79">C76+SUM(E76:I76)-Q76</f>
        <v>17303147.171020802</v>
      </c>
      <c r="S76" s="10">
        <f t="shared" ref="S76:S84" si="80">N76-Q76</f>
        <v>0</v>
      </c>
    </row>
    <row r="77" spans="1:22" ht="14.25" customHeight="1">
      <c r="A77" s="13">
        <v>8</v>
      </c>
      <c r="B77" s="4" t="s">
        <v>21</v>
      </c>
      <c r="C77" s="10">
        <f t="shared" si="72"/>
        <v>1434088.0046399999</v>
      </c>
      <c r="D77" s="14">
        <f t="shared" si="73"/>
        <v>813972.65039999993</v>
      </c>
      <c r="E77" s="14">
        <v>78750</v>
      </c>
      <c r="F77" s="14"/>
      <c r="G77" s="14"/>
      <c r="H77" s="14"/>
      <c r="I77" s="14"/>
      <c r="J77" s="14">
        <f t="shared" si="74"/>
        <v>892722.65039999993</v>
      </c>
      <c r="K77" s="14">
        <f t="shared" si="75"/>
        <v>78750</v>
      </c>
      <c r="L77" s="14">
        <f t="shared" si="76"/>
        <v>39375</v>
      </c>
      <c r="M77" s="15">
        <v>0.2</v>
      </c>
      <c r="N77" s="14">
        <f>(D77*M77)+((E77+F77+I77)*M77*1.5)+G77</f>
        <v>186419.53008</v>
      </c>
      <c r="O77" s="14">
        <f t="shared" si="77"/>
        <v>706303.12031999999</v>
      </c>
      <c r="Q77" s="10">
        <f t="shared" si="78"/>
        <v>294692.600928</v>
      </c>
      <c r="R77" s="10">
        <f t="shared" si="79"/>
        <v>1218145.403712</v>
      </c>
      <c r="S77" s="10">
        <f t="shared" si="80"/>
        <v>-108273.070848</v>
      </c>
    </row>
    <row r="78" spans="1:22" ht="14.25" customHeight="1">
      <c r="A78" s="13">
        <v>10</v>
      </c>
      <c r="B78" s="4" t="s">
        <v>22</v>
      </c>
      <c r="C78" s="10">
        <f t="shared" si="72"/>
        <v>662302.28821999999</v>
      </c>
      <c r="D78" s="14">
        <f t="shared" si="73"/>
        <v>138095.52399999998</v>
      </c>
      <c r="E78" s="14">
        <f>G132+G133</f>
        <v>475690.20999999973</v>
      </c>
      <c r="F78" s="14"/>
      <c r="G78" s="14"/>
      <c r="H78" s="14"/>
      <c r="I78" s="14"/>
      <c r="J78" s="14">
        <f t="shared" si="74"/>
        <v>613785.73399999971</v>
      </c>
      <c r="K78" s="14">
        <f t="shared" si="75"/>
        <v>475690.20999999973</v>
      </c>
      <c r="L78" s="14">
        <f t="shared" si="76"/>
        <v>237845.10499999986</v>
      </c>
      <c r="M78" s="15">
        <v>0.3</v>
      </c>
      <c r="N78" s="14">
        <f>(D78*M78)+((E78+F78+I78)*M78*1.5)+G78</f>
        <v>255489.25169999985</v>
      </c>
      <c r="O78" s="14">
        <f t="shared" si="77"/>
        <v>358296.48229999986</v>
      </c>
      <c r="Q78" s="10">
        <f t="shared" si="78"/>
        <v>270044.21796599997</v>
      </c>
      <c r="R78" s="10">
        <f t="shared" si="79"/>
        <v>867948.28025399975</v>
      </c>
      <c r="S78" s="10">
        <f t="shared" si="80"/>
        <v>-14554.96626600012</v>
      </c>
    </row>
    <row r="79" spans="1:22" ht="14.25" customHeight="1">
      <c r="A79" s="8">
        <v>45</v>
      </c>
      <c r="B79" s="9" t="s">
        <v>23</v>
      </c>
      <c r="C79" s="10">
        <f t="shared" si="72"/>
        <v>7.8196249999999994</v>
      </c>
      <c r="D79" s="11">
        <f t="shared" si="73"/>
        <v>7.8196249999999994</v>
      </c>
      <c r="E79" s="11">
        <v>0</v>
      </c>
      <c r="F79" s="11"/>
      <c r="G79" s="11"/>
      <c r="H79" s="11"/>
      <c r="I79" s="11"/>
      <c r="J79" s="11">
        <f t="shared" si="74"/>
        <v>7.8196249999999994</v>
      </c>
      <c r="K79" s="11">
        <f t="shared" si="75"/>
        <v>0</v>
      </c>
      <c r="L79" s="11">
        <f t="shared" si="76"/>
        <v>0</v>
      </c>
      <c r="M79" s="12">
        <v>0.45</v>
      </c>
      <c r="N79" s="11">
        <f>(D79*M79)+(L79*M79)</f>
        <v>3.5188312499999999</v>
      </c>
      <c r="O79" s="11">
        <f t="shared" si="77"/>
        <v>4.3007937499999995</v>
      </c>
      <c r="Q79" s="10">
        <f t="shared" si="78"/>
        <v>3.5188312499999999</v>
      </c>
      <c r="R79" s="10">
        <f t="shared" si="79"/>
        <v>4.3007937499999995</v>
      </c>
      <c r="S79" s="10">
        <f t="shared" si="80"/>
        <v>0</v>
      </c>
      <c r="T79" s="9" t="s">
        <v>24</v>
      </c>
    </row>
    <row r="80" spans="1:22" ht="14.25" customHeight="1">
      <c r="A80" s="13">
        <v>47</v>
      </c>
      <c r="B80" s="4" t="s">
        <v>25</v>
      </c>
      <c r="C80" s="10">
        <f t="shared" si="72"/>
        <v>31169583.79614976</v>
      </c>
      <c r="D80" s="14">
        <f t="shared" si="73"/>
        <v>30034027.063654404</v>
      </c>
      <c r="E80" s="14">
        <v>10528857</v>
      </c>
      <c r="F80" s="14"/>
      <c r="G80" s="14"/>
      <c r="H80" s="14"/>
      <c r="I80" s="14"/>
      <c r="J80" s="14">
        <f t="shared" si="74"/>
        <v>40562884.063654408</v>
      </c>
      <c r="K80" s="14">
        <f t="shared" si="75"/>
        <v>10528857</v>
      </c>
      <c r="L80" s="14">
        <f t="shared" si="76"/>
        <v>5264428.5</v>
      </c>
      <c r="M80" s="15">
        <v>0.08</v>
      </c>
      <c r="N80" s="14">
        <f>(D80*M80)+((E80+F80+I80)*M80*1.5)+G80</f>
        <v>3666185.0050923526</v>
      </c>
      <c r="O80" s="14">
        <f t="shared" si="77"/>
        <v>36896699.058562055</v>
      </c>
      <c r="Q80" s="10">
        <f t="shared" si="78"/>
        <v>2914720.9836919811</v>
      </c>
      <c r="R80" s="10">
        <f t="shared" si="79"/>
        <v>38783719.812457778</v>
      </c>
      <c r="S80" s="10">
        <f t="shared" si="80"/>
        <v>751464.02140037157</v>
      </c>
    </row>
    <row r="81" spans="1:22" ht="14.25" customHeight="1">
      <c r="A81" s="13">
        <v>50</v>
      </c>
      <c r="B81" s="4" t="s">
        <v>26</v>
      </c>
      <c r="C81" s="10">
        <f t="shared" si="72"/>
        <v>532621.96061874996</v>
      </c>
      <c r="D81" s="14">
        <f t="shared" si="73"/>
        <v>38300.748412499961</v>
      </c>
      <c r="E81" s="14">
        <v>326300</v>
      </c>
      <c r="F81" s="14"/>
      <c r="G81" s="14"/>
      <c r="H81" s="14"/>
      <c r="I81" s="14"/>
      <c r="J81" s="14">
        <f t="shared" si="74"/>
        <v>364600.74841249996</v>
      </c>
      <c r="K81" s="14">
        <f t="shared" si="75"/>
        <v>326300</v>
      </c>
      <c r="L81" s="14">
        <f t="shared" si="76"/>
        <v>163150</v>
      </c>
      <c r="M81" s="15">
        <v>0.55000000000000004</v>
      </c>
      <c r="N81" s="14">
        <f>(D81*M81)+((E81+F81+I81)*M81*1.5)+G81</f>
        <v>290262.91162687499</v>
      </c>
      <c r="O81" s="14">
        <f t="shared" si="77"/>
        <v>74337.836785624968</v>
      </c>
      <c r="Q81" s="10">
        <f t="shared" si="78"/>
        <v>382674.57834031252</v>
      </c>
      <c r="R81" s="10">
        <f t="shared" si="79"/>
        <v>476247.38227843744</v>
      </c>
      <c r="S81" s="10">
        <f t="shared" si="80"/>
        <v>-92411.666713437531</v>
      </c>
      <c r="T81" s="9" t="s">
        <v>27</v>
      </c>
      <c r="U81" s="11">
        <f>(S85*S87)/(1-S87)</f>
        <v>194436.88191404028</v>
      </c>
      <c r="V81" s="11"/>
    </row>
    <row r="82" spans="1:22" ht="14.25" customHeight="1">
      <c r="A82" s="8">
        <v>14.1</v>
      </c>
      <c r="C82" s="10">
        <f t="shared" si="72"/>
        <v>147465.14166315002</v>
      </c>
      <c r="D82" s="11">
        <f t="shared" si="73"/>
        <v>141321.503115</v>
      </c>
      <c r="E82" s="11">
        <v>0</v>
      </c>
      <c r="F82" s="11"/>
      <c r="G82" s="11"/>
      <c r="H82" s="11"/>
      <c r="I82" s="11"/>
      <c r="J82" s="11">
        <f t="shared" si="74"/>
        <v>141321.503115</v>
      </c>
      <c r="K82" s="11">
        <f t="shared" si="75"/>
        <v>0</v>
      </c>
      <c r="L82" s="11">
        <f t="shared" si="76"/>
        <v>0</v>
      </c>
      <c r="M82" s="12">
        <v>7.0000000000000007E-2</v>
      </c>
      <c r="N82" s="11">
        <f>(D82*M82)+(L82*M82)</f>
        <v>9892.5052180500006</v>
      </c>
      <c r="O82" s="11">
        <f t="shared" si="77"/>
        <v>131428.99789694999</v>
      </c>
      <c r="Q82" s="10">
        <f t="shared" si="78"/>
        <v>10322.559916420501</v>
      </c>
      <c r="R82" s="10">
        <f t="shared" si="79"/>
        <v>137142.58174672953</v>
      </c>
      <c r="S82" s="10">
        <f t="shared" si="80"/>
        <v>-430.05469837050077</v>
      </c>
      <c r="T82" s="9" t="s">
        <v>28</v>
      </c>
      <c r="U82" s="11"/>
      <c r="V82" s="11">
        <f>-U81</f>
        <v>-194436.88191404028</v>
      </c>
    </row>
    <row r="83" spans="1:22" ht="14.25" customHeight="1">
      <c r="A83" s="13" t="s">
        <v>29</v>
      </c>
      <c r="B83" s="4" t="s">
        <v>30</v>
      </c>
      <c r="C83" s="10">
        <f t="shared" si="72"/>
        <v>418214.91466320003</v>
      </c>
      <c r="D83" s="14">
        <f t="shared" si="73"/>
        <v>401430.54642800003</v>
      </c>
      <c r="E83" s="14">
        <f>G128</f>
        <v>75000</v>
      </c>
      <c r="F83" s="14"/>
      <c r="G83" s="14"/>
      <c r="H83" s="14"/>
      <c r="I83" s="14"/>
      <c r="J83" s="14">
        <f t="shared" si="74"/>
        <v>476430.54642800003</v>
      </c>
      <c r="K83" s="14">
        <f t="shared" si="75"/>
        <v>75000</v>
      </c>
      <c r="L83" s="14">
        <f t="shared" si="76"/>
        <v>37500</v>
      </c>
      <c r="M83" s="15">
        <v>0.06</v>
      </c>
      <c r="N83" s="14">
        <f>(D83*M83)+((E83+F83+I83)*M83*1.5)+G83</f>
        <v>30835.832785680002</v>
      </c>
      <c r="O83" s="14">
        <f t="shared" si="77"/>
        <v>445594.71364232001</v>
      </c>
      <c r="Q83" s="10">
        <f t="shared" si="78"/>
        <v>27342.894879792002</v>
      </c>
      <c r="R83" s="10">
        <f t="shared" si="79"/>
        <v>465872.01978340803</v>
      </c>
      <c r="S83" s="10">
        <f t="shared" si="80"/>
        <v>3492.9379058880004</v>
      </c>
    </row>
    <row r="84" spans="1:22" ht="15" customHeight="1">
      <c r="A84" s="8">
        <v>95</v>
      </c>
      <c r="B84" s="1" t="s">
        <v>31</v>
      </c>
      <c r="C84" s="10">
        <f t="shared" si="72"/>
        <v>6008415.1572000002</v>
      </c>
      <c r="D84" s="11">
        <f t="shared" si="73"/>
        <v>6008310.1572000002</v>
      </c>
      <c r="E84" s="11">
        <v>0</v>
      </c>
      <c r="F84" s="11">
        <f>G164-F164</f>
        <v>-6008310.1572000002</v>
      </c>
      <c r="J84" s="11">
        <f t="shared" si="74"/>
        <v>0</v>
      </c>
      <c r="K84" s="11">
        <f t="shared" si="75"/>
        <v>-6008310.1572000002</v>
      </c>
      <c r="L84" s="11">
        <f t="shared" si="76"/>
        <v>-3004155.0786000001</v>
      </c>
      <c r="M84" s="12">
        <v>0</v>
      </c>
      <c r="N84" s="11">
        <f>(D84*M84)+(L84*M84)</f>
        <v>0</v>
      </c>
      <c r="O84" s="11">
        <f t="shared" si="77"/>
        <v>0</v>
      </c>
      <c r="Q84" s="10">
        <f t="shared" si="78"/>
        <v>0</v>
      </c>
      <c r="R84" s="10">
        <f t="shared" si="79"/>
        <v>105</v>
      </c>
      <c r="S84" s="10">
        <f t="shared" si="80"/>
        <v>0</v>
      </c>
    </row>
    <row r="85" spans="1:22" ht="14.25" customHeight="1">
      <c r="A85" s="16"/>
      <c r="B85" s="16"/>
      <c r="C85" s="17">
        <f t="shared" ref="C85:L85" si="81">SUM(C76:C84)</f>
        <v>58396810.719259866</v>
      </c>
      <c r="D85" s="18">
        <f t="shared" si="81"/>
        <v>55599577.64931491</v>
      </c>
      <c r="E85" s="18">
        <f t="shared" si="81"/>
        <v>11484597.209999999</v>
      </c>
      <c r="F85" s="18">
        <f t="shared" si="81"/>
        <v>-6008310.1572000002</v>
      </c>
      <c r="G85" s="18">
        <f t="shared" si="81"/>
        <v>0</v>
      </c>
      <c r="H85" s="18">
        <f t="shared" si="81"/>
        <v>0</v>
      </c>
      <c r="I85" s="18">
        <f t="shared" si="81"/>
        <v>0</v>
      </c>
      <c r="J85" s="18">
        <f t="shared" si="81"/>
        <v>61075864.70211491</v>
      </c>
      <c r="K85" s="18">
        <f t="shared" si="81"/>
        <v>5476287.0527999988</v>
      </c>
      <c r="L85" s="18">
        <f t="shared" si="81"/>
        <v>2738143.5263999994</v>
      </c>
      <c r="M85" s="18"/>
      <c r="N85" s="18">
        <f>SUM(N76:N84)</f>
        <v>5160053.0207934082</v>
      </c>
      <c r="O85" s="18">
        <f>SUM(O76:O84)</f>
        <v>55915811.681321494</v>
      </c>
      <c r="Q85" s="17">
        <f>SUM(Q76:Q84)</f>
        <v>4620765.8200129569</v>
      </c>
      <c r="R85" s="17">
        <f>SUM(R76:R84)</f>
        <v>59252331.952046894</v>
      </c>
      <c r="S85" s="17">
        <f>SUM(S76:S84)</f>
        <v>539287.2007804513</v>
      </c>
      <c r="T85" s="2" t="s">
        <v>40</v>
      </c>
      <c r="U85" s="2"/>
      <c r="V85" s="23">
        <f>V82</f>
        <v>-194436.88191404028</v>
      </c>
    </row>
    <row r="86" spans="1:22" ht="15" customHeight="1">
      <c r="A86" s="21"/>
      <c r="F86" s="22"/>
      <c r="N86" s="19" t="s">
        <v>32</v>
      </c>
    </row>
    <row r="87" spans="1:22" ht="15" customHeight="1">
      <c r="R87" s="9" t="s">
        <v>33</v>
      </c>
      <c r="S87" s="20">
        <f>S73</f>
        <v>0.26500000000000001</v>
      </c>
    </row>
    <row r="88" spans="1:22" ht="15" customHeight="1">
      <c r="A88" s="3" t="str">
        <f>H107</f>
        <v>2024</v>
      </c>
    </row>
    <row r="89" spans="1:22" ht="40.5" customHeight="1">
      <c r="A89" s="5" t="str">
        <f t="shared" ref="A89:O89" si="82">A47</f>
        <v>Class #</v>
      </c>
      <c r="B89" s="5" t="str">
        <f t="shared" si="82"/>
        <v>Description</v>
      </c>
      <c r="C89" s="7" t="str">
        <f t="shared" si="82"/>
        <v>Non-AUCC Beginning</v>
      </c>
      <c r="D89" s="5" t="str">
        <f t="shared" si="82"/>
        <v>Tax Return
UCC Beginning</v>
      </c>
      <c r="E89" s="5" t="str">
        <f t="shared" si="82"/>
        <v>Additions</v>
      </c>
      <c r="F89" s="5" t="str">
        <f t="shared" si="82"/>
        <v>Adjustments and transfers</v>
      </c>
      <c r="G89" s="5" t="str">
        <f t="shared" si="82"/>
        <v>Immediate Expensing</v>
      </c>
      <c r="H89" s="5" t="str">
        <f t="shared" si="82"/>
        <v>Disposals</v>
      </c>
      <c r="I89" s="5" t="str">
        <f t="shared" si="82"/>
        <v>Proceeds</v>
      </c>
      <c r="J89" s="5" t="str">
        <f t="shared" si="82"/>
        <v>Adjusted UCC</v>
      </c>
      <c r="K89" s="5" t="str">
        <f t="shared" si="82"/>
        <v>Net Capital Cost of Additions</v>
      </c>
      <c r="L89" s="5" t="str">
        <f t="shared" si="82"/>
        <v>UCC Adjustment (half year)</v>
      </c>
      <c r="M89" s="5" t="str">
        <f t="shared" si="82"/>
        <v>CCA Rate</v>
      </c>
      <c r="N89" s="5" t="str">
        <f t="shared" si="82"/>
        <v>AIIP CCA</v>
      </c>
      <c r="O89" s="5" t="str">
        <f t="shared" si="82"/>
        <v>UCC Ending</v>
      </c>
      <c r="Q89" s="7" t="str">
        <f>Q75</f>
        <v>Normal CCA</v>
      </c>
      <c r="R89" s="7" t="str">
        <f>R75</f>
        <v>Normal UCC Ending</v>
      </c>
      <c r="S89" s="7" t="str">
        <f>S75</f>
        <v>Difference</v>
      </c>
    </row>
    <row r="90" spans="1:22" ht="15" customHeight="1">
      <c r="A90" s="8">
        <v>1</v>
      </c>
      <c r="B90" s="9" t="s">
        <v>20</v>
      </c>
      <c r="C90" s="10">
        <f t="shared" ref="C90:C98" si="83">R76</f>
        <v>17303147.171020802</v>
      </c>
      <c r="D90" s="11">
        <f t="shared" ref="D90:D98" si="84">O76</f>
        <v>17303147.171020802</v>
      </c>
      <c r="E90" s="11">
        <v>0</v>
      </c>
      <c r="F90" s="11"/>
      <c r="G90" s="11"/>
      <c r="H90" s="11"/>
      <c r="I90" s="11"/>
      <c r="J90" s="11">
        <f t="shared" ref="J90:J98" si="85">SUM(D90:I90)</f>
        <v>17303147.171020802</v>
      </c>
      <c r="K90" s="11">
        <f t="shared" ref="K90:K98" si="86">E90+F90+I90</f>
        <v>0</v>
      </c>
      <c r="L90" s="11">
        <f t="shared" ref="L90:L98" si="87">K90*0.5</f>
        <v>0</v>
      </c>
      <c r="M90" s="12">
        <v>0.04</v>
      </c>
      <c r="N90" s="11">
        <f>(D90*M90)+(L90*M90)</f>
        <v>692125.88684083207</v>
      </c>
      <c r="O90" s="11">
        <f t="shared" ref="O90:O98" si="88">J90-N90</f>
        <v>16611021.284179971</v>
      </c>
      <c r="Q90" s="10">
        <f t="shared" ref="Q90:Q98" si="89">(C90*M90)+(L90*M90)</f>
        <v>692125.88684083207</v>
      </c>
      <c r="R90" s="10">
        <f t="shared" ref="R90:R98" si="90">C90+SUM(E90:I90)-Q90</f>
        <v>16611021.284179971</v>
      </c>
      <c r="S90" s="10">
        <f t="shared" ref="S90:S98" si="91">N90-Q90</f>
        <v>0</v>
      </c>
    </row>
    <row r="91" spans="1:22" ht="15" customHeight="1">
      <c r="A91" s="13">
        <v>8</v>
      </c>
      <c r="B91" s="4" t="s">
        <v>21</v>
      </c>
      <c r="C91" s="10">
        <f t="shared" si="83"/>
        <v>1218145.403712</v>
      </c>
      <c r="D91" s="14">
        <f t="shared" si="84"/>
        <v>706303.12031999999</v>
      </c>
      <c r="E91" s="14">
        <f>H129+H134+H135+H136</f>
        <v>117688.00000000009</v>
      </c>
      <c r="F91" s="14"/>
      <c r="G91" s="14"/>
      <c r="H91" s="14"/>
      <c r="I91" s="14"/>
      <c r="J91" s="14">
        <f t="shared" si="85"/>
        <v>823991.1203200001</v>
      </c>
      <c r="K91" s="14">
        <f t="shared" si="86"/>
        <v>117688.00000000009</v>
      </c>
      <c r="L91" s="14">
        <f t="shared" si="87"/>
        <v>58844.000000000044</v>
      </c>
      <c r="M91" s="15">
        <v>0.2</v>
      </c>
      <c r="N91" s="14">
        <f>(D91*M91)+((E91+F91+I91)*M91*1)+G91</f>
        <v>164798.22406400001</v>
      </c>
      <c r="O91" s="14">
        <f t="shared" si="88"/>
        <v>659192.89625600004</v>
      </c>
      <c r="Q91" s="10">
        <f t="shared" si="89"/>
        <v>255397.88074240004</v>
      </c>
      <c r="R91" s="10">
        <f t="shared" si="90"/>
        <v>1080435.5229696</v>
      </c>
      <c r="S91" s="10">
        <f t="shared" si="91"/>
        <v>-90599.656678400032</v>
      </c>
    </row>
    <row r="92" spans="1:22" ht="15" customHeight="1">
      <c r="A92" s="13">
        <v>10</v>
      </c>
      <c r="B92" s="4" t="s">
        <v>22</v>
      </c>
      <c r="C92" s="10">
        <f t="shared" si="83"/>
        <v>867948.28025399975</v>
      </c>
      <c r="D92" s="14">
        <f t="shared" si="84"/>
        <v>358296.48229999986</v>
      </c>
      <c r="E92" s="14">
        <f>H132+H133</f>
        <v>470000.00000000029</v>
      </c>
      <c r="F92" s="14"/>
      <c r="G92" s="14"/>
      <c r="H92" s="14"/>
      <c r="I92" s="14"/>
      <c r="J92" s="14">
        <f t="shared" si="85"/>
        <v>828296.48230000015</v>
      </c>
      <c r="K92" s="14">
        <f t="shared" si="86"/>
        <v>470000.00000000029</v>
      </c>
      <c r="L92" s="14">
        <f t="shared" si="87"/>
        <v>235000.00000000015</v>
      </c>
      <c r="M92" s="15">
        <v>0.3</v>
      </c>
      <c r="N92" s="14">
        <f>(D92*M92)+((E92+F92+I92)*M92*1)+G92</f>
        <v>248488.94469000003</v>
      </c>
      <c r="O92" s="14">
        <f t="shared" si="88"/>
        <v>579807.53761000012</v>
      </c>
      <c r="Q92" s="10">
        <f t="shared" si="89"/>
        <v>330884.48407619994</v>
      </c>
      <c r="R92" s="10">
        <f t="shared" si="90"/>
        <v>1007063.7961778002</v>
      </c>
      <c r="S92" s="10">
        <f t="shared" si="91"/>
        <v>-82395.539386199904</v>
      </c>
    </row>
    <row r="93" spans="1:22" ht="15" customHeight="1">
      <c r="A93" s="8">
        <v>45</v>
      </c>
      <c r="B93" s="9" t="s">
        <v>23</v>
      </c>
      <c r="C93" s="10">
        <f t="shared" si="83"/>
        <v>4.3007937499999995</v>
      </c>
      <c r="D93" s="11">
        <f t="shared" si="84"/>
        <v>4.3007937499999995</v>
      </c>
      <c r="E93" s="11">
        <v>0</v>
      </c>
      <c r="F93" s="11"/>
      <c r="G93" s="11"/>
      <c r="H93" s="11"/>
      <c r="I93" s="11"/>
      <c r="J93" s="11">
        <f t="shared" si="85"/>
        <v>4.3007937499999995</v>
      </c>
      <c r="K93" s="11">
        <f t="shared" si="86"/>
        <v>0</v>
      </c>
      <c r="L93" s="11">
        <f t="shared" si="87"/>
        <v>0</v>
      </c>
      <c r="M93" s="12">
        <v>0.45</v>
      </c>
      <c r="N93" s="11">
        <f>(D93*M93)+(L93*M93)</f>
        <v>1.9353571874999997</v>
      </c>
      <c r="O93" s="11">
        <f t="shared" si="88"/>
        <v>2.3654365624999998</v>
      </c>
      <c r="Q93" s="10">
        <f t="shared" si="89"/>
        <v>1.9353571874999997</v>
      </c>
      <c r="R93" s="10">
        <f t="shared" si="90"/>
        <v>2.3654365624999998</v>
      </c>
      <c r="S93" s="10">
        <f t="shared" si="91"/>
        <v>0</v>
      </c>
      <c r="T93" s="9" t="s">
        <v>24</v>
      </c>
    </row>
    <row r="94" spans="1:22" ht="15" customHeight="1">
      <c r="A94" s="13">
        <v>47</v>
      </c>
      <c r="B94" s="4" t="s">
        <v>25</v>
      </c>
      <c r="C94" s="10">
        <f t="shared" si="83"/>
        <v>38783719.812457778</v>
      </c>
      <c r="D94" s="14">
        <f t="shared" si="84"/>
        <v>36896699.058562055</v>
      </c>
      <c r="E94" s="14">
        <f>SUM(H111:H127)-H166-H172</f>
        <v>8098008.7616399452</v>
      </c>
      <c r="F94" s="14"/>
      <c r="G94" s="14"/>
      <c r="H94" s="14"/>
      <c r="I94" s="14"/>
      <c r="J94" s="14">
        <f t="shared" si="85"/>
        <v>44994707.820202</v>
      </c>
      <c r="K94" s="14">
        <f t="shared" si="86"/>
        <v>8098008.7616399452</v>
      </c>
      <c r="L94" s="14">
        <f t="shared" si="87"/>
        <v>4049004.3808199726</v>
      </c>
      <c r="M94" s="15">
        <v>0.08</v>
      </c>
      <c r="N94" s="14">
        <f>(D94*M94)+((E94+F94+I94)*M94*1)+G94</f>
        <v>3599576.6256161602</v>
      </c>
      <c r="O94" s="14">
        <f t="shared" si="88"/>
        <v>41395131.194585837</v>
      </c>
      <c r="Q94" s="10">
        <f t="shared" si="89"/>
        <v>3426617.9354622196</v>
      </c>
      <c r="R94" s="10">
        <f t="shared" si="90"/>
        <v>43455110.638635501</v>
      </c>
      <c r="S94" s="10">
        <f t="shared" si="91"/>
        <v>172958.69015394058</v>
      </c>
    </row>
    <row r="95" spans="1:22" ht="15" customHeight="1">
      <c r="A95" s="13">
        <v>50</v>
      </c>
      <c r="B95" s="4" t="s">
        <v>26</v>
      </c>
      <c r="C95" s="10">
        <f t="shared" si="83"/>
        <v>476247.38227843744</v>
      </c>
      <c r="D95" s="14">
        <f t="shared" si="84"/>
        <v>74337.836785624968</v>
      </c>
      <c r="E95" s="14">
        <f>H130+H131</f>
        <v>359303.00000000035</v>
      </c>
      <c r="F95" s="14"/>
      <c r="G95" s="14"/>
      <c r="H95" s="14"/>
      <c r="I95" s="14"/>
      <c r="J95" s="14">
        <f t="shared" si="85"/>
        <v>433640.83678562532</v>
      </c>
      <c r="K95" s="14">
        <f t="shared" si="86"/>
        <v>359303.00000000035</v>
      </c>
      <c r="L95" s="14">
        <f t="shared" si="87"/>
        <v>179651.50000000017</v>
      </c>
      <c r="M95" s="15">
        <v>0.55000000000000004</v>
      </c>
      <c r="N95" s="14">
        <f>(D95*M95)+((E95+F95+I95)*M95*1)+G95</f>
        <v>238502.46023209393</v>
      </c>
      <c r="O95" s="14">
        <f t="shared" si="88"/>
        <v>195138.37655353139</v>
      </c>
      <c r="Q95" s="10">
        <f t="shared" si="89"/>
        <v>360744.3852531407</v>
      </c>
      <c r="R95" s="10">
        <f t="shared" si="90"/>
        <v>474805.99702529702</v>
      </c>
      <c r="S95" s="10">
        <f t="shared" si="91"/>
        <v>-122241.92502104677</v>
      </c>
      <c r="T95" s="9" t="s">
        <v>27</v>
      </c>
      <c r="V95" s="11">
        <f>(S99*S101)/(1-S101)</f>
        <v>0</v>
      </c>
    </row>
    <row r="96" spans="1:22" ht="15" customHeight="1">
      <c r="A96" s="8">
        <v>14.1</v>
      </c>
      <c r="C96" s="10">
        <f t="shared" si="83"/>
        <v>137142.58174672953</v>
      </c>
      <c r="D96" s="11">
        <f t="shared" si="84"/>
        <v>131428.99789694999</v>
      </c>
      <c r="E96" s="11">
        <v>0</v>
      </c>
      <c r="F96" s="11"/>
      <c r="G96" s="11"/>
      <c r="H96" s="11"/>
      <c r="I96" s="11"/>
      <c r="J96" s="11">
        <f t="shared" si="85"/>
        <v>131428.99789694999</v>
      </c>
      <c r="K96" s="11">
        <f t="shared" si="86"/>
        <v>0</v>
      </c>
      <c r="L96" s="11">
        <f t="shared" si="87"/>
        <v>0</v>
      </c>
      <c r="M96" s="12">
        <v>7.0000000000000007E-2</v>
      </c>
      <c r="N96" s="11">
        <f>(D96*M96)+(L96*M96)</f>
        <v>9200.0298527864998</v>
      </c>
      <c r="O96" s="11">
        <f t="shared" si="88"/>
        <v>122228.9680441635</v>
      </c>
      <c r="Q96" s="10">
        <f t="shared" si="89"/>
        <v>9599.9807222710679</v>
      </c>
      <c r="R96" s="10">
        <f t="shared" si="90"/>
        <v>127542.60102445846</v>
      </c>
      <c r="S96" s="10">
        <f t="shared" si="91"/>
        <v>-399.9508694845681</v>
      </c>
      <c r="T96" s="9" t="s">
        <v>28</v>
      </c>
      <c r="U96" s="11">
        <f>-V95</f>
        <v>0</v>
      </c>
    </row>
    <row r="97" spans="1:22" ht="15" customHeight="1">
      <c r="A97" s="13" t="s">
        <v>29</v>
      </c>
      <c r="B97" s="4" t="s">
        <v>30</v>
      </c>
      <c r="C97" s="10">
        <f t="shared" si="83"/>
        <v>465872.01978340803</v>
      </c>
      <c r="D97" s="14">
        <f t="shared" si="84"/>
        <v>445594.71364232001</v>
      </c>
      <c r="E97" s="14">
        <f>H128</f>
        <v>75000</v>
      </c>
      <c r="F97" s="14"/>
      <c r="G97" s="14"/>
      <c r="H97" s="14"/>
      <c r="I97" s="14"/>
      <c r="J97" s="14">
        <f t="shared" si="85"/>
        <v>520594.71364232001</v>
      </c>
      <c r="K97" s="14">
        <f t="shared" si="86"/>
        <v>75000</v>
      </c>
      <c r="L97" s="14">
        <f t="shared" si="87"/>
        <v>37500</v>
      </c>
      <c r="M97" s="15">
        <v>0.06</v>
      </c>
      <c r="N97" s="14">
        <f>(D97*M97)+((E97+F97+I97)*M97*1)+G97</f>
        <v>31235.682818539201</v>
      </c>
      <c r="O97" s="14">
        <f t="shared" si="88"/>
        <v>489359.03082378081</v>
      </c>
      <c r="Q97" s="10">
        <f t="shared" si="89"/>
        <v>30202.32118700448</v>
      </c>
      <c r="R97" s="10">
        <f t="shared" si="90"/>
        <v>510669.69859640353</v>
      </c>
      <c r="S97" s="10">
        <f t="shared" si="91"/>
        <v>1033.3616315347208</v>
      </c>
    </row>
    <row r="98" spans="1:22" ht="15" customHeight="1">
      <c r="A98" s="8">
        <v>95</v>
      </c>
      <c r="B98" s="1" t="s">
        <v>31</v>
      </c>
      <c r="C98" s="10">
        <f t="shared" si="83"/>
        <v>105</v>
      </c>
      <c r="D98" s="11">
        <f t="shared" si="84"/>
        <v>0</v>
      </c>
      <c r="E98" s="11">
        <v>0</v>
      </c>
      <c r="F98" s="11">
        <f>H164+G164</f>
        <v>6423739</v>
      </c>
      <c r="J98" s="11">
        <f t="shared" si="85"/>
        <v>6423739</v>
      </c>
      <c r="K98" s="11">
        <f t="shared" si="86"/>
        <v>6423739</v>
      </c>
      <c r="L98" s="11">
        <f t="shared" si="87"/>
        <v>3211869.5</v>
      </c>
      <c r="M98" s="12">
        <v>0</v>
      </c>
      <c r="N98" s="11">
        <f>(D98*M98)+(L98*M98)</f>
        <v>0</v>
      </c>
      <c r="O98" s="11">
        <f t="shared" si="88"/>
        <v>6423739</v>
      </c>
      <c r="Q98" s="10">
        <f t="shared" si="89"/>
        <v>0</v>
      </c>
      <c r="R98" s="10">
        <f t="shared" si="90"/>
        <v>6423844</v>
      </c>
      <c r="S98" s="10">
        <f t="shared" si="91"/>
        <v>0</v>
      </c>
    </row>
    <row r="99" spans="1:22" ht="15" customHeight="1">
      <c r="A99" s="16"/>
      <c r="B99" s="16"/>
      <c r="C99" s="17">
        <f t="shared" ref="C99:L99" si="92">SUM(C90:C98)</f>
        <v>59252331.952046894</v>
      </c>
      <c r="D99" s="18">
        <f t="shared" si="92"/>
        <v>55915811.681321494</v>
      </c>
      <c r="E99" s="18">
        <f t="shared" si="92"/>
        <v>9119999.7616399452</v>
      </c>
      <c r="F99" s="18">
        <f t="shared" si="92"/>
        <v>6423739</v>
      </c>
      <c r="G99" s="18">
        <f t="shared" si="92"/>
        <v>0</v>
      </c>
      <c r="H99" s="18">
        <f t="shared" si="92"/>
        <v>0</v>
      </c>
      <c r="I99" s="18">
        <f t="shared" si="92"/>
        <v>0</v>
      </c>
      <c r="J99" s="18">
        <f t="shared" si="92"/>
        <v>71459550.442961439</v>
      </c>
      <c r="K99" s="18">
        <f t="shared" si="92"/>
        <v>15543738.761639945</v>
      </c>
      <c r="L99" s="18">
        <f t="shared" si="92"/>
        <v>7771869.3808199726</v>
      </c>
      <c r="M99" s="18"/>
      <c r="N99" s="18">
        <f>SUM(N90:N98)</f>
        <v>4983929.7894715993</v>
      </c>
      <c r="O99" s="18">
        <f>SUM(O90:O98)</f>
        <v>66475620.653489843</v>
      </c>
      <c r="Q99" s="17">
        <f>SUM(Q90:Q98)</f>
        <v>5105574.8096412551</v>
      </c>
      <c r="R99" s="17">
        <f>SUM(R90:R98)</f>
        <v>69690495.904045582</v>
      </c>
      <c r="S99" s="17">
        <f>SUM(S90:S98)</f>
        <v>-121645.02016965598</v>
      </c>
      <c r="T99" s="2" t="s">
        <v>41</v>
      </c>
      <c r="U99" s="2"/>
      <c r="V99" s="23">
        <f>V85+U96</f>
        <v>-194436.88191404028</v>
      </c>
    </row>
    <row r="100" spans="1:22" ht="15" customHeight="1">
      <c r="A100" s="21"/>
      <c r="F100" s="22"/>
      <c r="N100" s="19" t="s">
        <v>32</v>
      </c>
    </row>
    <row r="101" spans="1:22" ht="15" customHeight="1">
      <c r="R101" s="9"/>
      <c r="S101" s="20"/>
    </row>
    <row r="102" spans="1:22" ht="15" hidden="1" customHeight="1">
      <c r="N102" s="9" t="s">
        <v>42</v>
      </c>
      <c r="O102" s="11">
        <f>O99-O98</f>
        <v>60051881.653489843</v>
      </c>
    </row>
    <row r="103" spans="1:22" ht="15" hidden="1" customHeight="1">
      <c r="R103" s="20"/>
    </row>
    <row r="104" spans="1:22" ht="15" hidden="1" customHeight="1"/>
    <row r="105" spans="1:22" ht="15" hidden="1" customHeight="1"/>
    <row r="106" spans="1:22" ht="14.25" hidden="1" customHeight="1">
      <c r="J106" s="11"/>
      <c r="K106" s="11"/>
      <c r="L106" s="11"/>
      <c r="M106" s="11"/>
      <c r="V106" s="11"/>
    </row>
    <row r="107" spans="1:22" ht="14.25" hidden="1" customHeight="1">
      <c r="D107" t="s">
        <v>43</v>
      </c>
      <c r="E107" t="s">
        <v>44</v>
      </c>
      <c r="F107" t="s">
        <v>45</v>
      </c>
      <c r="G107" t="s">
        <v>46</v>
      </c>
      <c r="H107" t="s">
        <v>47</v>
      </c>
      <c r="J107" s="11"/>
      <c r="K107" s="11"/>
      <c r="L107" s="11"/>
      <c r="M107" s="11"/>
      <c r="V107" s="11"/>
    </row>
    <row r="108" spans="1:22" ht="14.25" hidden="1" customHeight="1">
      <c r="D108" t="s">
        <v>48</v>
      </c>
      <c r="E108" t="s">
        <v>48</v>
      </c>
      <c r="F108" t="s">
        <v>48</v>
      </c>
      <c r="G108" t="s">
        <v>48</v>
      </c>
      <c r="H108" t="s">
        <v>48</v>
      </c>
      <c r="J108" s="11"/>
      <c r="K108" s="11"/>
      <c r="L108" s="11"/>
      <c r="M108" s="11"/>
      <c r="V108" s="11"/>
    </row>
    <row r="109" spans="1:22" ht="14.25" hidden="1" customHeight="1">
      <c r="D109" t="s">
        <v>49</v>
      </c>
      <c r="E109" t="s">
        <v>49</v>
      </c>
      <c r="F109" t="s">
        <v>49</v>
      </c>
      <c r="G109" t="s">
        <v>50</v>
      </c>
      <c r="H109" t="s">
        <v>50</v>
      </c>
      <c r="J109" s="11"/>
      <c r="K109" s="11"/>
      <c r="L109" s="11"/>
      <c r="M109" s="11"/>
      <c r="V109" s="11"/>
    </row>
    <row r="110" spans="1:22" ht="14.25" hidden="1" customHeight="1">
      <c r="A110" t="s">
        <v>51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J110" s="11"/>
      <c r="K110" s="11"/>
      <c r="L110" s="11"/>
      <c r="M110" s="11"/>
      <c r="V110" s="11"/>
    </row>
    <row r="111" spans="1:22" ht="14.25" hidden="1" customHeight="1">
      <c r="A111" t="s">
        <v>52</v>
      </c>
      <c r="D111" s="22">
        <v>0</v>
      </c>
      <c r="E111" s="22">
        <v>0</v>
      </c>
      <c r="F111" s="22">
        <v>0</v>
      </c>
      <c r="G111" s="22">
        <v>5102673.9999999963</v>
      </c>
      <c r="H111" s="22">
        <v>4119999.9999999963</v>
      </c>
      <c r="J111" s="11"/>
      <c r="K111" s="11"/>
      <c r="L111" s="11"/>
      <c r="M111" s="11"/>
      <c r="V111" s="11"/>
    </row>
    <row r="112" spans="1:22" ht="14.25" hidden="1" customHeight="1">
      <c r="A112" t="s">
        <v>53</v>
      </c>
      <c r="D112" s="22">
        <v>3616651.83</v>
      </c>
      <c r="E112" s="22">
        <v>2419931.15</v>
      </c>
      <c r="F112" s="22">
        <v>467974.17</v>
      </c>
      <c r="G112" s="22">
        <v>6472154.0000000037</v>
      </c>
      <c r="H112" s="22">
        <v>3158000.0000000037</v>
      </c>
      <c r="I112" s="24"/>
      <c r="J112" s="11"/>
      <c r="K112" s="11"/>
      <c r="L112" s="11"/>
      <c r="M112" s="11"/>
      <c r="V112" s="11"/>
    </row>
    <row r="113" spans="1:22" ht="14.25" hidden="1" customHeight="1">
      <c r="A113" t="s">
        <v>54</v>
      </c>
      <c r="D113" s="22">
        <v>3195441.9</v>
      </c>
      <c r="E113" s="22">
        <v>4034416.02</v>
      </c>
      <c r="F113" s="22">
        <v>3566866.74</v>
      </c>
      <c r="G113" s="22">
        <v>30063401.000000045</v>
      </c>
      <c r="H113" s="22">
        <v>20907735.999999955</v>
      </c>
      <c r="I113" s="1"/>
      <c r="J113" s="11"/>
      <c r="K113" s="11"/>
      <c r="L113" s="11"/>
      <c r="M113" s="11"/>
      <c r="V113" s="11"/>
    </row>
    <row r="114" spans="1:22" ht="14.25" hidden="1" customHeight="1">
      <c r="A114" t="s">
        <v>55</v>
      </c>
      <c r="D114" s="22">
        <v>2310263.6</v>
      </c>
      <c r="E114" s="22">
        <v>3114575.43</v>
      </c>
      <c r="F114" s="22">
        <v>1181704.75</v>
      </c>
      <c r="G114" s="22">
        <v>1181499.9999999993</v>
      </c>
      <c r="H114" s="22">
        <v>423723</v>
      </c>
      <c r="I114" s="1"/>
      <c r="J114" s="11"/>
      <c r="K114" s="11"/>
      <c r="L114" s="11"/>
      <c r="M114" s="11"/>
      <c r="V114" s="11"/>
    </row>
    <row r="115" spans="1:22" ht="14.25" hidden="1" customHeight="1">
      <c r="A115" t="s">
        <v>56</v>
      </c>
      <c r="D115" s="22">
        <v>494241.62</v>
      </c>
      <c r="E115" s="22">
        <v>577678.93000000005</v>
      </c>
      <c r="F115" s="22">
        <v>4028774.81</v>
      </c>
      <c r="G115" s="22">
        <v>3460165.9599999967</v>
      </c>
      <c r="H115" s="22">
        <v>3500.0000000000041</v>
      </c>
      <c r="I115" s="1"/>
      <c r="J115" s="11"/>
      <c r="K115" s="11"/>
      <c r="L115" s="11"/>
      <c r="M115" s="11"/>
      <c r="V115" s="11"/>
    </row>
    <row r="116" spans="1:22" ht="14.25" hidden="1" customHeight="1">
      <c r="A116" t="s">
        <v>57</v>
      </c>
      <c r="D116" s="22">
        <v>429863.02</v>
      </c>
      <c r="E116" s="22">
        <v>724358.72</v>
      </c>
      <c r="F116" s="22">
        <v>1394496.39</v>
      </c>
      <c r="G116" s="22">
        <v>36515.000000000051</v>
      </c>
      <c r="H116" s="22">
        <v>120525</v>
      </c>
      <c r="I116" s="1"/>
      <c r="J116" s="11"/>
      <c r="K116" s="11"/>
      <c r="L116" s="11"/>
      <c r="M116" s="11"/>
      <c r="V116" s="11"/>
    </row>
    <row r="117" spans="1:22" ht="14.25" hidden="1" customHeight="1">
      <c r="A117" t="s">
        <v>58</v>
      </c>
      <c r="D117" s="22">
        <v>263993</v>
      </c>
      <c r="E117" s="22">
        <v>-136708.17000000001</v>
      </c>
      <c r="F117" s="22">
        <v>0</v>
      </c>
      <c r="G117" s="22">
        <v>0</v>
      </c>
      <c r="H117" s="22">
        <v>0</v>
      </c>
      <c r="I117" s="1"/>
      <c r="J117" s="11"/>
      <c r="K117" s="11"/>
      <c r="L117" s="11"/>
      <c r="M117" s="11"/>
      <c r="V117" s="11"/>
    </row>
    <row r="118" spans="1:22" ht="14.25" hidden="1" customHeight="1">
      <c r="A118" t="s">
        <v>59</v>
      </c>
      <c r="D118" s="22">
        <v>331880.33899999998</v>
      </c>
      <c r="E118" s="22">
        <v>403137.52899999998</v>
      </c>
      <c r="F118" s="22">
        <v>470584.61900000001</v>
      </c>
      <c r="G118" s="22">
        <v>174999.99999999965</v>
      </c>
      <c r="H118" s="22">
        <v>171624.99999999959</v>
      </c>
      <c r="I118" s="1"/>
      <c r="J118" s="11"/>
      <c r="K118" s="11"/>
      <c r="L118" s="11"/>
      <c r="M118" s="11"/>
      <c r="V118" s="11"/>
    </row>
    <row r="119" spans="1:22" ht="14.25" hidden="1" customHeight="1">
      <c r="A119" t="s">
        <v>60</v>
      </c>
      <c r="D119" s="22">
        <v>0</v>
      </c>
      <c r="E119" s="22">
        <v>136921.98000000001</v>
      </c>
      <c r="F119" s="22">
        <v>0</v>
      </c>
      <c r="G119" s="22">
        <v>0</v>
      </c>
      <c r="H119" s="22">
        <v>0</v>
      </c>
      <c r="I119" s="1"/>
      <c r="J119" s="11"/>
      <c r="K119" s="11"/>
      <c r="L119" s="11"/>
      <c r="M119" s="11"/>
      <c r="V119" s="11"/>
    </row>
    <row r="120" spans="1:22" ht="15" hidden="1" customHeight="1">
      <c r="A120" t="s">
        <v>61</v>
      </c>
      <c r="D120" s="22">
        <v>65233.64</v>
      </c>
      <c r="E120" s="22">
        <v>-103874.65</v>
      </c>
      <c r="F120" s="22">
        <v>0</v>
      </c>
      <c r="G120" s="22">
        <v>0</v>
      </c>
      <c r="H120" s="22">
        <v>0</v>
      </c>
    </row>
    <row r="121" spans="1:22" ht="15" hidden="1" customHeight="1">
      <c r="A121" t="s">
        <v>62</v>
      </c>
      <c r="D121" s="22">
        <v>984370.87</v>
      </c>
      <c r="E121" s="22">
        <v>890281.36</v>
      </c>
      <c r="F121" s="22">
        <v>531337.13</v>
      </c>
      <c r="G121" s="22">
        <v>71000.000000000044</v>
      </c>
      <c r="H121" s="22">
        <v>71000.000000000044</v>
      </c>
    </row>
    <row r="122" spans="1:22" ht="15" hidden="1" customHeight="1">
      <c r="A122" t="s">
        <v>63</v>
      </c>
      <c r="D122" s="22">
        <v>0</v>
      </c>
      <c r="E122" s="22">
        <v>103874.65</v>
      </c>
      <c r="F122" s="22">
        <v>0</v>
      </c>
      <c r="G122" s="22">
        <v>0</v>
      </c>
      <c r="H122" s="22">
        <v>0</v>
      </c>
    </row>
    <row r="123" spans="1:22" ht="15" hidden="1" customHeight="1">
      <c r="A123" t="s">
        <v>64</v>
      </c>
      <c r="D123" s="22">
        <v>79103.03</v>
      </c>
      <c r="E123" s="22">
        <v>148655.47</v>
      </c>
      <c r="F123" s="22">
        <v>106667.48</v>
      </c>
      <c r="G123" s="22">
        <v>54999.999999999949</v>
      </c>
      <c r="H123" s="22">
        <v>65000.000000000051</v>
      </c>
    </row>
    <row r="124" spans="1:22" ht="15" hidden="1" customHeight="1">
      <c r="A124" t="s">
        <v>65</v>
      </c>
      <c r="D124" s="22">
        <v>501353.61</v>
      </c>
      <c r="E124" s="22">
        <v>594931.17000000004</v>
      </c>
      <c r="F124" s="22">
        <v>445869.3</v>
      </c>
      <c r="G124" s="22">
        <v>224000.00000000035</v>
      </c>
      <c r="H124" s="22">
        <v>2807748</v>
      </c>
    </row>
    <row r="125" spans="1:22" ht="15" hidden="1" customHeight="1">
      <c r="A125" t="s">
        <v>66</v>
      </c>
      <c r="D125" s="22">
        <v>658.36</v>
      </c>
      <c r="E125" s="22">
        <v>-37025</v>
      </c>
      <c r="F125" s="22">
        <v>0</v>
      </c>
      <c r="G125" s="22">
        <v>0</v>
      </c>
      <c r="H125" s="22">
        <v>0</v>
      </c>
    </row>
    <row r="126" spans="1:22" ht="15" hidden="1" customHeight="1">
      <c r="A126" t="s">
        <v>67</v>
      </c>
      <c r="D126" s="22">
        <v>298619.55</v>
      </c>
      <c r="E126" s="22">
        <v>268891.09000000003</v>
      </c>
      <c r="F126" s="22">
        <v>228496.24</v>
      </c>
      <c r="G126" s="22">
        <v>533781.99999999965</v>
      </c>
      <c r="H126" s="22">
        <v>509499.99999999971</v>
      </c>
    </row>
    <row r="127" spans="1:22" ht="15" hidden="1" customHeight="1">
      <c r="A127" t="s">
        <v>68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</row>
    <row r="128" spans="1:22" ht="15" hidden="1" customHeight="1">
      <c r="A128" t="s">
        <v>69</v>
      </c>
      <c r="D128" s="22">
        <v>69708.960000000006</v>
      </c>
      <c r="E128" s="22">
        <v>43734.400000000001</v>
      </c>
      <c r="F128" s="22">
        <v>143855.20000000001</v>
      </c>
      <c r="G128" s="22">
        <v>75000</v>
      </c>
      <c r="H128" s="22">
        <v>75000</v>
      </c>
    </row>
    <row r="129" spans="1:8" ht="15" hidden="1" customHeight="1">
      <c r="A129" t="s">
        <v>70</v>
      </c>
      <c r="D129" s="22">
        <v>5438.47</v>
      </c>
      <c r="E129" s="22">
        <v>23352.54</v>
      </c>
      <c r="F129" s="22">
        <v>2165</v>
      </c>
      <c r="G129" s="22">
        <v>0</v>
      </c>
      <c r="H129" s="22">
        <v>0</v>
      </c>
    </row>
    <row r="130" spans="1:8" ht="15" hidden="1" customHeight="1">
      <c r="A130" t="s">
        <v>71</v>
      </c>
      <c r="D130" s="22">
        <v>90161.93</v>
      </c>
      <c r="E130" s="22">
        <v>24955.74</v>
      </c>
      <c r="F130" s="22">
        <v>84647.3</v>
      </c>
      <c r="G130" s="22">
        <v>79599.999999999956</v>
      </c>
      <c r="H130" s="22">
        <v>194303.00000000035</v>
      </c>
    </row>
    <row r="131" spans="1:8" ht="15" hidden="1" customHeight="1">
      <c r="A131" t="s">
        <v>72</v>
      </c>
      <c r="D131" s="22">
        <v>240107.03</v>
      </c>
      <c r="E131" s="22">
        <v>152644.92000000001</v>
      </c>
      <c r="F131" s="22">
        <v>321120.74</v>
      </c>
      <c r="G131" s="22">
        <v>326300.00000000029</v>
      </c>
      <c r="H131" s="22">
        <v>165000</v>
      </c>
    </row>
    <row r="132" spans="1:8" ht="15" hidden="1" customHeight="1">
      <c r="A132" t="s">
        <v>73</v>
      </c>
      <c r="D132" s="22">
        <v>0</v>
      </c>
      <c r="E132" s="22">
        <v>668543.31000000006</v>
      </c>
      <c r="F132" s="22">
        <v>48944.959999999999</v>
      </c>
      <c r="G132" s="22">
        <v>475690.20999999973</v>
      </c>
      <c r="H132" s="22">
        <v>470000.00000000029</v>
      </c>
    </row>
    <row r="133" spans="1:8" ht="15" hidden="1" customHeight="1">
      <c r="A133" t="s">
        <v>74</v>
      </c>
      <c r="D133">
        <v>0</v>
      </c>
      <c r="E133">
        <v>0</v>
      </c>
      <c r="F133">
        <v>0</v>
      </c>
      <c r="G133">
        <v>0</v>
      </c>
      <c r="H133">
        <v>0</v>
      </c>
    </row>
    <row r="134" spans="1:8" ht="15" hidden="1" customHeight="1">
      <c r="A134" t="s">
        <v>75</v>
      </c>
      <c r="D134" s="22">
        <v>0</v>
      </c>
      <c r="E134" s="22">
        <v>74701.22</v>
      </c>
      <c r="F134" s="22">
        <v>53426.58</v>
      </c>
      <c r="G134" s="22">
        <v>78750</v>
      </c>
      <c r="H134" s="22">
        <v>82688.000000000044</v>
      </c>
    </row>
    <row r="135" spans="1:8" ht="15" hidden="1" customHeight="1">
      <c r="A135" t="s">
        <v>76</v>
      </c>
      <c r="D135" s="22">
        <v>0</v>
      </c>
      <c r="E135" s="22">
        <v>2289.63</v>
      </c>
      <c r="F135" s="22">
        <v>2425</v>
      </c>
      <c r="G135" s="22">
        <v>0</v>
      </c>
      <c r="H135" s="22">
        <v>0</v>
      </c>
    </row>
    <row r="136" spans="1:8" ht="15" hidden="1" customHeight="1">
      <c r="A136" t="s">
        <v>77</v>
      </c>
      <c r="D136" s="22">
        <v>238750.35</v>
      </c>
      <c r="E136" s="22">
        <v>251847.58</v>
      </c>
      <c r="F136" s="22">
        <v>293062.5</v>
      </c>
      <c r="G136" s="22">
        <v>119640</v>
      </c>
      <c r="H136" s="22">
        <v>35000.000000000051</v>
      </c>
    </row>
    <row r="137" spans="1:8" ht="15" hidden="1" customHeight="1">
      <c r="A137" t="s">
        <v>78</v>
      </c>
      <c r="D137" s="22">
        <v>0</v>
      </c>
      <c r="E137" s="22">
        <v>0</v>
      </c>
      <c r="F137" s="22">
        <v>0</v>
      </c>
      <c r="G137" s="22">
        <v>0</v>
      </c>
      <c r="H137" s="22">
        <v>0</v>
      </c>
    </row>
    <row r="138" spans="1:8" ht="15" hidden="1" customHeight="1">
      <c r="A138" t="s">
        <v>79</v>
      </c>
      <c r="D138" s="22">
        <v>0</v>
      </c>
      <c r="E138" s="22">
        <v>0</v>
      </c>
      <c r="F138" s="22">
        <v>75328.44</v>
      </c>
      <c r="G138" s="22">
        <v>0</v>
      </c>
      <c r="H138" s="22">
        <v>0</v>
      </c>
    </row>
    <row r="139" spans="1:8" ht="15" hidden="1" customHeight="1">
      <c r="D139" s="24"/>
      <c r="E139" s="24"/>
      <c r="F139" s="24"/>
      <c r="G139" s="24"/>
      <c r="H139" s="24"/>
    </row>
    <row r="140" spans="1:8" ht="15" hidden="1" customHeight="1">
      <c r="D140" s="24"/>
      <c r="E140" s="24"/>
      <c r="F140" s="24"/>
      <c r="G140" s="24"/>
      <c r="H140" s="24"/>
    </row>
    <row r="141" spans="1:8" ht="15" hidden="1" customHeight="1">
      <c r="A141" t="s">
        <v>80</v>
      </c>
      <c r="D141" s="22">
        <v>4967027.7432000004</v>
      </c>
      <c r="E141" s="22">
        <v>3768504.3532000007</v>
      </c>
      <c r="F141" s="22">
        <v>5919874.0332000004</v>
      </c>
      <c r="G141" s="22">
        <v>0</v>
      </c>
      <c r="H141" s="22">
        <v>6423739</v>
      </c>
    </row>
    <row r="142" spans="1:8" ht="15" hidden="1" customHeight="1">
      <c r="A142" t="s">
        <v>81</v>
      </c>
      <c r="D142" s="22">
        <v>153498.03399999999</v>
      </c>
      <c r="E142" s="22">
        <v>38390.294000000002</v>
      </c>
      <c r="F142" s="22">
        <v>88436.123999999996</v>
      </c>
      <c r="G142" s="22">
        <v>0</v>
      </c>
      <c r="H142" s="22">
        <v>0</v>
      </c>
    </row>
    <row r="143" spans="1:8" ht="15" hidden="1" customHeight="1">
      <c r="D143" s="24"/>
      <c r="E143" s="24"/>
      <c r="F143" s="24"/>
      <c r="G143" s="24"/>
      <c r="H143" s="24"/>
    </row>
    <row r="144" spans="1:8" ht="15" hidden="1" customHeight="1">
      <c r="D144" s="24"/>
      <c r="E144" s="24"/>
      <c r="F144" s="24"/>
      <c r="G144" s="24"/>
      <c r="H144" s="24"/>
    </row>
    <row r="145" spans="1:8" ht="15" hidden="1" customHeight="1">
      <c r="A145" t="s">
        <v>82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</row>
    <row r="146" spans="1:8" ht="15" hidden="1" customHeight="1">
      <c r="A146" t="s">
        <v>83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</row>
    <row r="147" spans="1:8" ht="15" hidden="1" customHeight="1">
      <c r="A147" t="s">
        <v>84</v>
      </c>
      <c r="D147" s="22">
        <v>3398852.67</v>
      </c>
      <c r="E147" s="22">
        <v>93266.53</v>
      </c>
      <c r="F147" s="22">
        <v>9186.85</v>
      </c>
      <c r="G147" s="22">
        <v>4903278</v>
      </c>
      <c r="H147" s="22">
        <v>3112999.9999920004</v>
      </c>
    </row>
    <row r="148" spans="1:8" ht="15" hidden="1" customHeight="1">
      <c r="A148" t="s">
        <v>85</v>
      </c>
      <c r="D148" s="22">
        <v>1682738</v>
      </c>
      <c r="E148" s="22">
        <v>2734836.22</v>
      </c>
      <c r="F148" s="22">
        <v>2067894.8</v>
      </c>
      <c r="G148" s="22">
        <v>27949687.999992009</v>
      </c>
      <c r="H148" s="22">
        <v>18792524.499996003</v>
      </c>
    </row>
    <row r="149" spans="1:8" ht="15" hidden="1" customHeight="1">
      <c r="A149" t="s">
        <v>86</v>
      </c>
      <c r="D149" s="22">
        <v>1525475.66</v>
      </c>
      <c r="E149" s="22">
        <v>2282415.27</v>
      </c>
      <c r="F149" s="22">
        <v>759333.94</v>
      </c>
      <c r="G149" s="22">
        <v>850999.99999200029</v>
      </c>
      <c r="H149" s="22">
        <v>75999.999996000013</v>
      </c>
    </row>
    <row r="150" spans="1:8" ht="15" hidden="1" customHeight="1">
      <c r="A150" t="s">
        <v>87</v>
      </c>
      <c r="D150" s="22">
        <v>370719.58</v>
      </c>
      <c r="E150" s="22">
        <v>461295.19</v>
      </c>
      <c r="F150" s="22">
        <v>4028926.22</v>
      </c>
      <c r="G150" s="22">
        <v>2990109.0249359999</v>
      </c>
      <c r="H150" s="22">
        <v>3499.9999920000005</v>
      </c>
    </row>
    <row r="151" spans="1:8" ht="15" hidden="1" customHeight="1">
      <c r="A151" t="s">
        <v>88</v>
      </c>
      <c r="D151" s="22">
        <v>314495.18</v>
      </c>
      <c r="E151" s="22">
        <v>544776.89</v>
      </c>
      <c r="F151" s="22">
        <v>1301120.2</v>
      </c>
      <c r="G151" s="22">
        <v>15000</v>
      </c>
      <c r="H151" s="22">
        <v>15000</v>
      </c>
    </row>
    <row r="152" spans="1:8" ht="15" hidden="1" customHeight="1">
      <c r="A152" t="s">
        <v>89</v>
      </c>
      <c r="D152" s="22">
        <v>151772.16</v>
      </c>
      <c r="E152" s="22">
        <v>192596.85</v>
      </c>
      <c r="F152" s="22">
        <v>214720.12</v>
      </c>
      <c r="G152" s="22">
        <v>40999.999991999997</v>
      </c>
      <c r="H152" s="22">
        <v>40999.999991999997</v>
      </c>
    </row>
    <row r="153" spans="1:8" ht="15" hidden="1" customHeight="1">
      <c r="A153" t="s">
        <v>90</v>
      </c>
      <c r="D153" s="22">
        <v>716754.07</v>
      </c>
      <c r="E153" s="22">
        <v>602770.17000000004</v>
      </c>
      <c r="F153" s="22">
        <v>279224.40999999997</v>
      </c>
      <c r="G153" s="22">
        <v>55999.99999199999</v>
      </c>
      <c r="H153" s="22">
        <v>55999.99999199999</v>
      </c>
    </row>
    <row r="154" spans="1:8" ht="15" hidden="1" customHeight="1">
      <c r="A154" t="s">
        <v>91</v>
      </c>
      <c r="D154" s="25">
        <v>33850.54</v>
      </c>
      <c r="E154" s="25">
        <v>55713.29</v>
      </c>
      <c r="F154" s="25">
        <v>51142.1</v>
      </c>
      <c r="G154" s="25">
        <v>45000</v>
      </c>
      <c r="H154" s="25">
        <v>45000</v>
      </c>
    </row>
    <row r="155" spans="1:8" ht="15" hidden="1" customHeight="1">
      <c r="A155" t="s">
        <v>92</v>
      </c>
      <c r="D155" s="25">
        <v>304881.08</v>
      </c>
      <c r="E155" s="25">
        <v>396386.84</v>
      </c>
      <c r="F155" s="25">
        <v>274710.76</v>
      </c>
      <c r="G155" s="25">
        <v>184999.99999200003</v>
      </c>
      <c r="H155" s="25">
        <v>2108823.7384080007</v>
      </c>
    </row>
    <row r="156" spans="1:8" ht="15" hidden="1" customHeight="1">
      <c r="A156" t="s">
        <v>93</v>
      </c>
      <c r="D156" s="25">
        <v>2821.11</v>
      </c>
      <c r="E156" s="25">
        <v>17903.86</v>
      </c>
      <c r="F156" s="25">
        <v>10198.15</v>
      </c>
      <c r="G156" s="25">
        <v>9499.9999919999991</v>
      </c>
      <c r="H156" s="25">
        <v>9499.9999919999991</v>
      </c>
    </row>
    <row r="157" spans="1:8" ht="15" hidden="1" customHeight="1">
      <c r="A157" t="s">
        <v>94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</row>
    <row r="158" spans="1:8" ht="15" hidden="1" customHeight="1">
      <c r="A158" t="s">
        <v>95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</row>
    <row r="159" spans="1:8" ht="14.25" hidden="1" customHeight="1">
      <c r="A159" t="s">
        <v>96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</row>
    <row r="160" spans="1:8" ht="14.25" hidden="1" customHeight="1">
      <c r="A160" t="s">
        <v>97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</row>
    <row r="161" spans="1:8" ht="14.25" hidden="1" customHeight="1"/>
    <row r="162" spans="1:8" ht="14.25" hidden="1" customHeight="1">
      <c r="C162" s="24"/>
    </row>
    <row r="163" spans="1:8" ht="14.25" hidden="1" customHeight="1"/>
    <row r="164" spans="1:8" ht="15" hidden="1" customHeight="1">
      <c r="C164" s="24" t="s">
        <v>98</v>
      </c>
      <c r="D164" s="26">
        <f>D141+D142</f>
        <v>5120525.7772000004</v>
      </c>
      <c r="E164" s="26">
        <f>E141+E142</f>
        <v>3806894.6472000009</v>
      </c>
      <c r="F164" s="26">
        <f>F141+F142</f>
        <v>6008310.1572000002</v>
      </c>
      <c r="G164" s="26">
        <f>G141+G142</f>
        <v>0</v>
      </c>
      <c r="H164" s="26">
        <f>H141+H142</f>
        <v>6423739</v>
      </c>
    </row>
    <row r="165" spans="1:8" ht="15" hidden="1" customHeight="1">
      <c r="C165" s="24" t="s">
        <v>99</v>
      </c>
      <c r="D165" s="26">
        <f>SUM(D110:D137)</f>
        <v>13215841.108999997</v>
      </c>
      <c r="E165" s="26">
        <f>SUM(E110:E137)</f>
        <v>14382115.019000001</v>
      </c>
      <c r="F165" s="26">
        <f>SUM(F110:F137)</f>
        <v>13372418.909000006</v>
      </c>
      <c r="G165" s="26">
        <f>SUM(G110:G137)</f>
        <v>48530172.170000039</v>
      </c>
      <c r="H165" s="26">
        <f>SUM(H110:H137)</f>
        <v>33380347.999999955</v>
      </c>
    </row>
    <row r="166" spans="1:8" ht="15" hidden="1" customHeight="1">
      <c r="C166" s="24" t="s">
        <v>100</v>
      </c>
      <c r="D166" s="26">
        <f>SUM(D145:D157)</f>
        <v>8502360.0499999989</v>
      </c>
      <c r="E166" s="26">
        <f>SUM(E145:E157)</f>
        <v>7381961.1099999994</v>
      </c>
      <c r="F166" s="26">
        <f>SUM(F145:F157)</f>
        <v>8996457.5500000007</v>
      </c>
      <c r="G166" s="26">
        <f>SUM(G145:G157)</f>
        <v>37045575.024888001</v>
      </c>
      <c r="H166" s="26">
        <f>SUM(H145:H157)</f>
        <v>24260348.23836001</v>
      </c>
    </row>
    <row r="167" spans="1:8" ht="15" hidden="1" customHeight="1">
      <c r="D167" s="26">
        <f>D165-D166-E43+E42</f>
        <v>321091.05899999849</v>
      </c>
      <c r="E167" s="26">
        <f>E165-E166-E57-E172-E117-E119-E120-E122-E125</f>
        <v>1.4551915228366852E-9</v>
      </c>
      <c r="F167" s="26">
        <f>F165-F166-E71</f>
        <v>0</v>
      </c>
      <c r="G167" s="26">
        <f>G165-G166-E85</f>
        <v>-6.4887961372733116E-2</v>
      </c>
      <c r="H167" s="26">
        <f>H165-H166-E99</f>
        <v>0</v>
      </c>
    </row>
    <row r="168" spans="1:8" ht="15" hidden="1" customHeight="1">
      <c r="D168" s="22"/>
      <c r="E168" s="22"/>
      <c r="F168" s="22"/>
      <c r="G168" s="22"/>
      <c r="H168" s="22"/>
    </row>
    <row r="169" spans="1:8" ht="15" hidden="1" customHeight="1"/>
    <row r="170" spans="1:8" ht="15" hidden="1" customHeight="1"/>
    <row r="171" spans="1:8" ht="14.25" hidden="1" customHeight="1">
      <c r="A171" s="27" t="s">
        <v>101</v>
      </c>
      <c r="D171" s="22"/>
      <c r="E171" s="22"/>
      <c r="G171" s="22"/>
      <c r="H171" s="22"/>
    </row>
    <row r="172" spans="1:8" ht="14.25" hidden="1" customHeight="1">
      <c r="A172" s="27" t="s">
        <v>102</v>
      </c>
      <c r="B172" s="28"/>
      <c r="C172" s="28"/>
      <c r="D172" s="28"/>
      <c r="E172" s="28">
        <v>146748</v>
      </c>
      <c r="F172" s="28"/>
      <c r="G172" s="28"/>
      <c r="H172" s="28"/>
    </row>
  </sheetData>
  <mergeCells count="1">
    <mergeCell ref="T34:U34"/>
  </mergeCells>
  <printOptions horizontalCentered="1"/>
  <pageMargins left="0.25" right="0.25" top="0.25" bottom="0.25" header="0.25" footer="0.25"/>
  <pageSetup scale="48" fitToHeight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BCE7B8-8945-476A-A236-048C36C91275}"/>
</file>

<file path=customXml/itemProps2.xml><?xml version="1.0" encoding="utf-8"?>
<ds:datastoreItem xmlns:ds="http://schemas.openxmlformats.org/officeDocument/2006/customXml" ds:itemID="{6E012B20-F844-4422-9500-635C9D3D371C}"/>
</file>

<file path=customXml/itemProps3.xml><?xml version="1.0" encoding="utf-8"?>
<ds:datastoreItem xmlns:ds="http://schemas.openxmlformats.org/officeDocument/2006/customXml" ds:itemID="{5C0231C7-BF84-49AA-80AF-85210AEB9C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McCaskie</dc:creator>
  <cp:keywords/>
  <dc:description/>
  <cp:lastModifiedBy>Laura Hampton</cp:lastModifiedBy>
  <cp:revision/>
  <dcterms:created xsi:type="dcterms:W3CDTF">2023-07-24T21:59:25Z</dcterms:created>
  <dcterms:modified xsi:type="dcterms:W3CDTF">2023-09-29T19:54:39Z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0x0101004BA27C2DCEE48D4D89B6F4676FF2487B</vt:lpwstr>
  </property>
  <property fmtid="{D5CDD505-2E9C-101B-9397-08002B2CF9AE}" pid="4" name="MediaServiceImageTags">
    <vt:lpwstr/>
  </property>
</Properties>
</file>