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09"/>
  <workbookPr filterPrivacy="1" codeName="ThisWorkbook" defaultThemeVersion="124226"/>
  <xr:revisionPtr revIDLastSave="390" documentId="8_{DEFF62AE-09AB-4660-B1B2-50EB08BD9B04}" xr6:coauthVersionLast="47" xr6:coauthVersionMax="47" xr10:uidLastSave="{9971094F-0D0C-4F22-A6DF-581554098313}"/>
  <bookViews>
    <workbookView xWindow="-120" yWindow="-120" windowWidth="20730" windowHeight="11160" tabRatio="878" firstSheet="4" activeTab="4" xr2:uid="{00000000-000D-0000-FFFF-FFFF00000000}"/>
  </bookViews>
  <sheets>
    <sheet name="Exhibit 3 Tables" sheetId="76" r:id="rId1"/>
    <sheet name="Inputs" sheetId="73" r:id="rId2"/>
    <sheet name="Load Forecast Summary" sheetId="11" r:id="rId3"/>
    <sheet name="Power Purchased Model" sheetId="72" r:id="rId4"/>
    <sheet name="Power Purchased Model - WN" sheetId="78" r:id="rId5"/>
    <sheet name="Rate Class Energy Model" sheetId="9" r:id="rId6"/>
    <sheet name="Rate Class Customer Model" sheetId="17" r:id="rId7"/>
    <sheet name="Rate Class Load Model" sheetId="1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CAP1000" localSheetId="0">#REF!</definedName>
    <definedName name="__CAP1000" localSheetId="3">#REF!</definedName>
    <definedName name="__CAP1000" localSheetId="4">#REF!</definedName>
    <definedName name="__CAP1000">#REF!</definedName>
    <definedName name="__OP1000" localSheetId="0">#REF!</definedName>
    <definedName name="__OP1000" localSheetId="3">#REF!</definedName>
    <definedName name="__OP1000" localSheetId="4">#REF!</definedName>
    <definedName name="__OP1000">#REF!</definedName>
    <definedName name="_110" localSheetId="0">#REF!</definedName>
    <definedName name="_110" localSheetId="3">#REF!</definedName>
    <definedName name="_110" localSheetId="4">#REF!</definedName>
    <definedName name="_110">#REF!</definedName>
    <definedName name="_110INPT" localSheetId="3">#REF!</definedName>
    <definedName name="_110INPT" localSheetId="4">#REF!</definedName>
    <definedName name="_110INPT">#REF!</definedName>
    <definedName name="_115" localSheetId="3">#REF!</definedName>
    <definedName name="_115" localSheetId="4">#REF!</definedName>
    <definedName name="_115">#REF!</definedName>
    <definedName name="_115INPT" localSheetId="3">#REF!</definedName>
    <definedName name="_115INPT" localSheetId="4">#REF!</definedName>
    <definedName name="_115INPT">#REF!</definedName>
    <definedName name="_120" localSheetId="3">#REF!</definedName>
    <definedName name="_120" localSheetId="4">#REF!</definedName>
    <definedName name="_120">#REF!</definedName>
    <definedName name="_140" localSheetId="3">#REF!</definedName>
    <definedName name="_140" localSheetId="4">#REF!</definedName>
    <definedName name="_140">#REF!</definedName>
    <definedName name="_140INPT" localSheetId="3">#REF!</definedName>
    <definedName name="_140INPT" localSheetId="4">#REF!</definedName>
    <definedName name="_140INPT">#REF!</definedName>
    <definedName name="_CAP1000" localSheetId="3">#REF!</definedName>
    <definedName name="_CAP1000" localSheetId="4">#REF!</definedName>
    <definedName name="_CAP1000">#REF!</definedName>
    <definedName name="_Fill" hidden="1">'[1]Old MEA Statistics'!$B$250</definedName>
    <definedName name="_OP1000" localSheetId="0">#REF!</definedName>
    <definedName name="_OP1000" localSheetId="3">#REF!</definedName>
    <definedName name="_OP1000" localSheetId="4">#REF!</definedName>
    <definedName name="_OP1000">#REF!</definedName>
    <definedName name="_Order1" hidden="1">255</definedName>
    <definedName name="_Order2" hidden="1">0</definedName>
    <definedName name="_Sort" localSheetId="0" hidden="1">[2]Sheet1!$G$40:$K$40</definedName>
    <definedName name="_Sort" hidden="1">[3]Sheet1!$G$40:$K$40</definedName>
    <definedName name="ALL" localSheetId="0">#REF!</definedName>
    <definedName name="ALL" localSheetId="3">#REF!</definedName>
    <definedName name="ALL" localSheetId="4">#REF!</definedName>
    <definedName name="ALL">#REF!</definedName>
    <definedName name="ApprovedYr" localSheetId="0">'[4]Z1.ModelVariables'!$C$12</definedName>
    <definedName name="ApprovedYr">'[5]Z1.ModelVariables'!$C$12</definedName>
    <definedName name="CAfile" localSheetId="0">[6]Refs!$B$2</definedName>
    <definedName name="CAfile">[7]Refs!$B$2</definedName>
    <definedName name="CAPCOSTS" localSheetId="0">#REF!</definedName>
    <definedName name="CAPCOSTS" localSheetId="3">#REF!</definedName>
    <definedName name="CAPCOSTS" localSheetId="4">#REF!</definedName>
    <definedName name="CAPCOSTS">#REF!</definedName>
    <definedName name="CAPITAL" localSheetId="0">#REF!</definedName>
    <definedName name="CAPITAL" localSheetId="3">#REF!</definedName>
    <definedName name="CAPITAL" localSheetId="4">#REF!</definedName>
    <definedName name="CAPITAL">#REF!</definedName>
    <definedName name="CapitalExpListing" localSheetId="0">#REF!</definedName>
    <definedName name="CapitalExpListing" localSheetId="3">#REF!</definedName>
    <definedName name="CapitalExpListing" localSheetId="4">#REF!</definedName>
    <definedName name="CapitalExpListing">#REF!</definedName>
    <definedName name="CArevReq" localSheetId="0">[6]Refs!$B$6</definedName>
    <definedName name="CArevReq">[7]Refs!$B$6</definedName>
    <definedName name="CASENUMBER">'[8]1. LDC Info'!$E$14</definedName>
    <definedName name="CASHFLOW" localSheetId="0">#REF!</definedName>
    <definedName name="CASHFLOW" localSheetId="3">#REF!</definedName>
    <definedName name="CASHFLOW" localSheetId="4">#REF!</definedName>
    <definedName name="CASHFLOW">#REF!</definedName>
    <definedName name="cc" localSheetId="0">#REF!</definedName>
    <definedName name="cc" localSheetId="3">#REF!</definedName>
    <definedName name="cc" localSheetId="4">#REF!</definedName>
    <definedName name="cc">#REF!</definedName>
    <definedName name="ClassRange1" localSheetId="0">[6]Refs!$B$3</definedName>
    <definedName name="ClassRange1">[7]Refs!$B$3</definedName>
    <definedName name="ClassRange2" localSheetId="0">[6]Refs!$B$4</definedName>
    <definedName name="ClassRange2">[7]Refs!$B$4</definedName>
    <definedName name="contactf" localSheetId="0">#REF!</definedName>
    <definedName name="contactf" localSheetId="3">#REF!</definedName>
    <definedName name="contactf" localSheetId="4">#REF!</definedName>
    <definedName name="contactf">#REF!</definedName>
    <definedName name="_xlnm.Criteria" localSheetId="0">#REF!</definedName>
    <definedName name="_xlnm.Criteria" localSheetId="3">#REF!</definedName>
    <definedName name="_xlnm.Criteria" localSheetId="4">#REF!</definedName>
    <definedName name="_xlnm.Criteria">#REF!</definedName>
    <definedName name="CRLF" localSheetId="0">'[4]Z1.ModelVariables'!$C$10</definedName>
    <definedName name="CRLF">'[5]Z1.ModelVariables'!$C$10</definedName>
    <definedName name="_xlnm.Database" localSheetId="0">#REF!</definedName>
    <definedName name="_xlnm.Database" localSheetId="3">#REF!</definedName>
    <definedName name="_xlnm.Database" localSheetId="4">#REF!</definedName>
    <definedName name="_xlnm.Database">#REF!</definedName>
    <definedName name="DaysInPreviousYear" localSheetId="0">'[9]Distribution Revenue by Source'!$B$22</definedName>
    <definedName name="DaysInPreviousYear">'[10]Distribution Revenue by Source'!$B$22</definedName>
    <definedName name="DaysInYear" localSheetId="0">'[9]Distribution Revenue by Source'!$B$21</definedName>
    <definedName name="DaysInYear">'[10]Distribution Revenue by Source'!$B$21</definedName>
    <definedName name="DEBTREPAY" localSheetId="0">#REF!</definedName>
    <definedName name="DEBTREPAY" localSheetId="3">#REF!</definedName>
    <definedName name="DEBTREPAY" localSheetId="4">#REF!</definedName>
    <definedName name="DEBTREPAY">#REF!</definedName>
    <definedName name="DeptDiv" localSheetId="0">#REF!</definedName>
    <definedName name="DeptDiv" localSheetId="3">#REF!</definedName>
    <definedName name="DeptDiv" localSheetId="4">#REF!</definedName>
    <definedName name="DeptDiv">#REF!</definedName>
    <definedName name="EBNUMBER">'[11]LDC Info'!$E$16</definedName>
    <definedName name="ExpenseAccountListing" localSheetId="0">#REF!</definedName>
    <definedName name="ExpenseAccountListing" localSheetId="3">#REF!</definedName>
    <definedName name="ExpenseAccountListing" localSheetId="4">#REF!</definedName>
    <definedName name="ExpenseAccountListing">#REF!</definedName>
    <definedName name="_xlnm.Extract" localSheetId="3">#REF!</definedName>
    <definedName name="_xlnm.Extract" localSheetId="4">#REF!</definedName>
    <definedName name="_xlnm.Extract">#REF!</definedName>
    <definedName name="FakeBlank" localSheetId="0">'[4]Z1.ModelVariables'!$C$14</definedName>
    <definedName name="FakeBlank">'[5]Z1.ModelVariables'!$C$14</definedName>
    <definedName name="FolderPath" localSheetId="0">[6]Menu!$C$8</definedName>
    <definedName name="FolderPath">[7]Menu!$C$8</definedName>
    <definedName name="histdate">[12]Financials!$E$76</definedName>
    <definedName name="Incr2000" localSheetId="0">#REF!</definedName>
    <definedName name="Incr2000" localSheetId="3">#REF!</definedName>
    <definedName name="Incr2000" localSheetId="4">#REF!</definedName>
    <definedName name="Incr2000">#REF!</definedName>
    <definedName name="INTERIM" localSheetId="0">#REF!</definedName>
    <definedName name="INTERIM" localSheetId="3">#REF!</definedName>
    <definedName name="INTERIM" localSheetId="4">#REF!</definedName>
    <definedName name="INTERIM">#REF!</definedName>
    <definedName name="LIMIT" localSheetId="0">#REF!</definedName>
    <definedName name="LIMIT" localSheetId="3">#REF!</definedName>
    <definedName name="LIMIT" localSheetId="4">#REF!</definedName>
    <definedName name="LIMIT">#REF!</definedName>
    <definedName name="man_beg_bud" localSheetId="3">#REF!</definedName>
    <definedName name="man_beg_bud" localSheetId="4">#REF!</definedName>
    <definedName name="man_beg_bud">#REF!</definedName>
    <definedName name="man_end_bud" localSheetId="3">#REF!</definedName>
    <definedName name="man_end_bud" localSheetId="4">#REF!</definedName>
    <definedName name="man_end_bud">#REF!</definedName>
    <definedName name="man12ACT" localSheetId="3">#REF!</definedName>
    <definedName name="man12ACT" localSheetId="4">#REF!</definedName>
    <definedName name="man12ACT">#REF!</definedName>
    <definedName name="MANBUD" localSheetId="3">#REF!</definedName>
    <definedName name="MANBUD" localSheetId="4">#REF!</definedName>
    <definedName name="MANBUD">#REF!</definedName>
    <definedName name="manCYACT" localSheetId="3">#REF!</definedName>
    <definedName name="manCYACT" localSheetId="4">#REF!</definedName>
    <definedName name="manCYACT">#REF!</definedName>
    <definedName name="manCYBUD" localSheetId="3">#REF!</definedName>
    <definedName name="manCYBUD" localSheetId="4">#REF!</definedName>
    <definedName name="manCYBUD">#REF!</definedName>
    <definedName name="manCYF" localSheetId="3">#REF!</definedName>
    <definedName name="manCYF" localSheetId="4">#REF!</definedName>
    <definedName name="manCYF">#REF!</definedName>
    <definedName name="MANEND" localSheetId="3">#REF!</definedName>
    <definedName name="MANEND" localSheetId="4">#REF!</definedName>
    <definedName name="MANEND">#REF!</definedName>
    <definedName name="manNYbud" localSheetId="3">#REF!</definedName>
    <definedName name="manNYbud" localSheetId="4">#REF!</definedName>
    <definedName name="manNYbud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3">#REF!</definedName>
    <definedName name="manPYACT" localSheetId="4">#REF!</definedName>
    <definedName name="manPYACT">#REF!</definedName>
    <definedName name="MANSTART" localSheetId="3">#REF!</definedName>
    <definedName name="MANSTART" localSheetId="4">#REF!</definedName>
    <definedName name="MANSTART">#REF!</definedName>
    <definedName name="mat_beg_bud" localSheetId="3">#REF!</definedName>
    <definedName name="mat_beg_bud" localSheetId="4">#REF!</definedName>
    <definedName name="mat_beg_bud">#REF!</definedName>
    <definedName name="mat_end_bud" localSheetId="3">#REF!</definedName>
    <definedName name="mat_end_bud" localSheetId="4">#REF!</definedName>
    <definedName name="mat_end_bud">#REF!</definedName>
    <definedName name="mat12ACT" localSheetId="3">#REF!</definedName>
    <definedName name="mat12ACT" localSheetId="4">#REF!</definedName>
    <definedName name="mat12ACT">#REF!</definedName>
    <definedName name="MATBUD" localSheetId="3">#REF!</definedName>
    <definedName name="MATBUD" localSheetId="4">#REF!</definedName>
    <definedName name="MATBUD">#REF!</definedName>
    <definedName name="matCYACT" localSheetId="3">#REF!</definedName>
    <definedName name="matCYACT" localSheetId="4">#REF!</definedName>
    <definedName name="matCYACT">#REF!</definedName>
    <definedName name="matCYBUD" localSheetId="3">#REF!</definedName>
    <definedName name="matCYBUD" localSheetId="4">#REF!</definedName>
    <definedName name="matCYBUD">#REF!</definedName>
    <definedName name="matCYF" localSheetId="3">#REF!</definedName>
    <definedName name="matCYF" localSheetId="4">#REF!</definedName>
    <definedName name="matCYF">#REF!</definedName>
    <definedName name="MATEND" localSheetId="3">#REF!</definedName>
    <definedName name="MATEND" localSheetId="4">#REF!</definedName>
    <definedName name="MATEND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3">#REF!</definedName>
    <definedName name="matNYbud" localSheetId="4">#REF!</definedName>
    <definedName name="matNYbud">#REF!</definedName>
    <definedName name="matPYACT" localSheetId="3">#REF!</definedName>
    <definedName name="matPYACT" localSheetId="4">#REF!</definedName>
    <definedName name="matPYACT">#REF!</definedName>
    <definedName name="MATSTART" localSheetId="3">#REF!</definedName>
    <definedName name="MATSTART" localSheetId="4">#REF!</definedName>
    <definedName name="MATSTART">#REF!</definedName>
    <definedName name="mea" localSheetId="3">#REF!</definedName>
    <definedName name="mea" localSheetId="4">#REF!</definedName>
    <definedName name="mea">#REF!</definedName>
    <definedName name="MEABAL" localSheetId="3">#REF!</definedName>
    <definedName name="MEABAL" localSheetId="4">#REF!</definedName>
    <definedName name="MEABAL">#REF!</definedName>
    <definedName name="MEACASH" localSheetId="3">#REF!</definedName>
    <definedName name="MEACASH" localSheetId="4">#REF!</definedName>
    <definedName name="MEACASH">#REF!</definedName>
    <definedName name="MEAEQITY" localSheetId="3">#REF!</definedName>
    <definedName name="MEAEQITY" localSheetId="4">#REF!</definedName>
    <definedName name="MEAEQITY">#REF!</definedName>
    <definedName name="MEAOP" localSheetId="3">#REF!</definedName>
    <definedName name="MEAOP" localSheetId="4">#REF!</definedName>
    <definedName name="MEAOP">#REF!</definedName>
    <definedName name="MofF" localSheetId="3">#REF!</definedName>
    <definedName name="MofF" localSheetId="4">#REF!</definedName>
    <definedName name="MofF">#REF!</definedName>
    <definedName name="NewRevReq" localSheetId="0">[6]Refs!$B$8</definedName>
    <definedName name="NewRevReq">[7]Refs!$B$8</definedName>
    <definedName name="NOTES" localSheetId="0">#REF!</definedName>
    <definedName name="NOTES" localSheetId="3">#REF!</definedName>
    <definedName name="NOTES" localSheetId="4">#REF!</definedName>
    <definedName name="NOTES">#REF!</definedName>
    <definedName name="OPERATING" localSheetId="0">#REF!</definedName>
    <definedName name="OPERATING" localSheetId="3">#REF!</definedName>
    <definedName name="OPERATING" localSheetId="4">#REF!</definedName>
    <definedName name="OPERATING">#REF!</definedName>
    <definedName name="oth_beg_bud" localSheetId="0">#REF!</definedName>
    <definedName name="oth_beg_bud" localSheetId="3">#REF!</definedName>
    <definedName name="oth_beg_bud" localSheetId="4">#REF!</definedName>
    <definedName name="oth_beg_bud">#REF!</definedName>
    <definedName name="oth_end_bud" localSheetId="3">#REF!</definedName>
    <definedName name="oth_end_bud" localSheetId="4">#REF!</definedName>
    <definedName name="oth_end_bud">#REF!</definedName>
    <definedName name="oth12ACT" localSheetId="3">#REF!</definedName>
    <definedName name="oth12ACT" localSheetId="4">#REF!</definedName>
    <definedName name="oth12ACT">#REF!</definedName>
    <definedName name="othCYACT" localSheetId="3">#REF!</definedName>
    <definedName name="othCYACT" localSheetId="4">#REF!</definedName>
    <definedName name="othCYACT">#REF!</definedName>
    <definedName name="othCYBUD" localSheetId="3">#REF!</definedName>
    <definedName name="othCYBUD" localSheetId="4">#REF!</definedName>
    <definedName name="othCYBUD">#REF!</definedName>
    <definedName name="othCYF" localSheetId="3">#REF!</definedName>
    <definedName name="othCYF" localSheetId="4">#REF!</definedName>
    <definedName name="othCYF">#REF!</definedName>
    <definedName name="OTHEND" localSheetId="3">#REF!</definedName>
    <definedName name="OTHEND" localSheetId="4">#REF!</definedName>
    <definedName name="OTHEND">#REF!</definedName>
    <definedName name="other_costs" localSheetId="3">#REF!</definedName>
    <definedName name="other_costs" localSheetId="4">#REF!</definedName>
    <definedName name="other_costs">#REF!</definedName>
    <definedName name="OTHERBUD" localSheetId="3">#REF!</definedName>
    <definedName name="OTHERBUD" localSheetId="4">#REF!</definedName>
    <definedName name="OTHERBUD">#REF!</definedName>
    <definedName name="othNYbud" localSheetId="3">#REF!</definedName>
    <definedName name="othNYbud" localSheetId="4">#REF!</definedName>
    <definedName name="othNYbud">#REF!</definedName>
    <definedName name="othPYACT" localSheetId="3">#REF!</definedName>
    <definedName name="othPYACT" localSheetId="4">#REF!</definedName>
    <definedName name="othPYACT">#REF!</definedName>
    <definedName name="OTHSTART" localSheetId="3">#REF!</definedName>
    <definedName name="OTHSTART" localSheetId="4">#REF!</definedName>
    <definedName name="OTHSTART">#REF!</definedName>
    <definedName name="PAGE11" localSheetId="0">#REF!</definedName>
    <definedName name="PAGE11" localSheetId="3">#REF!</definedName>
    <definedName name="PAGE11" localSheetId="4">#REF!</definedName>
    <definedName name="PAGE11">#REF!</definedName>
    <definedName name="PAGE2" localSheetId="0">[2]Sheet1!$A$1:$I$40</definedName>
    <definedName name="PAGE2">[3]Sheet1!$A$1:$I$40</definedName>
    <definedName name="PAGE3" localSheetId="0">#REF!</definedName>
    <definedName name="PAGE3" localSheetId="3">#REF!</definedName>
    <definedName name="PAGE3" localSheetId="4">#REF!</definedName>
    <definedName name="PAGE3">#REF!</definedName>
    <definedName name="PAGE4" localSheetId="0">#REF!</definedName>
    <definedName name="PAGE4" localSheetId="3">#REF!</definedName>
    <definedName name="PAGE4" localSheetId="4">#REF!</definedName>
    <definedName name="PAGE4">#REF!</definedName>
    <definedName name="PAGE7" localSheetId="0">#REF!</definedName>
    <definedName name="PAGE7" localSheetId="3">#REF!</definedName>
    <definedName name="PAGE7" localSheetId="4">#REF!</definedName>
    <definedName name="PAGE7">#REF!</definedName>
    <definedName name="PAGE9" localSheetId="0">#REF!</definedName>
    <definedName name="PAGE9" localSheetId="3">#REF!</definedName>
    <definedName name="PAGE9" localSheetId="4">#REF!</definedName>
    <definedName name="PAGE9">#REF!</definedName>
    <definedName name="PageOne" localSheetId="3">#REF!</definedName>
    <definedName name="PageOne" localSheetId="4">#REF!</definedName>
    <definedName name="PageOne">#REF!</definedName>
    <definedName name="PR" localSheetId="3">#REF!</definedName>
    <definedName name="PR" localSheetId="4">#REF!</definedName>
    <definedName name="PR">#REF!</definedName>
    <definedName name="_xlnm.Print_Area" localSheetId="2">'Load Forecast Summary'!$A$3:$M$48</definedName>
    <definedName name="_xlnm.Print_Area" localSheetId="3">'Power Purchased Model'!$A$1:$K$168</definedName>
    <definedName name="_xlnm.Print_Area" localSheetId="4">'Power Purchased Model - WN'!$A$1:$K$168</definedName>
    <definedName name="_xlnm.Print_Area" localSheetId="6">'Rate Class Customer Model'!$A$1:$L$43</definedName>
    <definedName name="_xlnm.Print_Area" localSheetId="5">'Rate Class Energy Model'!#REF!</definedName>
    <definedName name="_xlnm.Print_Area" localSheetId="7">'Rate Class Load Model'!$A$1:$I$30</definedName>
    <definedName name="Print_Area_MI" localSheetId="0">#REF!</definedName>
    <definedName name="Print_Area_MI" localSheetId="3">#REF!</definedName>
    <definedName name="Print_Area_MI" localSheetId="4">#REF!</definedName>
    <definedName name="Print_Area_MI">#REF!</definedName>
    <definedName name="print_end" localSheetId="0">#REF!</definedName>
    <definedName name="print_end" localSheetId="3">#REF!</definedName>
    <definedName name="print_end" localSheetId="4">#REF!</definedName>
    <definedName name="print_end">#REF!</definedName>
    <definedName name="_xlnm.Print_Titles" localSheetId="3">'Power Purchased Model'!$A:$K,'Power Purchased Model'!$1:$2</definedName>
    <definedName name="_xlnm.Print_Titles" localSheetId="4">'Power Purchased Model - WN'!$A:$K,'Power Purchased Model - WN'!$1:$2</definedName>
    <definedName name="PRIOR" localSheetId="0">#REF!</definedName>
    <definedName name="PRIOR" localSheetId="3">#REF!</definedName>
    <definedName name="PRIOR" localSheetId="4">#REF!</definedName>
    <definedName name="PRIOR">#REF!</definedName>
    <definedName name="Ratebase" localSheetId="0">'[9]Distribution Revenue by Source'!$C$25</definedName>
    <definedName name="Ratebase">'[10]Distribution Revenue by Source'!$C$25</definedName>
    <definedName name="RebaseYear">'[13]LDC Info'!$E$28</definedName>
    <definedName name="RevReqLookupKey" localSheetId="0">[6]Refs!$B$5</definedName>
    <definedName name="RevReqLookupKey">[7]Refs!$B$5</definedName>
    <definedName name="RevReqRange" localSheetId="0">[6]Refs!$B$7</definedName>
    <definedName name="RevReqRange">[7]Refs!$B$7</definedName>
    <definedName name="RVCASHPR" localSheetId="0">#REF!</definedName>
    <definedName name="RVCASHPR" localSheetId="3">#REF!</definedName>
    <definedName name="RVCASHPR" localSheetId="4">#REF!</definedName>
    <definedName name="RVCASHPR">#REF!</definedName>
    <definedName name="SALBENF" localSheetId="0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3">#REF!</definedName>
    <definedName name="salreg" localSheetId="4">#REF!</definedName>
    <definedName name="salreg">#REF!</definedName>
    <definedName name="SALREGF" localSheetId="3">#REF!</definedName>
    <definedName name="SALREGF" localSheetId="4">#REF!</definedName>
    <definedName name="SALREGF">#REF!</definedName>
    <definedName name="SOURCEAPP" localSheetId="3">#REF!</definedName>
    <definedName name="SOURCEAPP" localSheetId="4">#REF!</definedName>
    <definedName name="SOURCEAPP">#REF!</definedName>
    <definedName name="STATS1" localSheetId="3">#REF!</definedName>
    <definedName name="STATS1" localSheetId="4">#REF!</definedName>
    <definedName name="STATS1">#REF!</definedName>
    <definedName name="STATS2" localSheetId="3">#REF!</definedName>
    <definedName name="STATS2" localSheetId="4">#REF!</definedName>
    <definedName name="STATS2">#REF!</definedName>
    <definedName name="Surtax" localSheetId="3">#REF!</definedName>
    <definedName name="Surtax" localSheetId="4">#REF!</definedName>
    <definedName name="Surtax">#REF!</definedName>
    <definedName name="TEMPA" localSheetId="3">#REF!</definedName>
    <definedName name="TEMPA" localSheetId="4">#REF!</definedName>
    <definedName name="TEMPA">#REF!</definedName>
    <definedName name="TEST">#REF!</definedName>
    <definedName name="Test_Year">'[14]0.1 LDC Info'!$E$25</definedName>
    <definedName name="TestYr" localSheetId="0">'[4]A1.Admin'!$C$13</definedName>
    <definedName name="TestYr">'[5]A1.Admin'!$C$13</definedName>
    <definedName name="TestYrPL" localSheetId="0">'[15]Revenue Requirement'!$B$10</definedName>
    <definedName name="TestYrPL">'[16]Revenue Requirement'!$B$10</definedName>
    <definedName name="total_dept" localSheetId="0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3">#REF!</definedName>
    <definedName name="total_transportation" localSheetId="4">#REF!</definedName>
    <definedName name="total_transportation">#REF!</definedName>
    <definedName name="TOTCAPADDITIONS" localSheetId="3">#REF!</definedName>
    <definedName name="TOTCAPADDITIONS" localSheetId="4">#REF!</definedName>
    <definedName name="TOTCAPADDITIONS">#REF!</definedName>
    <definedName name="TRANBUD" localSheetId="3">#REF!</definedName>
    <definedName name="TRANBUD" localSheetId="4">#REF!</definedName>
    <definedName name="TRANBUD">#REF!</definedName>
    <definedName name="TRANEND" localSheetId="3">#REF!</definedName>
    <definedName name="TRANEND" localSheetId="4">#REF!</definedName>
    <definedName name="TRANEND">#REF!</definedName>
    <definedName name="TRANSCAP" localSheetId="3">#REF!</definedName>
    <definedName name="TRANSCAP" localSheetId="4">#REF!</definedName>
    <definedName name="TRANSCAP">#REF!</definedName>
    <definedName name="TRANSFER" localSheetId="3">#REF!</definedName>
    <definedName name="TRANSFER" localSheetId="4">#REF!</definedName>
    <definedName name="TRANSFER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3">#REF!</definedName>
    <definedName name="TRANSTART" localSheetId="4">#REF!</definedName>
    <definedName name="TRANSTART">#REF!</definedName>
    <definedName name="trn_beg_bud" localSheetId="3">#REF!</definedName>
    <definedName name="trn_beg_bud" localSheetId="4">#REF!</definedName>
    <definedName name="trn_beg_bud">#REF!</definedName>
    <definedName name="trn_end_bud" localSheetId="3">#REF!</definedName>
    <definedName name="trn_end_bud" localSheetId="4">#REF!</definedName>
    <definedName name="trn_end_bud">#REF!</definedName>
    <definedName name="trn12ACT" localSheetId="3">#REF!</definedName>
    <definedName name="trn12ACT" localSheetId="4">#REF!</definedName>
    <definedName name="trn12ACT">#REF!</definedName>
    <definedName name="trnCYACT" localSheetId="3">#REF!</definedName>
    <definedName name="trnCYACT" localSheetId="4">#REF!</definedName>
    <definedName name="trnCYACT">#REF!</definedName>
    <definedName name="trnCYBUD" localSheetId="3">#REF!</definedName>
    <definedName name="trnCYBUD" localSheetId="4">#REF!</definedName>
    <definedName name="trnCYBUD">#REF!</definedName>
    <definedName name="trnCYF" localSheetId="3">#REF!</definedName>
    <definedName name="trnCYF" localSheetId="4">#REF!</definedName>
    <definedName name="trnCYF">#REF!</definedName>
    <definedName name="trnNYbud" localSheetId="3">#REF!</definedName>
    <definedName name="trnNYbud" localSheetId="4">#REF!</definedName>
    <definedName name="trnNYbud">#REF!</definedName>
    <definedName name="trnPYACT" localSheetId="3">#REF!</definedName>
    <definedName name="trnPYACT" localSheetId="4">#REF!</definedName>
    <definedName name="trnPYACT">#REF!</definedName>
    <definedName name="Utility">[12]Financials!$A$1</definedName>
    <definedName name="utitliy1">[17]Financials!$A$1</definedName>
    <definedName name="Variable1">#REF!</definedName>
    <definedName name="WAGBENF" localSheetId="0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3">#REF!</definedName>
    <definedName name="wagdobf" localSheetId="4">#REF!</definedName>
    <definedName name="wagdobf">#REF!</definedName>
    <definedName name="wagreg" localSheetId="3">#REF!</definedName>
    <definedName name="wagreg" localSheetId="4">#REF!</definedName>
    <definedName name="wagreg">#REF!</definedName>
    <definedName name="wagregf" localSheetId="3">#REF!</definedName>
    <definedName name="wagregf" localSheetId="4">#REF!</definedName>
    <definedName name="wagregf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3" i="78" l="1"/>
  <c r="K154" i="78"/>
  <c r="K155" i="78"/>
  <c r="K156" i="78"/>
  <c r="K157" i="78"/>
  <c r="K158" i="78"/>
  <c r="K159" i="78"/>
  <c r="K160" i="78"/>
  <c r="K161" i="78"/>
  <c r="K162" i="78"/>
  <c r="K163" i="78"/>
  <c r="K152" i="78"/>
  <c r="I146" i="78"/>
  <c r="H146" i="78"/>
  <c r="H145" i="78"/>
  <c r="I145" i="78" s="1"/>
  <c r="H144" i="78"/>
  <c r="I144" i="78" s="1"/>
  <c r="H143" i="78"/>
  <c r="I143" i="78" s="1"/>
  <c r="I142" i="78"/>
  <c r="H142" i="78"/>
  <c r="H141" i="78"/>
  <c r="I141" i="78" s="1"/>
  <c r="H140" i="78"/>
  <c r="H139" i="78"/>
  <c r="H138" i="78"/>
  <c r="H137" i="78"/>
  <c r="H136" i="78"/>
  <c r="H135" i="78"/>
  <c r="I135" i="78"/>
  <c r="H134" i="78"/>
  <c r="H133" i="78"/>
  <c r="H132" i="78"/>
  <c r="H131" i="78"/>
  <c r="H130" i="78"/>
  <c r="H129" i="78"/>
  <c r="I128" i="78"/>
  <c r="J128" i="78" s="1"/>
  <c r="K128" i="78" s="1"/>
  <c r="L128" i="78" s="1"/>
  <c r="H128" i="78"/>
  <c r="B128" i="78"/>
  <c r="H127" i="78"/>
  <c r="I127" i="78" s="1"/>
  <c r="B127" i="78"/>
  <c r="H126" i="78"/>
  <c r="I126" i="78" s="1"/>
  <c r="J126" i="78" s="1"/>
  <c r="K126" i="78" s="1"/>
  <c r="L126" i="78" s="1"/>
  <c r="B126" i="78"/>
  <c r="H125" i="78"/>
  <c r="I125" i="78" s="1"/>
  <c r="J125" i="78" s="1"/>
  <c r="K125" i="78" s="1"/>
  <c r="L125" i="78" s="1"/>
  <c r="B125" i="78"/>
  <c r="I124" i="78"/>
  <c r="J124" i="78" s="1"/>
  <c r="K124" i="78" s="1"/>
  <c r="L124" i="78" s="1"/>
  <c r="H124" i="78"/>
  <c r="B124" i="78"/>
  <c r="H123" i="78"/>
  <c r="I123" i="78" s="1"/>
  <c r="B123" i="78"/>
  <c r="H122" i="78"/>
  <c r="I122" i="78" s="1"/>
  <c r="J122" i="78" s="1"/>
  <c r="K122" i="78" s="1"/>
  <c r="L122" i="78" s="1"/>
  <c r="B122" i="78"/>
  <c r="H121" i="78"/>
  <c r="I121" i="78" s="1"/>
  <c r="J121" i="78" s="1"/>
  <c r="K121" i="78" s="1"/>
  <c r="L121" i="78" s="1"/>
  <c r="B121" i="78"/>
  <c r="I120" i="78"/>
  <c r="J120" i="78" s="1"/>
  <c r="K120" i="78" s="1"/>
  <c r="L120" i="78" s="1"/>
  <c r="H120" i="78"/>
  <c r="B120" i="78"/>
  <c r="H119" i="78"/>
  <c r="I119" i="78" s="1"/>
  <c r="B119" i="78"/>
  <c r="H118" i="78"/>
  <c r="I118" i="78" s="1"/>
  <c r="J118" i="78" s="1"/>
  <c r="K118" i="78" s="1"/>
  <c r="L118" i="78" s="1"/>
  <c r="B118" i="78"/>
  <c r="H117" i="78"/>
  <c r="I117" i="78" s="1"/>
  <c r="J117" i="78" s="1"/>
  <c r="K117" i="78" s="1"/>
  <c r="L117" i="78" s="1"/>
  <c r="B117" i="78"/>
  <c r="I116" i="78"/>
  <c r="J116" i="78" s="1"/>
  <c r="K116" i="78" s="1"/>
  <c r="L116" i="78" s="1"/>
  <c r="H116" i="78"/>
  <c r="B116" i="78"/>
  <c r="H115" i="78"/>
  <c r="I115" i="78" s="1"/>
  <c r="B115" i="78"/>
  <c r="H114" i="78"/>
  <c r="I114" i="78" s="1"/>
  <c r="J114" i="78" s="1"/>
  <c r="K114" i="78" s="1"/>
  <c r="L114" i="78" s="1"/>
  <c r="B114" i="78"/>
  <c r="H113" i="78"/>
  <c r="I113" i="78" s="1"/>
  <c r="J113" i="78" s="1"/>
  <c r="K113" i="78" s="1"/>
  <c r="L113" i="78" s="1"/>
  <c r="B113" i="78"/>
  <c r="I112" i="78"/>
  <c r="J112" i="78" s="1"/>
  <c r="K112" i="78" s="1"/>
  <c r="L112" i="78" s="1"/>
  <c r="H112" i="78"/>
  <c r="B112" i="78"/>
  <c r="H111" i="78"/>
  <c r="I111" i="78" s="1"/>
  <c r="B111" i="78"/>
  <c r="H110" i="78"/>
  <c r="I110" i="78" s="1"/>
  <c r="J110" i="78" s="1"/>
  <c r="K110" i="78" s="1"/>
  <c r="L110" i="78" s="1"/>
  <c r="B110" i="78"/>
  <c r="H109" i="78"/>
  <c r="I109" i="78" s="1"/>
  <c r="J109" i="78" s="1"/>
  <c r="K109" i="78" s="1"/>
  <c r="L109" i="78" s="1"/>
  <c r="B109" i="78"/>
  <c r="I108" i="78"/>
  <c r="J108" i="78" s="1"/>
  <c r="K108" i="78" s="1"/>
  <c r="L108" i="78" s="1"/>
  <c r="H108" i="78"/>
  <c r="B108" i="78"/>
  <c r="H107" i="78"/>
  <c r="I107" i="78" s="1"/>
  <c r="J107" i="78" s="1"/>
  <c r="K107" i="78" s="1"/>
  <c r="L107" i="78" s="1"/>
  <c r="B107" i="78"/>
  <c r="H106" i="78"/>
  <c r="I106" i="78" s="1"/>
  <c r="J106" i="78" s="1"/>
  <c r="K106" i="78" s="1"/>
  <c r="L106" i="78" s="1"/>
  <c r="B106" i="78"/>
  <c r="H105" i="78"/>
  <c r="I105" i="78" s="1"/>
  <c r="J105" i="78" s="1"/>
  <c r="K105" i="78" s="1"/>
  <c r="L105" i="78" s="1"/>
  <c r="B105" i="78"/>
  <c r="I104" i="78"/>
  <c r="J104" i="78" s="1"/>
  <c r="K104" i="78" s="1"/>
  <c r="L104" i="78" s="1"/>
  <c r="H104" i="78"/>
  <c r="B104" i="78"/>
  <c r="H103" i="78"/>
  <c r="I103" i="78" s="1"/>
  <c r="B103" i="78"/>
  <c r="H102" i="78"/>
  <c r="I102" i="78" s="1"/>
  <c r="J102" i="78" s="1"/>
  <c r="K102" i="78" s="1"/>
  <c r="L102" i="78" s="1"/>
  <c r="B102" i="78"/>
  <c r="H101" i="78"/>
  <c r="I101" i="78" s="1"/>
  <c r="J101" i="78" s="1"/>
  <c r="K101" i="78" s="1"/>
  <c r="L101" i="78" s="1"/>
  <c r="B101" i="78"/>
  <c r="I100" i="78"/>
  <c r="J100" i="78" s="1"/>
  <c r="K100" i="78" s="1"/>
  <c r="L100" i="78" s="1"/>
  <c r="H100" i="78"/>
  <c r="B100" i="78"/>
  <c r="H99" i="78"/>
  <c r="I99" i="78" s="1"/>
  <c r="B99" i="78"/>
  <c r="H98" i="78"/>
  <c r="I98" i="78" s="1"/>
  <c r="J98" i="78" s="1"/>
  <c r="K98" i="78" s="1"/>
  <c r="L98" i="78" s="1"/>
  <c r="B98" i="78"/>
  <c r="H97" i="78"/>
  <c r="I97" i="78" s="1"/>
  <c r="J97" i="78" s="1"/>
  <c r="K97" i="78" s="1"/>
  <c r="L97" i="78" s="1"/>
  <c r="B97" i="78"/>
  <c r="I96" i="78"/>
  <c r="J96" i="78" s="1"/>
  <c r="K96" i="78" s="1"/>
  <c r="L96" i="78" s="1"/>
  <c r="H96" i="78"/>
  <c r="B96" i="78"/>
  <c r="H95" i="78"/>
  <c r="I95" i="78" s="1"/>
  <c r="B95" i="78"/>
  <c r="H94" i="78"/>
  <c r="I94" i="78" s="1"/>
  <c r="J94" i="78" s="1"/>
  <c r="K94" i="78" s="1"/>
  <c r="L94" i="78" s="1"/>
  <c r="B94" i="78"/>
  <c r="H93" i="78"/>
  <c r="I93" i="78" s="1"/>
  <c r="J93" i="78" s="1"/>
  <c r="K93" i="78" s="1"/>
  <c r="L93" i="78" s="1"/>
  <c r="B93" i="78"/>
  <c r="I92" i="78"/>
  <c r="J92" i="78" s="1"/>
  <c r="K92" i="78" s="1"/>
  <c r="L92" i="78" s="1"/>
  <c r="H92" i="78"/>
  <c r="B92" i="78"/>
  <c r="H91" i="78"/>
  <c r="I91" i="78" s="1"/>
  <c r="J91" i="78" s="1"/>
  <c r="K91" i="78" s="1"/>
  <c r="L91" i="78" s="1"/>
  <c r="B91" i="78"/>
  <c r="H90" i="78"/>
  <c r="I90" i="78" s="1"/>
  <c r="J90" i="78" s="1"/>
  <c r="K90" i="78" s="1"/>
  <c r="L90" i="78" s="1"/>
  <c r="B90" i="78"/>
  <c r="H89" i="78"/>
  <c r="I89" i="78" s="1"/>
  <c r="J89" i="78" s="1"/>
  <c r="K89" i="78" s="1"/>
  <c r="L89" i="78" s="1"/>
  <c r="B89" i="78"/>
  <c r="I88" i="78"/>
  <c r="J88" i="78" s="1"/>
  <c r="K88" i="78" s="1"/>
  <c r="L88" i="78" s="1"/>
  <c r="H88" i="78"/>
  <c r="B88" i="78"/>
  <c r="H87" i="78"/>
  <c r="I87" i="78" s="1"/>
  <c r="B87" i="78"/>
  <c r="B159" i="78" s="1"/>
  <c r="H86" i="78"/>
  <c r="I86" i="78" s="1"/>
  <c r="J86" i="78" s="1"/>
  <c r="K86" i="78" s="1"/>
  <c r="L86" i="78" s="1"/>
  <c r="B86" i="78"/>
  <c r="H85" i="78"/>
  <c r="I85" i="78" s="1"/>
  <c r="J85" i="78" s="1"/>
  <c r="K85" i="78" s="1"/>
  <c r="L85" i="78" s="1"/>
  <c r="B85" i="78"/>
  <c r="I84" i="78"/>
  <c r="J84" i="78" s="1"/>
  <c r="K84" i="78" s="1"/>
  <c r="L84" i="78" s="1"/>
  <c r="H84" i="78"/>
  <c r="B84" i="78"/>
  <c r="H83" i="78"/>
  <c r="I83" i="78" s="1"/>
  <c r="B83" i="78"/>
  <c r="H82" i="78"/>
  <c r="I82" i="78" s="1"/>
  <c r="J82" i="78" s="1"/>
  <c r="K82" i="78" s="1"/>
  <c r="L82" i="78" s="1"/>
  <c r="B82" i="78"/>
  <c r="H81" i="78"/>
  <c r="I81" i="78" s="1"/>
  <c r="J81" i="78" s="1"/>
  <c r="K81" i="78" s="1"/>
  <c r="L81" i="78" s="1"/>
  <c r="B81" i="78"/>
  <c r="I80" i="78"/>
  <c r="J80" i="78" s="1"/>
  <c r="K80" i="78" s="1"/>
  <c r="L80" i="78" s="1"/>
  <c r="H80" i="78"/>
  <c r="B80" i="78"/>
  <c r="H79" i="78"/>
  <c r="I79" i="78" s="1"/>
  <c r="B79" i="78"/>
  <c r="H78" i="78"/>
  <c r="I78" i="78" s="1"/>
  <c r="J78" i="78" s="1"/>
  <c r="K78" i="78" s="1"/>
  <c r="L78" i="78" s="1"/>
  <c r="B78" i="78"/>
  <c r="H77" i="78"/>
  <c r="I77" i="78" s="1"/>
  <c r="J77" i="78" s="1"/>
  <c r="K77" i="78" s="1"/>
  <c r="L77" i="78" s="1"/>
  <c r="B77" i="78"/>
  <c r="I76" i="78"/>
  <c r="J76" i="78" s="1"/>
  <c r="K76" i="78" s="1"/>
  <c r="L76" i="78" s="1"/>
  <c r="H76" i="78"/>
  <c r="B76" i="78"/>
  <c r="H75" i="78"/>
  <c r="I75" i="78" s="1"/>
  <c r="B75" i="78"/>
  <c r="H74" i="78"/>
  <c r="I74" i="78" s="1"/>
  <c r="J74" i="78" s="1"/>
  <c r="K74" i="78" s="1"/>
  <c r="L74" i="78" s="1"/>
  <c r="B74" i="78"/>
  <c r="H73" i="78"/>
  <c r="I73" i="78" s="1"/>
  <c r="J73" i="78" s="1"/>
  <c r="K73" i="78" s="1"/>
  <c r="L73" i="78" s="1"/>
  <c r="B73" i="78"/>
  <c r="I72" i="78"/>
  <c r="J72" i="78" s="1"/>
  <c r="K72" i="78" s="1"/>
  <c r="L72" i="78" s="1"/>
  <c r="H72" i="78"/>
  <c r="B72" i="78"/>
  <c r="H71" i="78"/>
  <c r="I71" i="78" s="1"/>
  <c r="B71" i="78"/>
  <c r="H70" i="78"/>
  <c r="I70" i="78" s="1"/>
  <c r="J70" i="78" s="1"/>
  <c r="K70" i="78" s="1"/>
  <c r="L70" i="78" s="1"/>
  <c r="B70" i="78"/>
  <c r="H69" i="78"/>
  <c r="I69" i="78" s="1"/>
  <c r="J69" i="78" s="1"/>
  <c r="K69" i="78" s="1"/>
  <c r="L69" i="78" s="1"/>
  <c r="B69" i="78"/>
  <c r="I68" i="78"/>
  <c r="J68" i="78" s="1"/>
  <c r="K68" i="78" s="1"/>
  <c r="L68" i="78" s="1"/>
  <c r="H68" i="78"/>
  <c r="B68" i="78"/>
  <c r="H67" i="78"/>
  <c r="I67" i="78" s="1"/>
  <c r="B67" i="78"/>
  <c r="H66" i="78"/>
  <c r="I66" i="78" s="1"/>
  <c r="J66" i="78" s="1"/>
  <c r="K66" i="78" s="1"/>
  <c r="L66" i="78" s="1"/>
  <c r="B66" i="78"/>
  <c r="H65" i="78"/>
  <c r="I65" i="78" s="1"/>
  <c r="J65" i="78" s="1"/>
  <c r="K65" i="78" s="1"/>
  <c r="L65" i="78" s="1"/>
  <c r="B65" i="78"/>
  <c r="I64" i="78"/>
  <c r="J64" i="78" s="1"/>
  <c r="K64" i="78" s="1"/>
  <c r="L64" i="78" s="1"/>
  <c r="H64" i="78"/>
  <c r="B64" i="78"/>
  <c r="H63" i="78"/>
  <c r="I63" i="78" s="1"/>
  <c r="B63" i="78"/>
  <c r="H62" i="78"/>
  <c r="I62" i="78" s="1"/>
  <c r="J62" i="78" s="1"/>
  <c r="K62" i="78" s="1"/>
  <c r="L62" i="78" s="1"/>
  <c r="B62" i="78"/>
  <c r="H61" i="78"/>
  <c r="I61" i="78" s="1"/>
  <c r="J61" i="78" s="1"/>
  <c r="K61" i="78" s="1"/>
  <c r="L61" i="78" s="1"/>
  <c r="B61" i="78"/>
  <c r="I60" i="78"/>
  <c r="J60" i="78" s="1"/>
  <c r="K60" i="78" s="1"/>
  <c r="L60" i="78" s="1"/>
  <c r="H60" i="78"/>
  <c r="B60" i="78"/>
  <c r="H59" i="78"/>
  <c r="I59" i="78" s="1"/>
  <c r="J59" i="78" s="1"/>
  <c r="K59" i="78" s="1"/>
  <c r="L59" i="78" s="1"/>
  <c r="B59" i="78"/>
  <c r="H58" i="78"/>
  <c r="I58" i="78" s="1"/>
  <c r="J58" i="78" s="1"/>
  <c r="K58" i="78" s="1"/>
  <c r="L58" i="78" s="1"/>
  <c r="B58" i="78"/>
  <c r="H57" i="78"/>
  <c r="I57" i="78" s="1"/>
  <c r="J57" i="78" s="1"/>
  <c r="K57" i="78" s="1"/>
  <c r="L57" i="78" s="1"/>
  <c r="B57" i="78"/>
  <c r="I56" i="78"/>
  <c r="J56" i="78" s="1"/>
  <c r="K56" i="78" s="1"/>
  <c r="L56" i="78" s="1"/>
  <c r="H56" i="78"/>
  <c r="B56" i="78"/>
  <c r="H55" i="78"/>
  <c r="I55" i="78" s="1"/>
  <c r="B55" i="78"/>
  <c r="H54" i="78"/>
  <c r="I54" i="78" s="1"/>
  <c r="J54" i="78" s="1"/>
  <c r="K54" i="78" s="1"/>
  <c r="L54" i="78" s="1"/>
  <c r="B54" i="78"/>
  <c r="H53" i="78"/>
  <c r="I53" i="78" s="1"/>
  <c r="J53" i="78" s="1"/>
  <c r="K53" i="78" s="1"/>
  <c r="L53" i="78" s="1"/>
  <c r="B53" i="78"/>
  <c r="I52" i="78"/>
  <c r="J52" i="78" s="1"/>
  <c r="K52" i="78" s="1"/>
  <c r="L52" i="78" s="1"/>
  <c r="H52" i="78"/>
  <c r="B52" i="78"/>
  <c r="H51" i="78"/>
  <c r="I51" i="78" s="1"/>
  <c r="B51" i="78"/>
  <c r="H50" i="78"/>
  <c r="I50" i="78" s="1"/>
  <c r="J50" i="78" s="1"/>
  <c r="K50" i="78" s="1"/>
  <c r="L50" i="78" s="1"/>
  <c r="B50" i="78"/>
  <c r="H49" i="78"/>
  <c r="I49" i="78" s="1"/>
  <c r="J49" i="78" s="1"/>
  <c r="K49" i="78" s="1"/>
  <c r="L49" i="78" s="1"/>
  <c r="B49" i="78"/>
  <c r="I48" i="78"/>
  <c r="J48" i="78" s="1"/>
  <c r="K48" i="78" s="1"/>
  <c r="L48" i="78" s="1"/>
  <c r="H48" i="78"/>
  <c r="B48" i="78"/>
  <c r="H47" i="78"/>
  <c r="I47" i="78" s="1"/>
  <c r="J47" i="78" s="1"/>
  <c r="K47" i="78" s="1"/>
  <c r="L47" i="78" s="1"/>
  <c r="B47" i="78"/>
  <c r="H46" i="78"/>
  <c r="I46" i="78" s="1"/>
  <c r="J46" i="78" s="1"/>
  <c r="K46" i="78" s="1"/>
  <c r="L46" i="78" s="1"/>
  <c r="B46" i="78"/>
  <c r="H45" i="78"/>
  <c r="I45" i="78" s="1"/>
  <c r="J45" i="78" s="1"/>
  <c r="K45" i="78" s="1"/>
  <c r="L45" i="78" s="1"/>
  <c r="B45" i="78"/>
  <c r="I44" i="78"/>
  <c r="J44" i="78" s="1"/>
  <c r="K44" i="78" s="1"/>
  <c r="L44" i="78" s="1"/>
  <c r="H44" i="78"/>
  <c r="B44" i="78"/>
  <c r="H43" i="78"/>
  <c r="I43" i="78" s="1"/>
  <c r="J43" i="78" s="1"/>
  <c r="K43" i="78" s="1"/>
  <c r="L43" i="78" s="1"/>
  <c r="B43" i="78"/>
  <c r="H42" i="78"/>
  <c r="I42" i="78" s="1"/>
  <c r="J42" i="78" s="1"/>
  <c r="K42" i="78" s="1"/>
  <c r="L42" i="78" s="1"/>
  <c r="B42" i="78"/>
  <c r="H41" i="78"/>
  <c r="I41" i="78" s="1"/>
  <c r="J41" i="78" s="1"/>
  <c r="K41" i="78" s="1"/>
  <c r="L41" i="78" s="1"/>
  <c r="B41" i="78"/>
  <c r="I40" i="78"/>
  <c r="J40" i="78" s="1"/>
  <c r="K40" i="78" s="1"/>
  <c r="L40" i="78" s="1"/>
  <c r="H40" i="78"/>
  <c r="B40" i="78"/>
  <c r="H39" i="78"/>
  <c r="I39" i="78" s="1"/>
  <c r="B39" i="78"/>
  <c r="B155" i="78" s="1"/>
  <c r="H38" i="78"/>
  <c r="I38" i="78" s="1"/>
  <c r="J38" i="78" s="1"/>
  <c r="K38" i="78" s="1"/>
  <c r="L38" i="78" s="1"/>
  <c r="B38" i="78"/>
  <c r="H37" i="78"/>
  <c r="I37" i="78" s="1"/>
  <c r="J37" i="78" s="1"/>
  <c r="K37" i="78" s="1"/>
  <c r="L37" i="78" s="1"/>
  <c r="B37" i="78"/>
  <c r="I36" i="78"/>
  <c r="J36" i="78" s="1"/>
  <c r="K36" i="78" s="1"/>
  <c r="L36" i="78" s="1"/>
  <c r="H36" i="78"/>
  <c r="B36" i="78"/>
  <c r="H35" i="78"/>
  <c r="I35" i="78" s="1"/>
  <c r="B35" i="78"/>
  <c r="H34" i="78"/>
  <c r="I34" i="78" s="1"/>
  <c r="J34" i="78" s="1"/>
  <c r="K34" i="78" s="1"/>
  <c r="L34" i="78" s="1"/>
  <c r="B34" i="78"/>
  <c r="H33" i="78"/>
  <c r="I33" i="78" s="1"/>
  <c r="J33" i="78" s="1"/>
  <c r="K33" i="78" s="1"/>
  <c r="L33" i="78" s="1"/>
  <c r="B33" i="78"/>
  <c r="I32" i="78"/>
  <c r="J32" i="78" s="1"/>
  <c r="K32" i="78" s="1"/>
  <c r="L32" i="78" s="1"/>
  <c r="H32" i="78"/>
  <c r="B32" i="78"/>
  <c r="H31" i="78"/>
  <c r="I31" i="78" s="1"/>
  <c r="J31" i="78" s="1"/>
  <c r="K31" i="78" s="1"/>
  <c r="L31" i="78" s="1"/>
  <c r="B31" i="78"/>
  <c r="H30" i="78"/>
  <c r="I30" i="78" s="1"/>
  <c r="J30" i="78" s="1"/>
  <c r="K30" i="78" s="1"/>
  <c r="L30" i="78" s="1"/>
  <c r="B30" i="78"/>
  <c r="H29" i="78"/>
  <c r="B29" i="78"/>
  <c r="I28" i="78"/>
  <c r="J28" i="78" s="1"/>
  <c r="K28" i="78" s="1"/>
  <c r="L28" i="78" s="1"/>
  <c r="H28" i="78"/>
  <c r="B28" i="78"/>
  <c r="H27" i="78"/>
  <c r="I27" i="78" s="1"/>
  <c r="B27" i="78"/>
  <c r="B154" i="78" s="1"/>
  <c r="H26" i="78"/>
  <c r="I26" i="78" s="1"/>
  <c r="J26" i="78" s="1"/>
  <c r="K26" i="78" s="1"/>
  <c r="L26" i="78" s="1"/>
  <c r="B26" i="78"/>
  <c r="H25" i="78"/>
  <c r="I25" i="78" s="1"/>
  <c r="J25" i="78" s="1"/>
  <c r="K25" i="78" s="1"/>
  <c r="L25" i="78" s="1"/>
  <c r="B25" i="78"/>
  <c r="I24" i="78"/>
  <c r="J24" i="78" s="1"/>
  <c r="K24" i="78" s="1"/>
  <c r="L24" i="78" s="1"/>
  <c r="H24" i="78"/>
  <c r="B24" i="78"/>
  <c r="H23" i="78"/>
  <c r="I23" i="78" s="1"/>
  <c r="J23" i="78" s="1"/>
  <c r="K23" i="78" s="1"/>
  <c r="L23" i="78" s="1"/>
  <c r="B23" i="78"/>
  <c r="H22" i="78"/>
  <c r="I22" i="78" s="1"/>
  <c r="J22" i="78" s="1"/>
  <c r="K22" i="78" s="1"/>
  <c r="L22" i="78" s="1"/>
  <c r="B22" i="78"/>
  <c r="H21" i="78"/>
  <c r="I21" i="78" s="1"/>
  <c r="J21" i="78" s="1"/>
  <c r="K21" i="78" s="1"/>
  <c r="L21" i="78" s="1"/>
  <c r="B21" i="78"/>
  <c r="H20" i="78"/>
  <c r="B20" i="78"/>
  <c r="H19" i="78"/>
  <c r="I19" i="78" s="1"/>
  <c r="B19" i="78"/>
  <c r="H18" i="78"/>
  <c r="I18" i="78" s="1"/>
  <c r="J18" i="78" s="1"/>
  <c r="K18" i="78" s="1"/>
  <c r="L18" i="78" s="1"/>
  <c r="B18" i="78"/>
  <c r="H17" i="78"/>
  <c r="B17" i="78"/>
  <c r="H16" i="78"/>
  <c r="B16" i="78"/>
  <c r="H15" i="78"/>
  <c r="I15" i="78" s="1"/>
  <c r="B15" i="78"/>
  <c r="H14" i="78"/>
  <c r="I14" i="78" s="1"/>
  <c r="J14" i="78" s="1"/>
  <c r="K14" i="78" s="1"/>
  <c r="L14" i="78" s="1"/>
  <c r="B14" i="78"/>
  <c r="H13" i="78"/>
  <c r="I13" i="78" s="1"/>
  <c r="J13" i="78" s="1"/>
  <c r="K13" i="78" s="1"/>
  <c r="L13" i="78" s="1"/>
  <c r="B13" i="78"/>
  <c r="I12" i="78"/>
  <c r="J12" i="78" s="1"/>
  <c r="K12" i="78" s="1"/>
  <c r="L12" i="78" s="1"/>
  <c r="H12" i="78"/>
  <c r="B12" i="78"/>
  <c r="H11" i="78"/>
  <c r="I11" i="78" s="1"/>
  <c r="B11" i="78"/>
  <c r="H10" i="78"/>
  <c r="I10" i="78" s="1"/>
  <c r="J10" i="78" s="1"/>
  <c r="K10" i="78" s="1"/>
  <c r="L10" i="78" s="1"/>
  <c r="B10" i="78"/>
  <c r="H9" i="78"/>
  <c r="I9" i="78" s="1"/>
  <c r="J9" i="78" s="1"/>
  <c r="K9" i="78" s="1"/>
  <c r="L9" i="78" s="1"/>
  <c r="B9" i="78"/>
  <c r="I8" i="78"/>
  <c r="J8" i="78" s="1"/>
  <c r="K8" i="78" s="1"/>
  <c r="L8" i="78" s="1"/>
  <c r="H8" i="78"/>
  <c r="B8" i="78"/>
  <c r="H7" i="78"/>
  <c r="I7" i="78" s="1"/>
  <c r="J7" i="78" s="1"/>
  <c r="K7" i="78" s="1"/>
  <c r="L7" i="78" s="1"/>
  <c r="B7" i="78"/>
  <c r="H6" i="78"/>
  <c r="I6" i="78" s="1"/>
  <c r="J6" i="78" s="1"/>
  <c r="K6" i="78" s="1"/>
  <c r="L6" i="78" s="1"/>
  <c r="B6" i="78"/>
  <c r="H5" i="78"/>
  <c r="B5" i="78"/>
  <c r="I4" i="78"/>
  <c r="J4" i="78" s="1"/>
  <c r="K4" i="78" s="1"/>
  <c r="L4" i="78" s="1"/>
  <c r="H4" i="78"/>
  <c r="B4" i="78"/>
  <c r="H3" i="78"/>
  <c r="I3" i="78" s="1"/>
  <c r="B3" i="78"/>
  <c r="I140" i="78" l="1"/>
  <c r="I137" i="78"/>
  <c r="I29" i="78"/>
  <c r="J29" i="78" s="1"/>
  <c r="K29" i="78" s="1"/>
  <c r="L29" i="78" s="1"/>
  <c r="I139" i="78"/>
  <c r="I136" i="78"/>
  <c r="I20" i="78"/>
  <c r="J20" i="78" s="1"/>
  <c r="K20" i="78" s="1"/>
  <c r="L20" i="78" s="1"/>
  <c r="I138" i="78"/>
  <c r="I16" i="78"/>
  <c r="J16" i="78" s="1"/>
  <c r="K16" i="78" s="1"/>
  <c r="L16" i="78" s="1"/>
  <c r="I17" i="78"/>
  <c r="J17" i="78" s="1"/>
  <c r="K17" i="78" s="1"/>
  <c r="L17" i="78" s="1"/>
  <c r="I132" i="78"/>
  <c r="I133" i="78"/>
  <c r="I131" i="78"/>
  <c r="I129" i="78"/>
  <c r="I5" i="78"/>
  <c r="J5" i="78" s="1"/>
  <c r="K5" i="78" s="1"/>
  <c r="L5" i="78" s="1"/>
  <c r="I134" i="78"/>
  <c r="I130" i="78"/>
  <c r="J19" i="78"/>
  <c r="K19" i="78" s="1"/>
  <c r="L19" i="78" s="1"/>
  <c r="B153" i="78"/>
  <c r="B156" i="78"/>
  <c r="B160" i="78"/>
  <c r="B152" i="78"/>
  <c r="J3" i="78"/>
  <c r="K3" i="78" s="1"/>
  <c r="L3" i="78" s="1"/>
  <c r="J15" i="78"/>
  <c r="K15" i="78" s="1"/>
  <c r="L15" i="78" s="1"/>
  <c r="I156" i="78"/>
  <c r="J51" i="78"/>
  <c r="K51" i="78" s="1"/>
  <c r="L51" i="78" s="1"/>
  <c r="J67" i="78"/>
  <c r="K67" i="78" s="1"/>
  <c r="L67" i="78" s="1"/>
  <c r="J83" i="78"/>
  <c r="K83" i="78" s="1"/>
  <c r="L83" i="78" s="1"/>
  <c r="I160" i="78"/>
  <c r="J99" i="78"/>
  <c r="K99" i="78" s="1"/>
  <c r="L99" i="78" s="1"/>
  <c r="J115" i="78"/>
  <c r="K115" i="78" s="1"/>
  <c r="L115" i="78" s="1"/>
  <c r="J11" i="78"/>
  <c r="K11" i="78" s="1"/>
  <c r="L11" i="78" s="1"/>
  <c r="J27" i="78"/>
  <c r="K27" i="78" s="1"/>
  <c r="L27" i="78" s="1"/>
  <c r="J55" i="78"/>
  <c r="K55" i="78" s="1"/>
  <c r="L55" i="78" s="1"/>
  <c r="J71" i="78"/>
  <c r="K71" i="78" s="1"/>
  <c r="L71" i="78" s="1"/>
  <c r="J87" i="78"/>
  <c r="K87" i="78" s="1"/>
  <c r="L87" i="78" s="1"/>
  <c r="I159" i="78"/>
  <c r="J103" i="78"/>
  <c r="K103" i="78" s="1"/>
  <c r="L103" i="78" s="1"/>
  <c r="J119" i="78"/>
  <c r="K119" i="78" s="1"/>
  <c r="L119" i="78" s="1"/>
  <c r="J39" i="78"/>
  <c r="K39" i="78" s="1"/>
  <c r="L39" i="78" s="1"/>
  <c r="I155" i="78"/>
  <c r="B158" i="78"/>
  <c r="J75" i="78"/>
  <c r="K75" i="78" s="1"/>
  <c r="L75" i="78" s="1"/>
  <c r="I158" i="78"/>
  <c r="J123" i="78"/>
  <c r="K123" i="78" s="1"/>
  <c r="L123" i="78" s="1"/>
  <c r="B157" i="78"/>
  <c r="B161" i="78"/>
  <c r="J35" i="78"/>
  <c r="K35" i="78" s="1"/>
  <c r="L35" i="78" s="1"/>
  <c r="I157" i="78"/>
  <c r="J63" i="78"/>
  <c r="K63" i="78" s="1"/>
  <c r="L63" i="78" s="1"/>
  <c r="J79" i="78"/>
  <c r="K79" i="78" s="1"/>
  <c r="L79" i="78" s="1"/>
  <c r="J95" i="78"/>
  <c r="K95" i="78" s="1"/>
  <c r="L95" i="78" s="1"/>
  <c r="I161" i="78"/>
  <c r="J111" i="78"/>
  <c r="K111" i="78" s="1"/>
  <c r="L111" i="78" s="1"/>
  <c r="J127" i="78"/>
  <c r="K127" i="78" s="1"/>
  <c r="L127" i="78" s="1"/>
  <c r="K233" i="76"/>
  <c r="K234" i="76"/>
  <c r="K235" i="76"/>
  <c r="K236" i="76"/>
  <c r="K237" i="76"/>
  <c r="K238" i="76"/>
  <c r="K239" i="76"/>
  <c r="K240" i="76"/>
  <c r="K241" i="76"/>
  <c r="K242" i="76"/>
  <c r="K243" i="76"/>
  <c r="K244" i="76"/>
  <c r="K245" i="76"/>
  <c r="K246" i="76"/>
  <c r="K247" i="76"/>
  <c r="K248" i="76"/>
  <c r="K249" i="76"/>
  <c r="K250" i="76"/>
  <c r="K251" i="76"/>
  <c r="K252" i="76"/>
  <c r="K253" i="76"/>
  <c r="K254" i="76"/>
  <c r="K255" i="76"/>
  <c r="K256" i="76"/>
  <c r="K257" i="76"/>
  <c r="K258" i="76"/>
  <c r="K259" i="76"/>
  <c r="K260" i="76"/>
  <c r="K261" i="76"/>
  <c r="K262" i="76"/>
  <c r="K263" i="76"/>
  <c r="K264" i="76"/>
  <c r="K265" i="76"/>
  <c r="K266" i="76"/>
  <c r="K267" i="76"/>
  <c r="K268" i="76"/>
  <c r="K269" i="76"/>
  <c r="K270" i="76"/>
  <c r="K232" i="76"/>
  <c r="I4" i="72"/>
  <c r="I5" i="72"/>
  <c r="I6" i="72"/>
  <c r="I7" i="72"/>
  <c r="I8" i="72"/>
  <c r="I9" i="72"/>
  <c r="I10" i="72"/>
  <c r="I11" i="72"/>
  <c r="I12" i="72"/>
  <c r="I13" i="72"/>
  <c r="I14" i="72"/>
  <c r="I15" i="72"/>
  <c r="I16" i="72"/>
  <c r="I17" i="72"/>
  <c r="I18" i="72"/>
  <c r="I19" i="72"/>
  <c r="I20" i="72"/>
  <c r="I21" i="72"/>
  <c r="I22" i="72"/>
  <c r="I23" i="72"/>
  <c r="I24" i="72"/>
  <c r="I25" i="72"/>
  <c r="I26" i="72"/>
  <c r="I27" i="72"/>
  <c r="I28" i="72"/>
  <c r="I29" i="72"/>
  <c r="I30" i="72"/>
  <c r="I31" i="72"/>
  <c r="I32" i="72"/>
  <c r="I33" i="72"/>
  <c r="I34" i="72"/>
  <c r="I35" i="72"/>
  <c r="I36" i="72"/>
  <c r="I37" i="72"/>
  <c r="I38" i="72"/>
  <c r="I39" i="72"/>
  <c r="I40" i="72"/>
  <c r="I41" i="72"/>
  <c r="I42" i="72"/>
  <c r="I43" i="72"/>
  <c r="I44" i="72"/>
  <c r="I45" i="72"/>
  <c r="I46" i="72"/>
  <c r="I47" i="72"/>
  <c r="I48" i="72"/>
  <c r="I49" i="72"/>
  <c r="I50" i="72"/>
  <c r="I51" i="72"/>
  <c r="I52" i="72"/>
  <c r="I53" i="72"/>
  <c r="I54" i="72"/>
  <c r="I55" i="72"/>
  <c r="I56" i="72"/>
  <c r="I57" i="72"/>
  <c r="I58" i="72"/>
  <c r="I59" i="72"/>
  <c r="I60" i="72"/>
  <c r="I61" i="72"/>
  <c r="I62" i="72"/>
  <c r="I63" i="72"/>
  <c r="I64" i="72"/>
  <c r="I65" i="72"/>
  <c r="I66" i="72"/>
  <c r="I67" i="72"/>
  <c r="I68" i="72"/>
  <c r="I69" i="72"/>
  <c r="I70" i="72"/>
  <c r="I71" i="72"/>
  <c r="I72" i="72"/>
  <c r="I73" i="72"/>
  <c r="I74" i="72"/>
  <c r="I75" i="72"/>
  <c r="I76" i="72"/>
  <c r="I77" i="72"/>
  <c r="I78" i="72"/>
  <c r="I79" i="72"/>
  <c r="I80" i="72"/>
  <c r="I81" i="72"/>
  <c r="I82" i="72"/>
  <c r="I83" i="72"/>
  <c r="I84" i="72"/>
  <c r="I85" i="72"/>
  <c r="I86" i="72"/>
  <c r="I87" i="72"/>
  <c r="I88" i="72"/>
  <c r="I89" i="72"/>
  <c r="I90" i="72"/>
  <c r="I91" i="72"/>
  <c r="I92" i="72"/>
  <c r="I93" i="72"/>
  <c r="I94" i="72"/>
  <c r="I95" i="72"/>
  <c r="I96" i="72"/>
  <c r="I97" i="72"/>
  <c r="I98" i="72"/>
  <c r="I99" i="72"/>
  <c r="I100" i="72"/>
  <c r="I101" i="72"/>
  <c r="I102" i="72"/>
  <c r="I103" i="72"/>
  <c r="I104" i="72"/>
  <c r="I105" i="72"/>
  <c r="I106" i="72"/>
  <c r="I107" i="72"/>
  <c r="I108" i="72"/>
  <c r="I109" i="72"/>
  <c r="I110" i="72"/>
  <c r="I111" i="72"/>
  <c r="I112" i="72"/>
  <c r="I113" i="72"/>
  <c r="I114" i="72"/>
  <c r="I115" i="72"/>
  <c r="I116" i="72"/>
  <c r="I117" i="72"/>
  <c r="I118" i="72"/>
  <c r="I119" i="72"/>
  <c r="I120" i="72"/>
  <c r="I121" i="72"/>
  <c r="I122" i="72"/>
  <c r="I123" i="72"/>
  <c r="I124" i="72"/>
  <c r="I125" i="72"/>
  <c r="I126" i="72"/>
  <c r="I127" i="72"/>
  <c r="I128" i="72"/>
  <c r="I129" i="72"/>
  <c r="I130" i="72"/>
  <c r="I131" i="72"/>
  <c r="I132" i="72"/>
  <c r="I133" i="72"/>
  <c r="I134" i="72"/>
  <c r="I135" i="72"/>
  <c r="I136" i="72"/>
  <c r="I137" i="72"/>
  <c r="I138" i="72"/>
  <c r="I139" i="72"/>
  <c r="I140" i="72"/>
  <c r="I141" i="72"/>
  <c r="I142" i="72"/>
  <c r="I143" i="72"/>
  <c r="I144" i="72"/>
  <c r="I145" i="72"/>
  <c r="I146" i="72"/>
  <c r="I3" i="72"/>
  <c r="I154" i="78" l="1"/>
  <c r="I163" i="78"/>
  <c r="I152" i="78"/>
  <c r="I153" i="78"/>
  <c r="L129" i="78"/>
  <c r="I150" i="78"/>
  <c r="B162" i="78"/>
  <c r="B165" i="78" s="1"/>
  <c r="I162" i="78"/>
  <c r="I167" i="78" l="1"/>
  <c r="J167" i="78" s="1"/>
  <c r="I165" i="78"/>
  <c r="J165" i="78" s="1"/>
  <c r="H144" i="73" l="1"/>
  <c r="E30" i="18"/>
  <c r="J21" i="9"/>
  <c r="I21" i="9"/>
  <c r="L25" i="73"/>
  <c r="L26" i="73"/>
  <c r="L27" i="73"/>
  <c r="L28" i="73"/>
  <c r="L29" i="73"/>
  <c r="L30" i="73"/>
  <c r="L31" i="73"/>
  <c r="L32" i="73"/>
  <c r="L33" i="73"/>
  <c r="L34" i="73"/>
  <c r="L35" i="73"/>
  <c r="L36" i="73"/>
  <c r="L37" i="73"/>
  <c r="L38" i="73"/>
  <c r="L39" i="73"/>
  <c r="L40" i="73"/>
  <c r="L41" i="73"/>
  <c r="L42" i="73"/>
  <c r="L43" i="73"/>
  <c r="L44" i="73"/>
  <c r="L45" i="73"/>
  <c r="L46" i="73"/>
  <c r="L47" i="73"/>
  <c r="L48" i="73"/>
  <c r="L49" i="73"/>
  <c r="L50" i="73"/>
  <c r="L51" i="73"/>
  <c r="L52" i="73"/>
  <c r="L53" i="73"/>
  <c r="L54" i="73"/>
  <c r="L55" i="73"/>
  <c r="L56" i="73"/>
  <c r="L57" i="73"/>
  <c r="L58" i="73"/>
  <c r="L59" i="73"/>
  <c r="L60" i="73"/>
  <c r="L61" i="73"/>
  <c r="L62" i="73"/>
  <c r="L63" i="73"/>
  <c r="L64" i="73"/>
  <c r="L65" i="73"/>
  <c r="L66" i="73"/>
  <c r="L67" i="73"/>
  <c r="L68" i="73"/>
  <c r="L69" i="73"/>
  <c r="L70" i="73"/>
  <c r="L71" i="73"/>
  <c r="L72" i="73"/>
  <c r="L73" i="73"/>
  <c r="L74" i="73"/>
  <c r="L75" i="73"/>
  <c r="L76" i="73"/>
  <c r="L77" i="73"/>
  <c r="L78" i="73"/>
  <c r="L79" i="73"/>
  <c r="L80" i="73"/>
  <c r="L81" i="73"/>
  <c r="L82" i="73"/>
  <c r="L83" i="73"/>
  <c r="L84" i="73"/>
  <c r="L85" i="73"/>
  <c r="L86" i="73"/>
  <c r="L87" i="73"/>
  <c r="L88" i="73"/>
  <c r="L89" i="73"/>
  <c r="L90" i="73"/>
  <c r="L91" i="73"/>
  <c r="L92" i="73"/>
  <c r="L93" i="73"/>
  <c r="L94" i="73"/>
  <c r="L95" i="73"/>
  <c r="L96" i="73"/>
  <c r="L97" i="73"/>
  <c r="L98" i="73"/>
  <c r="L99" i="73"/>
  <c r="L100" i="73"/>
  <c r="L101" i="73"/>
  <c r="L102" i="73"/>
  <c r="L103" i="73"/>
  <c r="L104" i="73"/>
  <c r="L105" i="73"/>
  <c r="L106" i="73"/>
  <c r="L107" i="73"/>
  <c r="L108" i="73"/>
  <c r="L109" i="73"/>
  <c r="L110" i="73"/>
  <c r="L111" i="73"/>
  <c r="L112" i="73"/>
  <c r="L113" i="73"/>
  <c r="L114" i="73"/>
  <c r="L115" i="73"/>
  <c r="L116" i="73"/>
  <c r="L117" i="73"/>
  <c r="L118" i="73"/>
  <c r="L119" i="73"/>
  <c r="L120" i="73"/>
  <c r="L121" i="73"/>
  <c r="L122" i="73"/>
  <c r="L123" i="73"/>
  <c r="L124" i="73"/>
  <c r="L125" i="73"/>
  <c r="L126" i="73"/>
  <c r="L127" i="73"/>
  <c r="L128" i="73"/>
  <c r="L129" i="73"/>
  <c r="L130" i="73"/>
  <c r="L131" i="73"/>
  <c r="L132" i="73"/>
  <c r="L133" i="73"/>
  <c r="L134" i="73"/>
  <c r="L135" i="73"/>
  <c r="L136" i="73"/>
  <c r="L137" i="73"/>
  <c r="L138" i="73"/>
  <c r="L139" i="73"/>
  <c r="L140" i="73"/>
  <c r="L141" i="73"/>
  <c r="L142" i="73"/>
  <c r="L143" i="73"/>
  <c r="L144" i="73"/>
  <c r="L145" i="73"/>
  <c r="L146" i="73"/>
  <c r="L147" i="73"/>
  <c r="L148" i="73"/>
  <c r="L149" i="73"/>
  <c r="L24" i="73"/>
  <c r="J25" i="73"/>
  <c r="J26" i="73"/>
  <c r="J27" i="73"/>
  <c r="J28" i="73"/>
  <c r="J29" i="73"/>
  <c r="J30" i="73"/>
  <c r="J31" i="73"/>
  <c r="J32" i="73"/>
  <c r="J33" i="73"/>
  <c r="J34" i="73"/>
  <c r="J35" i="73"/>
  <c r="J36" i="73"/>
  <c r="J37" i="73"/>
  <c r="J38" i="73"/>
  <c r="J39" i="73"/>
  <c r="J40" i="73"/>
  <c r="J41" i="73"/>
  <c r="J42" i="73"/>
  <c r="J43" i="73"/>
  <c r="J44" i="73"/>
  <c r="J45" i="73"/>
  <c r="J46" i="73"/>
  <c r="J47" i="73"/>
  <c r="J48" i="73"/>
  <c r="J49" i="73"/>
  <c r="J50" i="73"/>
  <c r="J51" i="73"/>
  <c r="J52" i="73"/>
  <c r="J53" i="73"/>
  <c r="J54" i="73"/>
  <c r="J55" i="73"/>
  <c r="J56" i="73"/>
  <c r="J57" i="73"/>
  <c r="J58" i="73"/>
  <c r="J59" i="73"/>
  <c r="J60" i="73"/>
  <c r="J61" i="73"/>
  <c r="J62" i="73"/>
  <c r="J63" i="73"/>
  <c r="J64" i="73"/>
  <c r="J65" i="73"/>
  <c r="J66" i="73"/>
  <c r="J67" i="73"/>
  <c r="J68" i="73"/>
  <c r="J69" i="73"/>
  <c r="J70" i="73"/>
  <c r="J71" i="73"/>
  <c r="J72" i="73"/>
  <c r="J73" i="73"/>
  <c r="J74" i="73"/>
  <c r="J75" i="73"/>
  <c r="J76" i="73"/>
  <c r="J77" i="73"/>
  <c r="J78" i="73"/>
  <c r="J79" i="73"/>
  <c r="J80" i="73"/>
  <c r="J81" i="73"/>
  <c r="J82" i="73"/>
  <c r="J83" i="73"/>
  <c r="J84" i="73"/>
  <c r="J85" i="73"/>
  <c r="J86" i="73"/>
  <c r="J87" i="73"/>
  <c r="J88" i="73"/>
  <c r="J89" i="73"/>
  <c r="J90" i="73"/>
  <c r="J91" i="73"/>
  <c r="J92" i="73"/>
  <c r="J93" i="73"/>
  <c r="J94" i="73"/>
  <c r="J95" i="73"/>
  <c r="J96" i="73"/>
  <c r="J97" i="73"/>
  <c r="J98" i="73"/>
  <c r="J99" i="73"/>
  <c r="J100" i="73"/>
  <c r="J101" i="73"/>
  <c r="J102" i="73"/>
  <c r="J103" i="73"/>
  <c r="J104" i="73"/>
  <c r="J105" i="73"/>
  <c r="J106" i="73"/>
  <c r="J107" i="73"/>
  <c r="J108" i="73"/>
  <c r="J109" i="73"/>
  <c r="J110" i="73"/>
  <c r="J111" i="73"/>
  <c r="J112" i="73"/>
  <c r="J113" i="73"/>
  <c r="J114" i="73"/>
  <c r="J115" i="73"/>
  <c r="J116" i="73"/>
  <c r="J117" i="73"/>
  <c r="J118" i="73"/>
  <c r="J119" i="73"/>
  <c r="J120" i="73"/>
  <c r="J121" i="73"/>
  <c r="J122" i="73"/>
  <c r="J123" i="73"/>
  <c r="J124" i="73"/>
  <c r="J125" i="73"/>
  <c r="J126" i="73"/>
  <c r="J127" i="73"/>
  <c r="J128" i="73"/>
  <c r="J129" i="73"/>
  <c r="J130" i="73"/>
  <c r="J131" i="73"/>
  <c r="J132" i="73"/>
  <c r="J133" i="73"/>
  <c r="J134" i="73"/>
  <c r="J135" i="73"/>
  <c r="J136" i="73"/>
  <c r="J137" i="73"/>
  <c r="J138" i="73"/>
  <c r="J139" i="73"/>
  <c r="J140" i="73"/>
  <c r="J141" i="73"/>
  <c r="J142" i="73"/>
  <c r="J143" i="73"/>
  <c r="J144" i="73"/>
  <c r="J145" i="73"/>
  <c r="J146" i="73"/>
  <c r="J147" i="73"/>
  <c r="J148" i="73"/>
  <c r="J149" i="73"/>
  <c r="J24" i="73"/>
  <c r="H25" i="73"/>
  <c r="I25" i="73"/>
  <c r="H26" i="73"/>
  <c r="I26" i="73"/>
  <c r="H27" i="73"/>
  <c r="I27" i="73"/>
  <c r="H28" i="73"/>
  <c r="I28" i="73"/>
  <c r="H29" i="73"/>
  <c r="I29" i="73"/>
  <c r="H30" i="73"/>
  <c r="I30" i="73"/>
  <c r="H31" i="73"/>
  <c r="I31" i="73"/>
  <c r="H32" i="73"/>
  <c r="I32" i="73"/>
  <c r="H33" i="73"/>
  <c r="I33" i="73"/>
  <c r="H34" i="73"/>
  <c r="I34" i="73"/>
  <c r="H35" i="73"/>
  <c r="I35" i="73"/>
  <c r="H36" i="73"/>
  <c r="I36" i="73"/>
  <c r="H37" i="73"/>
  <c r="I37" i="73"/>
  <c r="H38" i="73"/>
  <c r="I38" i="73"/>
  <c r="H39" i="73"/>
  <c r="I39" i="73"/>
  <c r="H40" i="73"/>
  <c r="I40" i="73"/>
  <c r="H41" i="73"/>
  <c r="I41" i="73"/>
  <c r="H42" i="73"/>
  <c r="I42" i="73"/>
  <c r="H43" i="73"/>
  <c r="I43" i="73"/>
  <c r="H44" i="73"/>
  <c r="I44" i="73"/>
  <c r="H45" i="73"/>
  <c r="I45" i="73"/>
  <c r="H46" i="73"/>
  <c r="I46" i="73"/>
  <c r="H47" i="73"/>
  <c r="I47" i="73"/>
  <c r="H48" i="73"/>
  <c r="I48" i="73"/>
  <c r="H49" i="73"/>
  <c r="I49" i="73"/>
  <c r="H50" i="73"/>
  <c r="I50" i="73"/>
  <c r="H51" i="73"/>
  <c r="I51" i="73"/>
  <c r="H52" i="73"/>
  <c r="I52" i="73"/>
  <c r="H53" i="73"/>
  <c r="I53" i="73"/>
  <c r="H54" i="73"/>
  <c r="I54" i="73"/>
  <c r="H55" i="73"/>
  <c r="I55" i="73"/>
  <c r="H56" i="73"/>
  <c r="I56" i="73"/>
  <c r="H57" i="73"/>
  <c r="I57" i="73"/>
  <c r="H58" i="73"/>
  <c r="I58" i="73"/>
  <c r="H59" i="73"/>
  <c r="I59" i="73"/>
  <c r="H60" i="73"/>
  <c r="I60" i="73"/>
  <c r="H61" i="73"/>
  <c r="I61" i="73"/>
  <c r="H62" i="73"/>
  <c r="I62" i="73"/>
  <c r="H63" i="73"/>
  <c r="I63" i="73"/>
  <c r="H64" i="73"/>
  <c r="I64" i="73"/>
  <c r="H65" i="73"/>
  <c r="I65" i="73"/>
  <c r="H66" i="73"/>
  <c r="I66" i="73"/>
  <c r="H67" i="73"/>
  <c r="I67" i="73"/>
  <c r="H68" i="73"/>
  <c r="I68" i="73"/>
  <c r="H69" i="73"/>
  <c r="I69" i="73"/>
  <c r="H70" i="73"/>
  <c r="I70" i="73"/>
  <c r="H71" i="73"/>
  <c r="I71" i="73"/>
  <c r="H72" i="73"/>
  <c r="I72" i="73"/>
  <c r="H73" i="73"/>
  <c r="I73" i="73"/>
  <c r="H74" i="73"/>
  <c r="I74" i="73"/>
  <c r="H75" i="73"/>
  <c r="I75" i="73"/>
  <c r="H76" i="73"/>
  <c r="I76" i="73"/>
  <c r="H77" i="73"/>
  <c r="I77" i="73"/>
  <c r="H78" i="73"/>
  <c r="I78" i="73"/>
  <c r="H79" i="73"/>
  <c r="I79" i="73"/>
  <c r="H80" i="73"/>
  <c r="I80" i="73"/>
  <c r="H81" i="73"/>
  <c r="I81" i="73"/>
  <c r="H82" i="73"/>
  <c r="I82" i="73"/>
  <c r="H83" i="73"/>
  <c r="I83" i="73"/>
  <c r="H84" i="73"/>
  <c r="I84" i="73"/>
  <c r="H85" i="73"/>
  <c r="I85" i="73"/>
  <c r="H86" i="73"/>
  <c r="I86" i="73"/>
  <c r="H87" i="73"/>
  <c r="I87" i="73"/>
  <c r="H88" i="73"/>
  <c r="I88" i="73"/>
  <c r="H89" i="73"/>
  <c r="I89" i="73"/>
  <c r="H90" i="73"/>
  <c r="I90" i="73"/>
  <c r="H91" i="73"/>
  <c r="I91" i="73"/>
  <c r="H92" i="73"/>
  <c r="I92" i="73"/>
  <c r="H93" i="73"/>
  <c r="I93" i="73"/>
  <c r="H94" i="73"/>
  <c r="I94" i="73"/>
  <c r="H95" i="73"/>
  <c r="I95" i="73"/>
  <c r="H96" i="73"/>
  <c r="I96" i="73"/>
  <c r="H97" i="73"/>
  <c r="I97" i="73"/>
  <c r="H98" i="73"/>
  <c r="I98" i="73"/>
  <c r="H99" i="73"/>
  <c r="I99" i="73"/>
  <c r="H100" i="73"/>
  <c r="I100" i="73"/>
  <c r="H101" i="73"/>
  <c r="I101" i="73"/>
  <c r="H102" i="73"/>
  <c r="I102" i="73"/>
  <c r="H103" i="73"/>
  <c r="I103" i="73"/>
  <c r="H104" i="73"/>
  <c r="I104" i="73"/>
  <c r="H105" i="73"/>
  <c r="I105" i="73"/>
  <c r="H106" i="73"/>
  <c r="I106" i="73"/>
  <c r="H107" i="73"/>
  <c r="I107" i="73"/>
  <c r="H108" i="73"/>
  <c r="I108" i="73"/>
  <c r="H109" i="73"/>
  <c r="I109" i="73"/>
  <c r="H110" i="73"/>
  <c r="I110" i="73"/>
  <c r="H111" i="73"/>
  <c r="I111" i="73"/>
  <c r="H112" i="73"/>
  <c r="I112" i="73"/>
  <c r="H113" i="73"/>
  <c r="I113" i="73"/>
  <c r="H114" i="73"/>
  <c r="I114" i="73"/>
  <c r="H115" i="73"/>
  <c r="I115" i="73"/>
  <c r="H116" i="73"/>
  <c r="I116" i="73"/>
  <c r="H117" i="73"/>
  <c r="I117" i="73"/>
  <c r="H118" i="73"/>
  <c r="I118" i="73"/>
  <c r="H119" i="73"/>
  <c r="I119" i="73"/>
  <c r="H120" i="73"/>
  <c r="I120" i="73"/>
  <c r="H121" i="73"/>
  <c r="I121" i="73"/>
  <c r="H122" i="73"/>
  <c r="I122" i="73"/>
  <c r="H123" i="73"/>
  <c r="I123" i="73"/>
  <c r="H124" i="73"/>
  <c r="I124" i="73"/>
  <c r="H125" i="73"/>
  <c r="I125" i="73"/>
  <c r="H126" i="73"/>
  <c r="I126" i="73"/>
  <c r="H127" i="73"/>
  <c r="I127" i="73"/>
  <c r="H128" i="73"/>
  <c r="I128" i="73"/>
  <c r="H129" i="73"/>
  <c r="I129" i="73"/>
  <c r="H130" i="73"/>
  <c r="I130" i="73"/>
  <c r="H131" i="73"/>
  <c r="I131" i="73"/>
  <c r="H132" i="73"/>
  <c r="I132" i="73"/>
  <c r="H133" i="73"/>
  <c r="I133" i="73"/>
  <c r="H134" i="73"/>
  <c r="I134" i="73"/>
  <c r="H135" i="73"/>
  <c r="I135" i="73"/>
  <c r="H136" i="73"/>
  <c r="I136" i="73"/>
  <c r="H137" i="73"/>
  <c r="I137" i="73"/>
  <c r="H138" i="73"/>
  <c r="I138" i="73"/>
  <c r="H139" i="73"/>
  <c r="I139" i="73"/>
  <c r="H140" i="73"/>
  <c r="I140" i="73"/>
  <c r="H141" i="73"/>
  <c r="I141" i="73"/>
  <c r="H142" i="73"/>
  <c r="I142" i="73"/>
  <c r="H143" i="73"/>
  <c r="I143" i="73"/>
  <c r="I144" i="73"/>
  <c r="H145" i="73"/>
  <c r="I145" i="73"/>
  <c r="H146" i="73"/>
  <c r="I146" i="73"/>
  <c r="H147" i="73"/>
  <c r="I147" i="73"/>
  <c r="H148" i="73"/>
  <c r="I148" i="73"/>
  <c r="H149" i="73"/>
  <c r="I149" i="73"/>
  <c r="I24" i="73"/>
  <c r="H24" i="73"/>
  <c r="F2" i="18"/>
  <c r="E26" i="18"/>
  <c r="E41" i="17"/>
  <c r="G41" i="17"/>
  <c r="H41" i="17"/>
  <c r="B41" i="17"/>
  <c r="B11" i="18"/>
  <c r="B4" i="18"/>
  <c r="J3" i="9" l="1"/>
  <c r="B58" i="17" l="1"/>
  <c r="A16" i="18" l="1"/>
  <c r="B16" i="18"/>
  <c r="C26" i="18"/>
  <c r="C30" i="18" s="1"/>
  <c r="D26" i="18"/>
  <c r="D30" i="18" s="1"/>
  <c r="B26" i="18"/>
  <c r="B30" i="18" s="1"/>
  <c r="D140" i="72"/>
  <c r="C140" i="72"/>
  <c r="C139" i="72"/>
  <c r="B123" i="72" l="1"/>
  <c r="B124" i="72"/>
  <c r="B125" i="72"/>
  <c r="B126" i="72"/>
  <c r="B127" i="72"/>
  <c r="B128" i="72"/>
  <c r="I35" i="17" l="1"/>
  <c r="B56" i="17"/>
  <c r="H66" i="17"/>
  <c r="H67" i="17"/>
  <c r="H68" i="17"/>
  <c r="H69" i="17"/>
  <c r="H70" i="17"/>
  <c r="H71" i="17"/>
  <c r="H56" i="17"/>
  <c r="N21" i="17"/>
  <c r="H55" i="17"/>
  <c r="G49" i="17"/>
  <c r="G66" i="17" s="1"/>
  <c r="G50" i="17"/>
  <c r="G67" i="17" s="1"/>
  <c r="G51" i="17"/>
  <c r="G68" i="17" s="1"/>
  <c r="G52" i="17"/>
  <c r="G69" i="17" s="1"/>
  <c r="G53" i="17"/>
  <c r="G70" i="17" s="1"/>
  <c r="G54" i="17"/>
  <c r="G71" i="17" s="1"/>
  <c r="G48" i="17"/>
  <c r="F49" i="17"/>
  <c r="F66" i="17" s="1"/>
  <c r="F50" i="17"/>
  <c r="F67" i="17" s="1"/>
  <c r="F51" i="17"/>
  <c r="F68" i="17" s="1"/>
  <c r="F52" i="17"/>
  <c r="F69" i="17" s="1"/>
  <c r="F53" i="17"/>
  <c r="F70" i="17" s="1"/>
  <c r="F54" i="17"/>
  <c r="F56" i="17" s="1"/>
  <c r="F48" i="17"/>
  <c r="E49" i="17"/>
  <c r="E66" i="17" s="1"/>
  <c r="E50" i="17"/>
  <c r="E67" i="17" s="1"/>
  <c r="E51" i="17"/>
  <c r="E68" i="17" s="1"/>
  <c r="E52" i="17"/>
  <c r="E69" i="17" s="1"/>
  <c r="E53" i="17"/>
  <c r="E70" i="17" s="1"/>
  <c r="E54" i="17"/>
  <c r="E48" i="17"/>
  <c r="D48" i="17"/>
  <c r="C49" i="17"/>
  <c r="C66" i="17" s="1"/>
  <c r="C50" i="17"/>
  <c r="C67" i="17" s="1"/>
  <c r="C51" i="17"/>
  <c r="C68" i="17" s="1"/>
  <c r="C52" i="17"/>
  <c r="C69" i="17" s="1"/>
  <c r="C53" i="17"/>
  <c r="C70" i="17" s="1"/>
  <c r="C54" i="17"/>
  <c r="C48" i="17"/>
  <c r="B49" i="17"/>
  <c r="B66" i="17" s="1"/>
  <c r="B50" i="17"/>
  <c r="B67" i="17" s="1"/>
  <c r="B51" i="17"/>
  <c r="B68" i="17" s="1"/>
  <c r="B52" i="17"/>
  <c r="B69" i="17" s="1"/>
  <c r="B53" i="17"/>
  <c r="B70" i="17" s="1"/>
  <c r="B54" i="17"/>
  <c r="B71" i="17" s="1"/>
  <c r="B48" i="17"/>
  <c r="P12" i="17"/>
  <c r="D51" i="17"/>
  <c r="D68" i="17" s="1"/>
  <c r="P14" i="17"/>
  <c r="P15" i="17"/>
  <c r="P16" i="17"/>
  <c r="D49" i="17"/>
  <c r="D66" i="17" s="1"/>
  <c r="C135" i="72"/>
  <c r="D139" i="72"/>
  <c r="D138" i="72"/>
  <c r="C138" i="72"/>
  <c r="D137" i="72"/>
  <c r="C137" i="72"/>
  <c r="D136" i="72"/>
  <c r="C136" i="72"/>
  <c r="D135" i="72"/>
  <c r="H125" i="72"/>
  <c r="H126" i="72"/>
  <c r="H127" i="72"/>
  <c r="D50" i="17" l="1"/>
  <c r="D67" i="17" s="1"/>
  <c r="H128" i="72"/>
  <c r="H124" i="72"/>
  <c r="D54" i="17"/>
  <c r="D71" i="17" s="1"/>
  <c r="P13" i="17"/>
  <c r="H123" i="72"/>
  <c r="D53" i="17"/>
  <c r="D70" i="17" s="1"/>
  <c r="D52" i="17"/>
  <c r="D69" i="17" s="1"/>
  <c r="P11" i="17"/>
  <c r="B55" i="17"/>
  <c r="E56" i="17"/>
  <c r="C56" i="17"/>
  <c r="F71" i="17"/>
  <c r="B59" i="17"/>
  <c r="B35" i="17" s="1"/>
  <c r="E71" i="17"/>
  <c r="G56" i="17"/>
  <c r="C71" i="17"/>
  <c r="H58" i="17"/>
  <c r="D55" i="17"/>
  <c r="C55" i="17"/>
  <c r="G55" i="17"/>
  <c r="F55" i="17"/>
  <c r="E55" i="17"/>
  <c r="D56" i="17" l="1"/>
  <c r="D58" i="17" s="1"/>
  <c r="D59" i="17" s="1"/>
  <c r="D35" i="17" s="1"/>
  <c r="G58" i="17"/>
  <c r="G59" i="17" s="1"/>
  <c r="G35" i="17" s="1"/>
  <c r="H59" i="17"/>
  <c r="H35" i="17" s="1"/>
  <c r="F58" i="17"/>
  <c r="E58" i="17"/>
  <c r="C58" i="17"/>
  <c r="C59" i="17" s="1"/>
  <c r="C35" i="17" s="1"/>
  <c r="H119" i="72"/>
  <c r="D5" i="73"/>
  <c r="C515" i="76"/>
  <c r="C503" i="76"/>
  <c r="B502" i="76"/>
  <c r="D502" i="76" s="1"/>
  <c r="E502" i="76" s="1"/>
  <c r="B501" i="76"/>
  <c r="D501" i="76" s="1"/>
  <c r="E501" i="76" s="1"/>
  <c r="B500" i="76"/>
  <c r="D500" i="76" s="1"/>
  <c r="E500" i="76" s="1"/>
  <c r="B499" i="76"/>
  <c r="D498" i="76"/>
  <c r="E498" i="76" s="1"/>
  <c r="B498" i="76"/>
  <c r="B497" i="76"/>
  <c r="D497" i="76" s="1"/>
  <c r="E497" i="76" s="1"/>
  <c r="C471" i="76"/>
  <c r="B470" i="76"/>
  <c r="D470" i="76" s="1"/>
  <c r="E470" i="76" s="1"/>
  <c r="B469" i="76"/>
  <c r="D469" i="76" s="1"/>
  <c r="E469" i="76" s="1"/>
  <c r="B468" i="76"/>
  <c r="D468" i="76" s="1"/>
  <c r="E468" i="76" s="1"/>
  <c r="B467" i="76"/>
  <c r="D467" i="76" s="1"/>
  <c r="E467" i="76" s="1"/>
  <c r="B466" i="76"/>
  <c r="D466" i="76" s="1"/>
  <c r="E466" i="76" s="1"/>
  <c r="B465" i="76"/>
  <c r="F59" i="17" l="1"/>
  <c r="F35" i="17" s="1"/>
  <c r="F41" i="17" s="1"/>
  <c r="E59" i="17"/>
  <c r="E35" i="17" s="1"/>
  <c r="B503" i="76"/>
  <c r="D503" i="76" s="1"/>
  <c r="E503" i="76" s="1"/>
  <c r="D499" i="76"/>
  <c r="E499" i="76" s="1"/>
  <c r="B471" i="76"/>
  <c r="D471" i="76" s="1"/>
  <c r="E471" i="76" s="1"/>
  <c r="D465" i="76"/>
  <c r="E465" i="76" s="1"/>
  <c r="C439" i="76"/>
  <c r="B438" i="76"/>
  <c r="D438" i="76" s="1"/>
  <c r="E438" i="76" s="1"/>
  <c r="B437" i="76"/>
  <c r="D437" i="76" s="1"/>
  <c r="E437" i="76" s="1"/>
  <c r="B436" i="76"/>
  <c r="D436" i="76" s="1"/>
  <c r="E436" i="76" s="1"/>
  <c r="B435" i="76"/>
  <c r="D435" i="76" s="1"/>
  <c r="E435" i="76" s="1"/>
  <c r="B434" i="76"/>
  <c r="D434" i="76" s="1"/>
  <c r="E434" i="76" s="1"/>
  <c r="B433" i="76"/>
  <c r="D433" i="76" s="1"/>
  <c r="E433" i="76" s="1"/>
  <c r="C407" i="76"/>
  <c r="B406" i="76"/>
  <c r="D406" i="76" s="1"/>
  <c r="E406" i="76" s="1"/>
  <c r="B405" i="76"/>
  <c r="D405" i="76" s="1"/>
  <c r="E405" i="76" s="1"/>
  <c r="B404" i="76"/>
  <c r="D404" i="76" s="1"/>
  <c r="E404" i="76" s="1"/>
  <c r="B403" i="76"/>
  <c r="D403" i="76" s="1"/>
  <c r="E403" i="76" s="1"/>
  <c r="B402" i="76"/>
  <c r="D402" i="76" s="1"/>
  <c r="E402" i="76" s="1"/>
  <c r="B401" i="76"/>
  <c r="D401" i="76" s="1"/>
  <c r="E401" i="76" s="1"/>
  <c r="C375" i="76"/>
  <c r="B374" i="76"/>
  <c r="D374" i="76" s="1"/>
  <c r="E374" i="76" s="1"/>
  <c r="B373" i="76"/>
  <c r="D373" i="76" s="1"/>
  <c r="E373" i="76" s="1"/>
  <c r="B372" i="76"/>
  <c r="D372" i="76" s="1"/>
  <c r="E372" i="76" s="1"/>
  <c r="B371" i="76"/>
  <c r="D371" i="76" s="1"/>
  <c r="E371" i="76" s="1"/>
  <c r="B370" i="76"/>
  <c r="D370" i="76" s="1"/>
  <c r="E370" i="76" s="1"/>
  <c r="B369" i="76"/>
  <c r="D369" i="76" s="1"/>
  <c r="E369" i="76" s="1"/>
  <c r="B338" i="76"/>
  <c r="B339" i="76"/>
  <c r="D339" i="76" s="1"/>
  <c r="E339" i="76" s="1"/>
  <c r="B340" i="76"/>
  <c r="D340" i="76" s="1"/>
  <c r="E340" i="76" s="1"/>
  <c r="B341" i="76"/>
  <c r="D341" i="76" s="1"/>
  <c r="E341" i="76" s="1"/>
  <c r="B342" i="76"/>
  <c r="B337" i="76"/>
  <c r="D337" i="76" s="1"/>
  <c r="E337" i="76" s="1"/>
  <c r="C343" i="76"/>
  <c r="D342" i="76"/>
  <c r="E342" i="76" s="1"/>
  <c r="D338" i="76"/>
  <c r="E338" i="76" s="1"/>
  <c r="B306" i="76"/>
  <c r="B307" i="76"/>
  <c r="B308" i="76"/>
  <c r="B309" i="76"/>
  <c r="B310" i="76"/>
  <c r="B305" i="76"/>
  <c r="A306" i="76"/>
  <c r="A307" i="76"/>
  <c r="A308" i="76"/>
  <c r="A309" i="76"/>
  <c r="A310" i="76"/>
  <c r="A305" i="76"/>
  <c r="B375" i="76" l="1"/>
  <c r="D375" i="76" s="1"/>
  <c r="E375" i="76" s="1"/>
  <c r="B439" i="76"/>
  <c r="D439" i="76" s="1"/>
  <c r="E439" i="76" s="1"/>
  <c r="B407" i="76"/>
  <c r="D407" i="76" s="1"/>
  <c r="E407" i="76" s="1"/>
  <c r="B343" i="76"/>
  <c r="D343" i="76" s="1"/>
  <c r="E343" i="76" s="1"/>
  <c r="E292" i="76" l="1"/>
  <c r="E291" i="76"/>
  <c r="E290" i="76"/>
  <c r="E289" i="76"/>
  <c r="E288" i="76"/>
  <c r="E287" i="76"/>
  <c r="B287" i="76" a="1"/>
  <c r="B291" i="76" s="1"/>
  <c r="C281" i="76"/>
  <c r="B281" i="76"/>
  <c r="D276" i="76"/>
  <c r="E276" i="76" s="1"/>
  <c r="D277" i="76"/>
  <c r="E277" i="76" s="1"/>
  <c r="D278" i="76"/>
  <c r="E278" i="76" s="1"/>
  <c r="D279" i="76"/>
  <c r="E279" i="76" s="1"/>
  <c r="D280" i="76"/>
  <c r="E280" i="76" s="1"/>
  <c r="D275" i="76"/>
  <c r="E275" i="76" s="1"/>
  <c r="D281" i="76" l="1"/>
  <c r="E281" i="76" s="1"/>
  <c r="I291" i="76"/>
  <c r="B290" i="76"/>
  <c r="B289" i="76"/>
  <c r="I289" i="76" s="1"/>
  <c r="B288" i="76"/>
  <c r="I288" i="76" s="1"/>
  <c r="B287" i="76"/>
  <c r="I287" i="76" s="1"/>
  <c r="B292" i="76"/>
  <c r="I292" i="76" s="1"/>
  <c r="I290" i="76" l="1"/>
  <c r="B293" i="76"/>
  <c r="H4" i="72" l="1"/>
  <c r="H5" i="72"/>
  <c r="H6" i="72"/>
  <c r="H7" i="72"/>
  <c r="H8" i="72"/>
  <c r="H9" i="72"/>
  <c r="H10" i="72"/>
  <c r="H11" i="72"/>
  <c r="H12" i="72"/>
  <c r="H13" i="72"/>
  <c r="H14" i="72"/>
  <c r="H15" i="72"/>
  <c r="H16" i="72"/>
  <c r="H17" i="72"/>
  <c r="H18" i="72"/>
  <c r="H19" i="72"/>
  <c r="H20" i="72"/>
  <c r="H21" i="72"/>
  <c r="H22" i="72"/>
  <c r="H23" i="72"/>
  <c r="H24" i="72"/>
  <c r="H25" i="72"/>
  <c r="H26" i="72"/>
  <c r="H27" i="72"/>
  <c r="H28" i="72"/>
  <c r="H29" i="72"/>
  <c r="H30" i="72"/>
  <c r="H31" i="72"/>
  <c r="H32" i="72"/>
  <c r="H33" i="72"/>
  <c r="H34" i="72"/>
  <c r="H35" i="72"/>
  <c r="H36" i="72"/>
  <c r="H37" i="72"/>
  <c r="H38" i="72"/>
  <c r="H39" i="72"/>
  <c r="H40" i="72"/>
  <c r="H41" i="72"/>
  <c r="H42" i="72"/>
  <c r="H43" i="72"/>
  <c r="H44" i="72"/>
  <c r="H45" i="72"/>
  <c r="H46" i="72"/>
  <c r="H47" i="72"/>
  <c r="H48" i="72"/>
  <c r="H49" i="72"/>
  <c r="H50" i="72"/>
  <c r="H51" i="72"/>
  <c r="H52" i="72"/>
  <c r="H53" i="72"/>
  <c r="H54" i="72"/>
  <c r="H55" i="72"/>
  <c r="H56" i="72"/>
  <c r="H57" i="72"/>
  <c r="H58" i="72"/>
  <c r="H59" i="72"/>
  <c r="H60" i="72"/>
  <c r="H61" i="72"/>
  <c r="H62" i="72"/>
  <c r="H63" i="72"/>
  <c r="H64" i="72"/>
  <c r="H65" i="72"/>
  <c r="H66" i="72"/>
  <c r="H67" i="72"/>
  <c r="H68" i="72"/>
  <c r="H69" i="72"/>
  <c r="H70" i="72"/>
  <c r="H71" i="72"/>
  <c r="H72" i="72"/>
  <c r="H73" i="72"/>
  <c r="H74" i="72"/>
  <c r="H75" i="72"/>
  <c r="H76" i="72"/>
  <c r="H77" i="72"/>
  <c r="H78" i="72"/>
  <c r="H79" i="72"/>
  <c r="H80" i="72"/>
  <c r="H81" i="72"/>
  <c r="H82" i="72"/>
  <c r="H83" i="72"/>
  <c r="H84" i="72"/>
  <c r="H85" i="72"/>
  <c r="H86" i="72"/>
  <c r="H87" i="72"/>
  <c r="H88" i="72"/>
  <c r="H89" i="72"/>
  <c r="H90" i="72"/>
  <c r="H91" i="72"/>
  <c r="H92" i="72"/>
  <c r="H93" i="72"/>
  <c r="H94" i="72"/>
  <c r="H95" i="72"/>
  <c r="H96" i="72"/>
  <c r="H97" i="72"/>
  <c r="H98" i="72"/>
  <c r="H99" i="72"/>
  <c r="H100" i="72"/>
  <c r="H101" i="72"/>
  <c r="H102" i="72"/>
  <c r="H103" i="72"/>
  <c r="H104" i="72"/>
  <c r="H105" i="72"/>
  <c r="H106" i="72"/>
  <c r="H107" i="72"/>
  <c r="H108" i="72"/>
  <c r="H109" i="72"/>
  <c r="H110" i="72"/>
  <c r="H111" i="72"/>
  <c r="H112" i="72"/>
  <c r="H113" i="72"/>
  <c r="H114" i="72"/>
  <c r="H115" i="72"/>
  <c r="H116" i="72"/>
  <c r="H117" i="72"/>
  <c r="H118" i="72"/>
  <c r="H120" i="72"/>
  <c r="H121" i="72"/>
  <c r="H122" i="72"/>
  <c r="H3" i="72"/>
  <c r="D14" i="73"/>
  <c r="D13" i="73"/>
  <c r="D12" i="73"/>
  <c r="D11" i="73"/>
  <c r="D10" i="73"/>
  <c r="D9" i="73"/>
  <c r="D8" i="73"/>
  <c r="D7" i="73"/>
  <c r="D6" i="73"/>
  <c r="B270" i="76"/>
  <c r="B269" i="76"/>
  <c r="B268" i="76"/>
  <c r="C264" i="76"/>
  <c r="D264" i="76"/>
  <c r="E264" i="76"/>
  <c r="F264" i="76"/>
  <c r="G264" i="76"/>
  <c r="H264" i="76"/>
  <c r="D263" i="76"/>
  <c r="C323" i="76" s="1"/>
  <c r="E263" i="76"/>
  <c r="C355" i="76" s="1"/>
  <c r="F263" i="76"/>
  <c r="C387" i="76" s="1"/>
  <c r="B419" i="76" s="1"/>
  <c r="G263" i="76"/>
  <c r="C419" i="76" s="1"/>
  <c r="H263" i="76"/>
  <c r="I263" i="76"/>
  <c r="J263" i="76"/>
  <c r="C263" i="76"/>
  <c r="B323" i="76" s="1"/>
  <c r="C260" i="76"/>
  <c r="D260" i="76"/>
  <c r="F322" i="76" s="1"/>
  <c r="E260" i="76"/>
  <c r="F354" i="76" s="1"/>
  <c r="F260" i="76"/>
  <c r="F386" i="76" s="1"/>
  <c r="G260" i="76"/>
  <c r="F418" i="76" s="1"/>
  <c r="H260" i="76"/>
  <c r="C255" i="76"/>
  <c r="D255" i="76"/>
  <c r="E255" i="76"/>
  <c r="F255" i="76"/>
  <c r="G255" i="76"/>
  <c r="H255" i="76"/>
  <c r="C250" i="76"/>
  <c r="D250" i="76"/>
  <c r="E250" i="76"/>
  <c r="F250" i="76"/>
  <c r="G250" i="76"/>
  <c r="H250" i="76"/>
  <c r="C237" i="76"/>
  <c r="D237" i="76"/>
  <c r="F317" i="76" s="1"/>
  <c r="E237" i="76"/>
  <c r="F349" i="76" s="1"/>
  <c r="F237" i="76"/>
  <c r="F381" i="76" s="1"/>
  <c r="G237" i="76"/>
  <c r="F413" i="76" s="1"/>
  <c r="H237" i="76"/>
  <c r="C483" i="76" l="1"/>
  <c r="B515" i="76" s="1"/>
  <c r="F450" i="76"/>
  <c r="C451" i="76"/>
  <c r="E413" i="76"/>
  <c r="E418" i="76"/>
  <c r="B451" i="76"/>
  <c r="B428" i="76"/>
  <c r="C428" i="76" s="1"/>
  <c r="F445" i="76"/>
  <c r="E381" i="76"/>
  <c r="E390" i="76" s="1"/>
  <c r="F390" i="76" s="1"/>
  <c r="E386" i="76"/>
  <c r="E395" i="76" s="1"/>
  <c r="F395" i="76" s="1"/>
  <c r="E349" i="76"/>
  <c r="E358" i="76" s="1"/>
  <c r="F358" i="76" s="1"/>
  <c r="E354" i="76"/>
  <c r="E363" i="76" s="1"/>
  <c r="F363" i="76" s="1"/>
  <c r="B387" i="76"/>
  <c r="B396" i="76" s="1"/>
  <c r="C396" i="76" s="1"/>
  <c r="E450" i="76"/>
  <c r="E427" i="76"/>
  <c r="F427" i="76" s="1"/>
  <c r="E317" i="76"/>
  <c r="F287" i="76"/>
  <c r="E295" i="76" s="1"/>
  <c r="F295" i="76" s="1"/>
  <c r="F292" i="76"/>
  <c r="E322" i="76"/>
  <c r="B355" i="76"/>
  <c r="B364" i="76" s="1"/>
  <c r="C364" i="76" s="1"/>
  <c r="E445" i="76"/>
  <c r="E422" i="76"/>
  <c r="F422" i="76" s="1"/>
  <c r="B332" i="76"/>
  <c r="C332" i="76" s="1"/>
  <c r="D305" i="76"/>
  <c r="E305" i="76" s="1"/>
  <c r="D310" i="76"/>
  <c r="E310" i="76" s="1"/>
  <c r="D308" i="76"/>
  <c r="E308" i="76" s="1"/>
  <c r="B524" i="76" l="1"/>
  <c r="C524" i="76" s="1"/>
  <c r="E482" i="76"/>
  <c r="E459" i="76"/>
  <c r="F459" i="76" s="1"/>
  <c r="E326" i="76"/>
  <c r="F326" i="76" s="1"/>
  <c r="E477" i="76"/>
  <c r="E454" i="76"/>
  <c r="F454" i="76" s="1"/>
  <c r="B460" i="76"/>
  <c r="C460" i="76" s="1"/>
  <c r="B483" i="76"/>
  <c r="B492" i="76" s="1"/>
  <c r="C492" i="76" s="1"/>
  <c r="D309" i="76"/>
  <c r="E309" i="76" s="1"/>
  <c r="D306" i="76"/>
  <c r="E306" i="76" s="1"/>
  <c r="E300" i="76"/>
  <c r="F300" i="76" s="1"/>
  <c r="B108" i="76"/>
  <c r="B104" i="76"/>
  <c r="B105" i="76"/>
  <c r="B106" i="76"/>
  <c r="B107" i="76"/>
  <c r="B103" i="76"/>
  <c r="A104" i="76"/>
  <c r="A105" i="76"/>
  <c r="A106" i="76"/>
  <c r="A107" i="76"/>
  <c r="A103" i="76"/>
  <c r="B100" i="76"/>
  <c r="B99" i="76"/>
  <c r="B98" i="76"/>
  <c r="F184" i="76" l="1"/>
  <c r="E184" i="76"/>
  <c r="C184" i="76"/>
  <c r="D184" i="76"/>
  <c r="G184" i="76"/>
  <c r="H184" i="76"/>
  <c r="B184" i="76"/>
  <c r="H132" i="76"/>
  <c r="H133" i="76"/>
  <c r="H134" i="76"/>
  <c r="H135" i="76"/>
  <c r="H136" i="76"/>
  <c r="H137" i="76"/>
  <c r="H138" i="76"/>
  <c r="H139" i="76"/>
  <c r="H140" i="76"/>
  <c r="H131" i="76"/>
  <c r="H57" i="76" a="1"/>
  <c r="H62" i="76" s="1"/>
  <c r="I55" i="76"/>
  <c r="A55" i="76"/>
  <c r="A82" i="76" s="1"/>
  <c r="I36" i="76"/>
  <c r="H151" i="76" l="1"/>
  <c r="H153" i="76"/>
  <c r="H154" i="76"/>
  <c r="H152" i="76"/>
  <c r="H149" i="76"/>
  <c r="H155" i="76"/>
  <c r="H147" i="76"/>
  <c r="H150" i="76"/>
  <c r="H148" i="76"/>
  <c r="H61" i="76"/>
  <c r="H68" i="76"/>
  <c r="H60" i="76"/>
  <c r="H67" i="76"/>
  <c r="H59" i="76"/>
  <c r="H66" i="76"/>
  <c r="H58" i="76"/>
  <c r="H65" i="76"/>
  <c r="H57" i="76"/>
  <c r="H64" i="76"/>
  <c r="H63" i="76"/>
  <c r="H24" i="76" l="1" a="1"/>
  <c r="H25" i="76" s="1"/>
  <c r="G24" i="76" a="1"/>
  <c r="G24" i="76" s="1"/>
  <c r="F24" i="76" a="1"/>
  <c r="F24" i="76" s="1"/>
  <c r="E24" i="76" a="1"/>
  <c r="E25" i="76" s="1"/>
  <c r="B24" i="76" a="1"/>
  <c r="B24" i="76" s="1"/>
  <c r="A48" i="76"/>
  <c r="A9" i="76"/>
  <c r="A10" i="76" s="1"/>
  <c r="H176" i="76"/>
  <c r="H182" i="76" s="1"/>
  <c r="H189" i="76" s="1"/>
  <c r="E202" i="76" s="1"/>
  <c r="E218" i="76" s="1"/>
  <c r="H165" i="76"/>
  <c r="H170" i="76" s="1"/>
  <c r="A13" i="18"/>
  <c r="A12" i="18"/>
  <c r="A11" i="18"/>
  <c r="E11" i="18" s="1"/>
  <c r="K43" i="11" s="1"/>
  <c r="H265" i="76" s="1"/>
  <c r="F451" i="76" s="1"/>
  <c r="A10" i="18"/>
  <c r="A9" i="18"/>
  <c r="C9" i="18" s="1"/>
  <c r="A8" i="18"/>
  <c r="E8" i="18" s="1"/>
  <c r="A7" i="18"/>
  <c r="C7" i="18" s="1"/>
  <c r="C21" i="18" s="1"/>
  <c r="D209" i="76" s="1"/>
  <c r="A6" i="18"/>
  <c r="A20" i="18" s="1"/>
  <c r="A5" i="18"/>
  <c r="A19" i="18" s="1"/>
  <c r="A4" i="18"/>
  <c r="D4" i="18" s="1"/>
  <c r="A3" i="18"/>
  <c r="A17" i="18" s="1"/>
  <c r="A2" i="18"/>
  <c r="C2" i="18" s="1"/>
  <c r="H34" i="17"/>
  <c r="A34" i="17"/>
  <c r="H33" i="17"/>
  <c r="A33" i="17"/>
  <c r="H32" i="17"/>
  <c r="A32" i="17"/>
  <c r="H31" i="17"/>
  <c r="A31" i="17"/>
  <c r="H30" i="17"/>
  <c r="A30" i="17"/>
  <c r="H29" i="17"/>
  <c r="A29" i="17"/>
  <c r="H28" i="17"/>
  <c r="A28" i="17"/>
  <c r="H27" i="17"/>
  <c r="A27" i="17"/>
  <c r="H26" i="17"/>
  <c r="A26" i="17"/>
  <c r="N22" i="17"/>
  <c r="G20" i="17"/>
  <c r="K37" i="11" s="1"/>
  <c r="H259" i="76" s="1"/>
  <c r="C450" i="76" s="1"/>
  <c r="F20" i="17"/>
  <c r="E20" i="17"/>
  <c r="D20" i="17"/>
  <c r="B20" i="17"/>
  <c r="G19" i="17"/>
  <c r="G139" i="76" s="1"/>
  <c r="F19" i="17"/>
  <c r="E139" i="76" s="1"/>
  <c r="E19" i="17"/>
  <c r="F139" i="76" s="1"/>
  <c r="D19" i="17"/>
  <c r="D139" i="76" s="1"/>
  <c r="B19" i="17"/>
  <c r="B139" i="76" s="1"/>
  <c r="G18" i="17"/>
  <c r="G138" i="76" s="1"/>
  <c r="F18" i="17"/>
  <c r="E138" i="76" s="1"/>
  <c r="E18" i="17"/>
  <c r="F138" i="76" s="1"/>
  <c r="D18" i="17"/>
  <c r="D138" i="76" s="1"/>
  <c r="B18" i="17"/>
  <c r="B138" i="76" s="1"/>
  <c r="G17" i="17"/>
  <c r="G137" i="76" s="1"/>
  <c r="F17" i="17"/>
  <c r="E137" i="76" s="1"/>
  <c r="E17" i="17"/>
  <c r="F137" i="76" s="1"/>
  <c r="D17" i="17"/>
  <c r="D137" i="76" s="1"/>
  <c r="B17" i="17"/>
  <c r="B137" i="76" s="1"/>
  <c r="G16" i="17"/>
  <c r="G136" i="76" s="1"/>
  <c r="F16" i="17"/>
  <c r="E136" i="76" s="1"/>
  <c r="E16" i="17"/>
  <c r="F136" i="76" s="1"/>
  <c r="D16" i="17"/>
  <c r="D136" i="76" s="1"/>
  <c r="B16" i="17"/>
  <c r="B136" i="76" s="1"/>
  <c r="G15" i="17"/>
  <c r="G135" i="76" s="1"/>
  <c r="F15" i="17"/>
  <c r="E135" i="76" s="1"/>
  <c r="E15" i="17"/>
  <c r="F135" i="76" s="1"/>
  <c r="D15" i="17"/>
  <c r="D135" i="76" s="1"/>
  <c r="B15" i="17"/>
  <c r="B135" i="76" s="1"/>
  <c r="G14" i="17"/>
  <c r="G134" i="76" s="1"/>
  <c r="F14" i="17"/>
  <c r="E134" i="76" s="1"/>
  <c r="E14" i="17"/>
  <c r="F134" i="76" s="1"/>
  <c r="D14" i="17"/>
  <c r="D134" i="76" s="1"/>
  <c r="B14" i="17"/>
  <c r="B134" i="76" s="1"/>
  <c r="G13" i="17"/>
  <c r="G133" i="76" s="1"/>
  <c r="F13" i="17"/>
  <c r="E133" i="76" s="1"/>
  <c r="E13" i="17"/>
  <c r="F133" i="76" s="1"/>
  <c r="D13" i="17"/>
  <c r="D133" i="76" s="1"/>
  <c r="B13" i="17"/>
  <c r="B133" i="76" s="1"/>
  <c r="G12" i="17"/>
  <c r="G132" i="76" s="1"/>
  <c r="F12" i="17"/>
  <c r="E132" i="76" s="1"/>
  <c r="E12" i="17"/>
  <c r="F132" i="76" s="1"/>
  <c r="D12" i="17"/>
  <c r="D132" i="76" s="1"/>
  <c r="B12" i="17"/>
  <c r="B132" i="76" s="1"/>
  <c r="G11" i="17"/>
  <c r="G131" i="76" s="1"/>
  <c r="F11" i="17"/>
  <c r="E131" i="76" s="1"/>
  <c r="E11" i="17"/>
  <c r="F131" i="76" s="1"/>
  <c r="D11" i="17"/>
  <c r="D131" i="76" s="1"/>
  <c r="B11" i="17"/>
  <c r="F10" i="17"/>
  <c r="D10" i="17"/>
  <c r="C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G2" i="17"/>
  <c r="F2" i="17"/>
  <c r="D1" i="18" s="1"/>
  <c r="E2" i="17"/>
  <c r="C1" i="18" s="1"/>
  <c r="D2" i="17"/>
  <c r="B1" i="18" s="1"/>
  <c r="C2" i="17"/>
  <c r="B2" i="17"/>
  <c r="A40" i="9"/>
  <c r="A39" i="9"/>
  <c r="A36" i="9"/>
  <c r="A35" i="9"/>
  <c r="I34" i="9"/>
  <c r="H34" i="9"/>
  <c r="A32" i="9"/>
  <c r="A31" i="9"/>
  <c r="A23" i="9"/>
  <c r="N21" i="9"/>
  <c r="H167" i="76" s="1"/>
  <c r="H172" i="76" s="1"/>
  <c r="H173" i="76" s="1"/>
  <c r="A21" i="9"/>
  <c r="N12" i="9"/>
  <c r="M12" i="9"/>
  <c r="L12" i="9"/>
  <c r="K12" i="9"/>
  <c r="J12" i="9"/>
  <c r="B25" i="18" s="1"/>
  <c r="I12" i="9"/>
  <c r="H12" i="9"/>
  <c r="N11" i="9"/>
  <c r="M11" i="9"/>
  <c r="L11" i="9"/>
  <c r="K11" i="9"/>
  <c r="J11" i="9"/>
  <c r="J23" i="11" s="1"/>
  <c r="G245" i="76" s="1"/>
  <c r="I11" i="9"/>
  <c r="H11" i="9"/>
  <c r="N10" i="9"/>
  <c r="M10" i="9"/>
  <c r="L10" i="9"/>
  <c r="K10" i="9"/>
  <c r="J10" i="9"/>
  <c r="I23" i="11" s="1"/>
  <c r="F245" i="76" s="1"/>
  <c r="I10" i="9"/>
  <c r="H10" i="9"/>
  <c r="N9" i="9"/>
  <c r="M9" i="9"/>
  <c r="L9" i="9"/>
  <c r="K9" i="9"/>
  <c r="J9" i="9"/>
  <c r="H23" i="11" s="1"/>
  <c r="E245" i="76" s="1"/>
  <c r="I9" i="9"/>
  <c r="H9" i="9"/>
  <c r="N8" i="9"/>
  <c r="M8" i="9"/>
  <c r="L8" i="9"/>
  <c r="K8" i="9"/>
  <c r="J8" i="9"/>
  <c r="G23" i="11" s="1"/>
  <c r="D245" i="76" s="1"/>
  <c r="I8" i="9"/>
  <c r="H8" i="9"/>
  <c r="N7" i="9"/>
  <c r="M7" i="9"/>
  <c r="L7" i="9"/>
  <c r="K7" i="9"/>
  <c r="J7" i="9"/>
  <c r="F23" i="11" s="1"/>
  <c r="C245" i="76" s="1"/>
  <c r="I7" i="9"/>
  <c r="H7" i="9"/>
  <c r="N6" i="9"/>
  <c r="M6" i="9"/>
  <c r="L6" i="9"/>
  <c r="K6" i="9"/>
  <c r="J6" i="9"/>
  <c r="E23" i="11" s="1"/>
  <c r="I6" i="9"/>
  <c r="H6" i="9"/>
  <c r="N5" i="9"/>
  <c r="M5" i="9"/>
  <c r="L5" i="9"/>
  <c r="K5" i="9"/>
  <c r="J5" i="9"/>
  <c r="D23" i="11" s="1"/>
  <c r="I5" i="9"/>
  <c r="H5" i="9"/>
  <c r="N4" i="9"/>
  <c r="M4" i="9"/>
  <c r="L4" i="9"/>
  <c r="K4" i="9"/>
  <c r="J4" i="9"/>
  <c r="C23" i="11" s="1"/>
  <c r="I4" i="9"/>
  <c r="H4" i="9"/>
  <c r="N3" i="9"/>
  <c r="M3" i="9"/>
  <c r="L3" i="9"/>
  <c r="K3" i="9"/>
  <c r="I3" i="9"/>
  <c r="B19" i="11" s="1"/>
  <c r="H3" i="9"/>
  <c r="B153" i="72"/>
  <c r="B4" i="9" s="1"/>
  <c r="B116" i="76" s="1"/>
  <c r="D134" i="72"/>
  <c r="C134" i="72"/>
  <c r="D133" i="72"/>
  <c r="C133" i="72"/>
  <c r="D132" i="72"/>
  <c r="C132" i="72"/>
  <c r="D131" i="72"/>
  <c r="C131" i="72"/>
  <c r="D130" i="72"/>
  <c r="C130" i="72"/>
  <c r="D129" i="72"/>
  <c r="C129" i="72"/>
  <c r="B122" i="72"/>
  <c r="J121" i="72"/>
  <c r="K121" i="72" s="1"/>
  <c r="L121" i="72" s="1"/>
  <c r="B121" i="72"/>
  <c r="J120" i="72"/>
  <c r="K120" i="72" s="1"/>
  <c r="L120" i="72" s="1"/>
  <c r="B120" i="72"/>
  <c r="J119" i="72"/>
  <c r="K119" i="72" s="1"/>
  <c r="L119" i="72" s="1"/>
  <c r="B119" i="72"/>
  <c r="B118" i="72"/>
  <c r="J117" i="72"/>
  <c r="K117" i="72" s="1"/>
  <c r="L117" i="72" s="1"/>
  <c r="B117" i="72"/>
  <c r="J116" i="72"/>
  <c r="K116" i="72" s="1"/>
  <c r="L116" i="72" s="1"/>
  <c r="B116" i="72"/>
  <c r="J115" i="72"/>
  <c r="K115" i="72" s="1"/>
  <c r="L115" i="72" s="1"/>
  <c r="B115" i="72"/>
  <c r="B114" i="72"/>
  <c r="J113" i="72"/>
  <c r="K113" i="72" s="1"/>
  <c r="L113" i="72" s="1"/>
  <c r="B113" i="72"/>
  <c r="J112" i="72"/>
  <c r="K112" i="72" s="1"/>
  <c r="L112" i="72" s="1"/>
  <c r="B112" i="72"/>
  <c r="B111" i="72"/>
  <c r="B110" i="72"/>
  <c r="J109" i="72"/>
  <c r="K109" i="72" s="1"/>
  <c r="L109" i="72" s="1"/>
  <c r="B109" i="72"/>
  <c r="J108" i="72"/>
  <c r="K108" i="72" s="1"/>
  <c r="L108" i="72" s="1"/>
  <c r="B108" i="72"/>
  <c r="J107" i="72"/>
  <c r="K107" i="72" s="1"/>
  <c r="L107" i="72" s="1"/>
  <c r="B107" i="72"/>
  <c r="B106" i="72"/>
  <c r="J105" i="72"/>
  <c r="K105" i="72" s="1"/>
  <c r="L105" i="72" s="1"/>
  <c r="B105" i="72"/>
  <c r="J104" i="72"/>
  <c r="K104" i="72" s="1"/>
  <c r="L104" i="72" s="1"/>
  <c r="B104" i="72"/>
  <c r="J103" i="72"/>
  <c r="K103" i="72" s="1"/>
  <c r="L103" i="72" s="1"/>
  <c r="B103" i="72"/>
  <c r="B102" i="72"/>
  <c r="J101" i="72"/>
  <c r="K101" i="72" s="1"/>
  <c r="L101" i="72" s="1"/>
  <c r="B101" i="72"/>
  <c r="J100" i="72"/>
  <c r="K100" i="72" s="1"/>
  <c r="L100" i="72" s="1"/>
  <c r="B100" i="72"/>
  <c r="B99" i="72"/>
  <c r="B160" i="72" s="1"/>
  <c r="B98" i="72"/>
  <c r="J97" i="72"/>
  <c r="K97" i="72" s="1"/>
  <c r="L97" i="72" s="1"/>
  <c r="B97" i="72"/>
  <c r="J96" i="72"/>
  <c r="K96" i="72" s="1"/>
  <c r="L96" i="72" s="1"/>
  <c r="B96" i="72"/>
  <c r="J95" i="72"/>
  <c r="K95" i="72" s="1"/>
  <c r="L95" i="72" s="1"/>
  <c r="B95" i="72"/>
  <c r="B94" i="72"/>
  <c r="J93" i="72"/>
  <c r="K93" i="72" s="1"/>
  <c r="L93" i="72" s="1"/>
  <c r="B93" i="72"/>
  <c r="J92" i="72"/>
  <c r="K92" i="72" s="1"/>
  <c r="L92" i="72" s="1"/>
  <c r="B92" i="72"/>
  <c r="J91" i="72"/>
  <c r="K91" i="72" s="1"/>
  <c r="L91" i="72" s="1"/>
  <c r="B91" i="72"/>
  <c r="B90" i="72"/>
  <c r="B159" i="72" s="1"/>
  <c r="J89" i="72"/>
  <c r="K89" i="72" s="1"/>
  <c r="L89" i="72" s="1"/>
  <c r="B89" i="72"/>
  <c r="J88" i="72"/>
  <c r="K88" i="72" s="1"/>
  <c r="L88" i="72" s="1"/>
  <c r="B88" i="72"/>
  <c r="J87" i="72"/>
  <c r="K87" i="72" s="1"/>
  <c r="L87" i="72" s="1"/>
  <c r="B87" i="72"/>
  <c r="B86" i="72"/>
  <c r="J85" i="72"/>
  <c r="K85" i="72" s="1"/>
  <c r="L85" i="72" s="1"/>
  <c r="B85" i="72"/>
  <c r="J84" i="72"/>
  <c r="K84" i="72" s="1"/>
  <c r="L84" i="72" s="1"/>
  <c r="B84" i="72"/>
  <c r="J83" i="72"/>
  <c r="K83" i="72" s="1"/>
  <c r="L83" i="72" s="1"/>
  <c r="B83" i="72"/>
  <c r="B82" i="72"/>
  <c r="J81" i="72"/>
  <c r="K81" i="72" s="1"/>
  <c r="L81" i="72" s="1"/>
  <c r="B81" i="72"/>
  <c r="J80" i="72"/>
  <c r="K80" i="72" s="1"/>
  <c r="L80" i="72" s="1"/>
  <c r="B80" i="72"/>
  <c r="J79" i="72"/>
  <c r="K79" i="72" s="1"/>
  <c r="L79" i="72" s="1"/>
  <c r="B79" i="72"/>
  <c r="B78" i="72"/>
  <c r="J77" i="72"/>
  <c r="K77" i="72" s="1"/>
  <c r="L77" i="72" s="1"/>
  <c r="B77" i="72"/>
  <c r="J76" i="72"/>
  <c r="K76" i="72" s="1"/>
  <c r="L76" i="72" s="1"/>
  <c r="B76" i="72"/>
  <c r="B75" i="72"/>
  <c r="B158" i="72" s="1"/>
  <c r="B74" i="72"/>
  <c r="J73" i="72"/>
  <c r="K73" i="72" s="1"/>
  <c r="L73" i="72" s="1"/>
  <c r="B73" i="72"/>
  <c r="J72" i="72"/>
  <c r="K72" i="72" s="1"/>
  <c r="L72" i="72" s="1"/>
  <c r="B72" i="72"/>
  <c r="J71" i="72"/>
  <c r="K71" i="72" s="1"/>
  <c r="L71" i="72" s="1"/>
  <c r="B71" i="72"/>
  <c r="B70" i="72"/>
  <c r="J69" i="72"/>
  <c r="K69" i="72" s="1"/>
  <c r="L69" i="72" s="1"/>
  <c r="B69" i="72"/>
  <c r="J68" i="72"/>
  <c r="K68" i="72" s="1"/>
  <c r="L68" i="72" s="1"/>
  <c r="B68" i="72"/>
  <c r="J67" i="72"/>
  <c r="K67" i="72" s="1"/>
  <c r="L67" i="72" s="1"/>
  <c r="B67" i="72"/>
  <c r="B66" i="72"/>
  <c r="J65" i="72"/>
  <c r="K65" i="72" s="1"/>
  <c r="L65" i="72" s="1"/>
  <c r="B65" i="72"/>
  <c r="J64" i="72"/>
  <c r="K64" i="72" s="1"/>
  <c r="L64" i="72" s="1"/>
  <c r="B64" i="72"/>
  <c r="J63" i="72"/>
  <c r="K63" i="72" s="1"/>
  <c r="L63" i="72" s="1"/>
  <c r="B63" i="72"/>
  <c r="B157" i="72" s="1"/>
  <c r="B62" i="72"/>
  <c r="J61" i="72"/>
  <c r="K61" i="72" s="1"/>
  <c r="L61" i="72" s="1"/>
  <c r="B61" i="72"/>
  <c r="J60" i="72"/>
  <c r="K60" i="72" s="1"/>
  <c r="L60" i="72" s="1"/>
  <c r="B60" i="72"/>
  <c r="J59" i="72"/>
  <c r="K59" i="72" s="1"/>
  <c r="L59" i="72" s="1"/>
  <c r="B59" i="72"/>
  <c r="B58" i="72"/>
  <c r="J57" i="72"/>
  <c r="K57" i="72" s="1"/>
  <c r="L57" i="72" s="1"/>
  <c r="B57" i="72"/>
  <c r="J56" i="72"/>
  <c r="K56" i="72" s="1"/>
  <c r="L56" i="72" s="1"/>
  <c r="B56" i="72"/>
  <c r="J55" i="72"/>
  <c r="K55" i="72" s="1"/>
  <c r="L55" i="72" s="1"/>
  <c r="B55" i="72"/>
  <c r="B54" i="72"/>
  <c r="J53" i="72"/>
  <c r="K53" i="72" s="1"/>
  <c r="L53" i="72" s="1"/>
  <c r="B53" i="72"/>
  <c r="J52" i="72"/>
  <c r="K52" i="72" s="1"/>
  <c r="L52" i="72" s="1"/>
  <c r="B52" i="72"/>
  <c r="B51" i="72"/>
  <c r="B156" i="72" s="1"/>
  <c r="B50" i="72"/>
  <c r="J49" i="72"/>
  <c r="K49" i="72" s="1"/>
  <c r="L49" i="72" s="1"/>
  <c r="B49" i="72"/>
  <c r="J48" i="72"/>
  <c r="K48" i="72" s="1"/>
  <c r="L48" i="72" s="1"/>
  <c r="B48" i="72"/>
  <c r="J47" i="72"/>
  <c r="K47" i="72" s="1"/>
  <c r="L47" i="72" s="1"/>
  <c r="B47" i="72"/>
  <c r="B46" i="72"/>
  <c r="J45" i="72"/>
  <c r="K45" i="72" s="1"/>
  <c r="L45" i="72" s="1"/>
  <c r="B45" i="72"/>
  <c r="J44" i="72"/>
  <c r="K44" i="72" s="1"/>
  <c r="L44" i="72" s="1"/>
  <c r="B44" i="72"/>
  <c r="J43" i="72"/>
  <c r="K43" i="72" s="1"/>
  <c r="L43" i="72" s="1"/>
  <c r="B43" i="72"/>
  <c r="B42" i="72"/>
  <c r="J41" i="72"/>
  <c r="K41" i="72" s="1"/>
  <c r="L41" i="72" s="1"/>
  <c r="B41" i="72"/>
  <c r="J40" i="72"/>
  <c r="K40" i="72" s="1"/>
  <c r="L40" i="72" s="1"/>
  <c r="B40" i="72"/>
  <c r="J39" i="72"/>
  <c r="K39" i="72" s="1"/>
  <c r="L39" i="72" s="1"/>
  <c r="B39" i="72"/>
  <c r="B155" i="72" s="1"/>
  <c r="B38" i="72"/>
  <c r="J37" i="72"/>
  <c r="K37" i="72" s="1"/>
  <c r="L37" i="72" s="1"/>
  <c r="B37" i="72"/>
  <c r="J36" i="72"/>
  <c r="K36" i="72" s="1"/>
  <c r="L36" i="72" s="1"/>
  <c r="B36" i="72"/>
  <c r="J35" i="72"/>
  <c r="K35" i="72" s="1"/>
  <c r="L35" i="72" s="1"/>
  <c r="B35" i="72"/>
  <c r="B34" i="72"/>
  <c r="J33" i="72"/>
  <c r="K33" i="72" s="1"/>
  <c r="L33" i="72" s="1"/>
  <c r="B33" i="72"/>
  <c r="J32" i="72"/>
  <c r="K32" i="72" s="1"/>
  <c r="L32" i="72" s="1"/>
  <c r="B32" i="72"/>
  <c r="J31" i="72"/>
  <c r="K31" i="72" s="1"/>
  <c r="L31" i="72" s="1"/>
  <c r="B31" i="72"/>
  <c r="B30" i="72"/>
  <c r="B154" i="72" s="1"/>
  <c r="J29" i="72"/>
  <c r="K29" i="72" s="1"/>
  <c r="L29" i="72" s="1"/>
  <c r="B29" i="72"/>
  <c r="J28" i="72"/>
  <c r="K28" i="72" s="1"/>
  <c r="L28" i="72" s="1"/>
  <c r="B28" i="72"/>
  <c r="J27" i="72"/>
  <c r="K27" i="72" s="1"/>
  <c r="L27" i="72" s="1"/>
  <c r="B27" i="72"/>
  <c r="B26" i="72"/>
  <c r="J25" i="72"/>
  <c r="K25" i="72" s="1"/>
  <c r="L25" i="72" s="1"/>
  <c r="B25" i="72"/>
  <c r="J24" i="72"/>
  <c r="K24" i="72" s="1"/>
  <c r="L24" i="72" s="1"/>
  <c r="B24" i="72"/>
  <c r="J23" i="72"/>
  <c r="K23" i="72" s="1"/>
  <c r="L23" i="72" s="1"/>
  <c r="B23" i="72"/>
  <c r="B22" i="72"/>
  <c r="J21" i="72"/>
  <c r="K21" i="72" s="1"/>
  <c r="L21" i="72" s="1"/>
  <c r="B21" i="72"/>
  <c r="J20" i="72"/>
  <c r="K20" i="72" s="1"/>
  <c r="L20" i="72" s="1"/>
  <c r="B20" i="72"/>
  <c r="J19" i="72"/>
  <c r="K19" i="72" s="1"/>
  <c r="L19" i="72" s="1"/>
  <c r="B19" i="72"/>
  <c r="B18" i="72"/>
  <c r="J17" i="72"/>
  <c r="K17" i="72" s="1"/>
  <c r="L17" i="72" s="1"/>
  <c r="B17" i="72"/>
  <c r="J16" i="72"/>
  <c r="K16" i="72" s="1"/>
  <c r="L16" i="72" s="1"/>
  <c r="B16" i="72"/>
  <c r="B15" i="72"/>
  <c r="B14" i="72"/>
  <c r="J13" i="72"/>
  <c r="K13" i="72" s="1"/>
  <c r="L13" i="72" s="1"/>
  <c r="B13" i="72"/>
  <c r="J12" i="72"/>
  <c r="K12" i="72" s="1"/>
  <c r="L12" i="72" s="1"/>
  <c r="B12" i="72"/>
  <c r="J11" i="72"/>
  <c r="K11" i="72" s="1"/>
  <c r="L11" i="72" s="1"/>
  <c r="B11" i="72"/>
  <c r="B10" i="72"/>
  <c r="J9" i="72"/>
  <c r="K9" i="72" s="1"/>
  <c r="L9" i="72" s="1"/>
  <c r="B9" i="72"/>
  <c r="J8" i="72"/>
  <c r="K8" i="72" s="1"/>
  <c r="L8" i="72" s="1"/>
  <c r="B8" i="72"/>
  <c r="J7" i="72"/>
  <c r="K7" i="72" s="1"/>
  <c r="L7" i="72" s="1"/>
  <c r="B7" i="72"/>
  <c r="B6" i="72"/>
  <c r="J5" i="72"/>
  <c r="K5" i="72" s="1"/>
  <c r="L5" i="72" s="1"/>
  <c r="B5" i="72"/>
  <c r="J4" i="72"/>
  <c r="K4" i="72" s="1"/>
  <c r="L4" i="72" s="1"/>
  <c r="B4" i="72"/>
  <c r="B3" i="72"/>
  <c r="B152" i="72" s="1"/>
  <c r="H61" i="11"/>
  <c r="M60" i="11"/>
  <c r="H60" i="11"/>
  <c r="M59" i="11"/>
  <c r="L59" i="11"/>
  <c r="I59" i="11"/>
  <c r="H59" i="11"/>
  <c r="M58" i="11"/>
  <c r="H58" i="11"/>
  <c r="H57" i="11"/>
  <c r="M56" i="11"/>
  <c r="L56" i="11"/>
  <c r="L60" i="11" s="1"/>
  <c r="I56" i="11"/>
  <c r="I60" i="11" s="1"/>
  <c r="H56" i="11"/>
  <c r="M55" i="11"/>
  <c r="L55" i="11"/>
  <c r="I55" i="11"/>
  <c r="M54" i="11"/>
  <c r="L54" i="11"/>
  <c r="L58" i="11" s="1"/>
  <c r="I54" i="11"/>
  <c r="I58" i="11" s="1"/>
  <c r="K42" i="11"/>
  <c r="J42" i="11"/>
  <c r="I42" i="11"/>
  <c r="H42" i="11"/>
  <c r="G42" i="11"/>
  <c r="F42" i="11"/>
  <c r="E42" i="11"/>
  <c r="D42" i="11"/>
  <c r="C42" i="11"/>
  <c r="B42" i="11"/>
  <c r="K38" i="11"/>
  <c r="J38" i="11"/>
  <c r="I38" i="11"/>
  <c r="H38" i="11"/>
  <c r="G38" i="11"/>
  <c r="F38" i="11"/>
  <c r="E38" i="11"/>
  <c r="D38" i="11"/>
  <c r="C38" i="11"/>
  <c r="B38" i="11"/>
  <c r="C37" i="11"/>
  <c r="A36" i="11"/>
  <c r="K33" i="11"/>
  <c r="J33" i="11"/>
  <c r="I33" i="11"/>
  <c r="H33" i="11"/>
  <c r="G33" i="11"/>
  <c r="F33" i="11"/>
  <c r="E33" i="11"/>
  <c r="D33" i="11"/>
  <c r="C33" i="11"/>
  <c r="B33" i="11"/>
  <c r="A31" i="11"/>
  <c r="K28" i="11"/>
  <c r="J28" i="11"/>
  <c r="I28" i="11"/>
  <c r="H28" i="11"/>
  <c r="G28" i="11"/>
  <c r="F28" i="11"/>
  <c r="E28" i="11"/>
  <c r="D28" i="11"/>
  <c r="C28" i="11"/>
  <c r="B28" i="11"/>
  <c r="H27" i="11"/>
  <c r="E254" i="76" s="1"/>
  <c r="C353" i="76" s="1"/>
  <c r="B385" i="76" s="1"/>
  <c r="B27" i="11"/>
  <c r="A26" i="11"/>
  <c r="B23" i="11"/>
  <c r="A21" i="11"/>
  <c r="K19" i="11"/>
  <c r="H241" i="76" s="1"/>
  <c r="J19" i="11"/>
  <c r="G241" i="76" s="1"/>
  <c r="I19" i="11"/>
  <c r="F241" i="76" s="1"/>
  <c r="A17" i="11"/>
  <c r="K15" i="11"/>
  <c r="J15" i="11"/>
  <c r="I15" i="11"/>
  <c r="H15" i="11"/>
  <c r="G15" i="11"/>
  <c r="F15" i="11"/>
  <c r="E15" i="11"/>
  <c r="D15" i="11"/>
  <c r="C15" i="11"/>
  <c r="B15" i="11"/>
  <c r="A13" i="11"/>
  <c r="J21" i="73"/>
  <c r="H21" i="73"/>
  <c r="F21" i="73"/>
  <c r="H14" i="73"/>
  <c r="G14" i="73"/>
  <c r="F14" i="73"/>
  <c r="E14" i="73"/>
  <c r="C14" i="73"/>
  <c r="C20" i="17" s="1"/>
  <c r="B14" i="73"/>
  <c r="H13" i="73"/>
  <c r="G13" i="73"/>
  <c r="F13" i="73"/>
  <c r="E13" i="73"/>
  <c r="C13" i="73"/>
  <c r="C19" i="17" s="1"/>
  <c r="C139" i="76" s="1"/>
  <c r="B13" i="73"/>
  <c r="H12" i="73"/>
  <c r="G12" i="73"/>
  <c r="F12" i="73"/>
  <c r="E12" i="73"/>
  <c r="C12" i="73"/>
  <c r="C18" i="17" s="1"/>
  <c r="C138" i="76" s="1"/>
  <c r="B12" i="73"/>
  <c r="H11" i="73"/>
  <c r="G11" i="73"/>
  <c r="F11" i="73"/>
  <c r="E11" i="73"/>
  <c r="C11" i="73"/>
  <c r="C17" i="17" s="1"/>
  <c r="C137" i="76" s="1"/>
  <c r="B11" i="73"/>
  <c r="H10" i="73"/>
  <c r="G10" i="73"/>
  <c r="F10" i="73"/>
  <c r="E10" i="73"/>
  <c r="C10" i="73"/>
  <c r="C16" i="17" s="1"/>
  <c r="C136" i="76" s="1"/>
  <c r="B10" i="73"/>
  <c r="H9" i="73"/>
  <c r="G9" i="73"/>
  <c r="F9" i="73"/>
  <c r="E9" i="73"/>
  <c r="C9" i="73"/>
  <c r="C15" i="17" s="1"/>
  <c r="C135" i="76" s="1"/>
  <c r="B9" i="73"/>
  <c r="H8" i="73"/>
  <c r="G8" i="73"/>
  <c r="F8" i="73"/>
  <c r="E8" i="73"/>
  <c r="C8" i="73"/>
  <c r="C14" i="17" s="1"/>
  <c r="B8" i="73"/>
  <c r="H7" i="73"/>
  <c r="G7" i="73"/>
  <c r="F7" i="73"/>
  <c r="E7" i="73"/>
  <c r="C7" i="73"/>
  <c r="C13" i="17" s="1"/>
  <c r="C133" i="76" s="1"/>
  <c r="B7" i="73"/>
  <c r="H6" i="73"/>
  <c r="G6" i="73"/>
  <c r="F6" i="73"/>
  <c r="E6" i="73"/>
  <c r="C6" i="73"/>
  <c r="C12" i="17" s="1"/>
  <c r="C132" i="76" s="1"/>
  <c r="B6" i="73"/>
  <c r="H5" i="73"/>
  <c r="G5" i="73"/>
  <c r="F5" i="73"/>
  <c r="E5" i="73"/>
  <c r="C5" i="73"/>
  <c r="C11" i="17" s="1"/>
  <c r="C131" i="76" s="1"/>
  <c r="B5" i="73"/>
  <c r="I159" i="76"/>
  <c r="I176" i="76" s="1"/>
  <c r="I189" i="76" s="1"/>
  <c r="H144" i="76"/>
  <c r="A126" i="76"/>
  <c r="A162" i="76" s="1"/>
  <c r="A173" i="76" s="1"/>
  <c r="A125" i="76"/>
  <c r="A161" i="76" s="1"/>
  <c r="A172" i="76" s="1"/>
  <c r="A115" i="76"/>
  <c r="A131" i="76" s="1"/>
  <c r="A146" i="76" s="1"/>
  <c r="A204" i="76" s="1"/>
  <c r="A70" i="76"/>
  <c r="I52" i="76"/>
  <c r="G52" i="76"/>
  <c r="G129" i="76" s="1"/>
  <c r="F52" i="76"/>
  <c r="F129" i="76" s="1"/>
  <c r="E52" i="76"/>
  <c r="E129" i="76" s="1"/>
  <c r="D52" i="76"/>
  <c r="D129" i="76" s="1"/>
  <c r="C52" i="76"/>
  <c r="C129" i="76" s="1"/>
  <c r="B52" i="76"/>
  <c r="B129" i="76" s="1"/>
  <c r="A52" i="76"/>
  <c r="A129" i="76" s="1"/>
  <c r="A159" i="76" s="1"/>
  <c r="A49" i="76"/>
  <c r="A95" i="76" s="1"/>
  <c r="A38" i="76"/>
  <c r="A84" i="76" s="1"/>
  <c r="A25" i="76"/>
  <c r="A24" i="76"/>
  <c r="D4" i="11" l="1"/>
  <c r="B5" i="9"/>
  <c r="B117" i="76" s="1"/>
  <c r="I4" i="11"/>
  <c r="F227" i="76" s="1"/>
  <c r="B10" i="9"/>
  <c r="B122" i="76" s="1"/>
  <c r="B4" i="11"/>
  <c r="B3" i="9"/>
  <c r="B115" i="76" s="1"/>
  <c r="E4" i="11"/>
  <c r="B6" i="9"/>
  <c r="B118" i="76" s="1"/>
  <c r="F4" i="11"/>
  <c r="C227" i="76" s="1"/>
  <c r="B7" i="9"/>
  <c r="B119" i="76" s="1"/>
  <c r="G4" i="11"/>
  <c r="D227" i="76" s="1"/>
  <c r="B8" i="9"/>
  <c r="B120" i="76" s="1"/>
  <c r="H4" i="11"/>
  <c r="E227" i="76" s="1"/>
  <c r="B9" i="9"/>
  <c r="B121" i="76" s="1"/>
  <c r="B11" i="9"/>
  <c r="B123" i="76" s="1"/>
  <c r="J4" i="11"/>
  <c r="G227" i="76" s="1"/>
  <c r="C4" i="11"/>
  <c r="J10" i="72"/>
  <c r="K10" i="72" s="1"/>
  <c r="L10" i="72" s="1"/>
  <c r="J18" i="72"/>
  <c r="K18" i="72" s="1"/>
  <c r="L18" i="72" s="1"/>
  <c r="J26" i="72"/>
  <c r="K26" i="72" s="1"/>
  <c r="L26" i="72" s="1"/>
  <c r="J34" i="72"/>
  <c r="K34" i="72" s="1"/>
  <c r="L34" i="72" s="1"/>
  <c r="J42" i="72"/>
  <c r="K42" i="72" s="1"/>
  <c r="L42" i="72" s="1"/>
  <c r="J50" i="72"/>
  <c r="K50" i="72" s="1"/>
  <c r="L50" i="72" s="1"/>
  <c r="J66" i="72"/>
  <c r="K66" i="72" s="1"/>
  <c r="L66" i="72" s="1"/>
  <c r="J98" i="72"/>
  <c r="K98" i="72" s="1"/>
  <c r="L98" i="72" s="1"/>
  <c r="J102" i="72"/>
  <c r="K102" i="72" s="1"/>
  <c r="L102" i="72" s="1"/>
  <c r="J106" i="72"/>
  <c r="K106" i="72" s="1"/>
  <c r="L106" i="72" s="1"/>
  <c r="J110" i="72"/>
  <c r="K110" i="72" s="1"/>
  <c r="L110" i="72" s="1"/>
  <c r="J114" i="72"/>
  <c r="K114" i="72" s="1"/>
  <c r="L114" i="72" s="1"/>
  <c r="J118" i="72"/>
  <c r="K118" i="72" s="1"/>
  <c r="L118" i="72" s="1"/>
  <c r="J122" i="72"/>
  <c r="K122" i="72" s="1"/>
  <c r="L122" i="72" s="1"/>
  <c r="J6" i="72"/>
  <c r="K6" i="72" s="1"/>
  <c r="L6" i="72" s="1"/>
  <c r="J14" i="72"/>
  <c r="K14" i="72" s="1"/>
  <c r="L14" i="72" s="1"/>
  <c r="J22" i="72"/>
  <c r="K22" i="72" s="1"/>
  <c r="L22" i="72" s="1"/>
  <c r="J30" i="72"/>
  <c r="K30" i="72" s="1"/>
  <c r="L30" i="72" s="1"/>
  <c r="J38" i="72"/>
  <c r="K38" i="72" s="1"/>
  <c r="L38" i="72" s="1"/>
  <c r="J46" i="72"/>
  <c r="K46" i="72" s="1"/>
  <c r="L46" i="72" s="1"/>
  <c r="J54" i="72"/>
  <c r="K54" i="72" s="1"/>
  <c r="L54" i="72" s="1"/>
  <c r="J58" i="72"/>
  <c r="K58" i="72" s="1"/>
  <c r="L58" i="72" s="1"/>
  <c r="J62" i="72"/>
  <c r="K62" i="72" s="1"/>
  <c r="L62" i="72" s="1"/>
  <c r="J70" i="72"/>
  <c r="K70" i="72" s="1"/>
  <c r="L70" i="72" s="1"/>
  <c r="J74" i="72"/>
  <c r="K74" i="72" s="1"/>
  <c r="L74" i="72" s="1"/>
  <c r="J78" i="72"/>
  <c r="K78" i="72" s="1"/>
  <c r="L78" i="72" s="1"/>
  <c r="J82" i="72"/>
  <c r="K82" i="72" s="1"/>
  <c r="L82" i="72" s="1"/>
  <c r="J86" i="72"/>
  <c r="K86" i="72" s="1"/>
  <c r="L86" i="72" s="1"/>
  <c r="J90" i="72"/>
  <c r="K90" i="72" s="1"/>
  <c r="L90" i="72" s="1"/>
  <c r="J94" i="72"/>
  <c r="K94" i="72" s="1"/>
  <c r="L94" i="72" s="1"/>
  <c r="B161" i="72"/>
  <c r="G4" i="9"/>
  <c r="C10" i="11" s="1"/>
  <c r="B9" i="76" s="1"/>
  <c r="G5" i="9"/>
  <c r="G6" i="9"/>
  <c r="E51" i="11" s="1"/>
  <c r="G7" i="9"/>
  <c r="F51" i="11" s="1"/>
  <c r="G8" i="9"/>
  <c r="G9" i="9"/>
  <c r="H10" i="11" s="1"/>
  <c r="B14" i="76" s="1"/>
  <c r="G10" i="9"/>
  <c r="G11" i="9"/>
  <c r="J10" i="11" s="1"/>
  <c r="B16" i="76" s="1"/>
  <c r="K23" i="11"/>
  <c r="H245" i="76" s="1"/>
  <c r="H269" i="76" s="1"/>
  <c r="D19" i="11"/>
  <c r="D47" i="11" s="1"/>
  <c r="I47" i="11"/>
  <c r="E19" i="11"/>
  <c r="E47" i="11" s="1"/>
  <c r="G19" i="11"/>
  <c r="D241" i="76" s="1"/>
  <c r="F318" i="76" s="1"/>
  <c r="E10" i="11"/>
  <c r="B11" i="76" s="1"/>
  <c r="D10" i="11"/>
  <c r="B10" i="76" s="1"/>
  <c r="D51" i="11"/>
  <c r="D64" i="11" s="1"/>
  <c r="C134" i="76"/>
  <c r="C149" i="76" s="1"/>
  <c r="E18" i="11"/>
  <c r="C19" i="11"/>
  <c r="C47" i="11" s="1"/>
  <c r="H19" i="11"/>
  <c r="E241" i="76" s="1"/>
  <c r="K11" i="17"/>
  <c r="G51" i="11"/>
  <c r="G10" i="11"/>
  <c r="B13" i="76" s="1"/>
  <c r="I10" i="11"/>
  <c r="B15" i="76" s="1"/>
  <c r="F446" i="76"/>
  <c r="J47" i="11"/>
  <c r="B47" i="11"/>
  <c r="F350" i="76"/>
  <c r="E269" i="76"/>
  <c r="F19" i="11"/>
  <c r="G3" i="9"/>
  <c r="B10" i="11" s="1"/>
  <c r="B8" i="76" s="1"/>
  <c r="G12" i="9"/>
  <c r="F382" i="76"/>
  <c r="F269" i="76"/>
  <c r="F414" i="76"/>
  <c r="G269" i="76"/>
  <c r="H47" i="11"/>
  <c r="J111" i="72"/>
  <c r="K111" i="72" s="1"/>
  <c r="L111" i="72" s="1"/>
  <c r="I161" i="72"/>
  <c r="F124" i="76" s="1"/>
  <c r="B47" i="76" s="1"/>
  <c r="F8" i="9"/>
  <c r="F6" i="9"/>
  <c r="I18" i="11"/>
  <c r="F240" i="76" s="1"/>
  <c r="C382" i="76" s="1"/>
  <c r="B414" i="76" s="1"/>
  <c r="F27" i="11"/>
  <c r="C254" i="76" s="1"/>
  <c r="B321" i="76" s="1"/>
  <c r="J27" i="11"/>
  <c r="G254" i="76" s="1"/>
  <c r="C417" i="76" s="1"/>
  <c r="B449" i="76" s="1"/>
  <c r="G37" i="11"/>
  <c r="D259" i="76" s="1"/>
  <c r="C322" i="76" s="1"/>
  <c r="B354" i="76" s="1"/>
  <c r="I354" i="76" s="1"/>
  <c r="A25" i="18"/>
  <c r="H39" i="17"/>
  <c r="B18" i="11"/>
  <c r="E140" i="76"/>
  <c r="E155" i="76" s="1"/>
  <c r="G140" i="76"/>
  <c r="F140" i="76"/>
  <c r="F14" i="11"/>
  <c r="C236" i="76" s="1"/>
  <c r="K14" i="11"/>
  <c r="H236" i="76" s="1"/>
  <c r="C445" i="76" s="1"/>
  <c r="B477" i="76" s="1"/>
  <c r="I477" i="76" s="1"/>
  <c r="C140" i="76"/>
  <c r="D140" i="76"/>
  <c r="D155" i="76" s="1"/>
  <c r="I14" i="11"/>
  <c r="F236" i="76" s="1"/>
  <c r="C381" i="76" s="1"/>
  <c r="B413" i="76" s="1"/>
  <c r="J22" i="11"/>
  <c r="G244" i="76" s="1"/>
  <c r="C415" i="76" s="1"/>
  <c r="B32" i="11"/>
  <c r="D18" i="11"/>
  <c r="D5" i="18"/>
  <c r="I27" i="11"/>
  <c r="F254" i="76" s="1"/>
  <c r="C385" i="76" s="1"/>
  <c r="B394" i="76" s="1"/>
  <c r="C394" i="76" s="1"/>
  <c r="G26" i="17"/>
  <c r="H18" i="11"/>
  <c r="E240" i="76" s="1"/>
  <c r="C350" i="76" s="1"/>
  <c r="B382" i="76" s="1"/>
  <c r="F37" i="11"/>
  <c r="C259" i="76" s="1"/>
  <c r="B322" i="76" s="1"/>
  <c r="E27" i="11"/>
  <c r="C32" i="11"/>
  <c r="J37" i="11"/>
  <c r="G259" i="76" s="1"/>
  <c r="C418" i="76" s="1"/>
  <c r="C32" i="17"/>
  <c r="E3" i="18"/>
  <c r="E17" i="18" s="1"/>
  <c r="E205" i="76" s="1"/>
  <c r="D3" i="18"/>
  <c r="D17" i="18" s="1"/>
  <c r="C205" i="76" s="1"/>
  <c r="E32" i="11"/>
  <c r="D8" i="18"/>
  <c r="H34" i="11" s="1"/>
  <c r="E251" i="76" s="1"/>
  <c r="F352" i="76" s="1"/>
  <c r="E384" i="76" s="1"/>
  <c r="C14" i="11"/>
  <c r="I32" i="11"/>
  <c r="F249" i="76" s="1"/>
  <c r="C384" i="76" s="1"/>
  <c r="B416" i="76" s="1"/>
  <c r="K32" i="11"/>
  <c r="H249" i="76" s="1"/>
  <c r="C448" i="76" s="1"/>
  <c r="B480" i="76" s="1"/>
  <c r="M21" i="9"/>
  <c r="G34" i="17"/>
  <c r="C5" i="18"/>
  <c r="C19" i="18" s="1"/>
  <c r="D207" i="76" s="1"/>
  <c r="G14" i="11"/>
  <c r="D236" i="76" s="1"/>
  <c r="C317" i="76" s="1"/>
  <c r="B349" i="76" s="1"/>
  <c r="I349" i="76" s="1"/>
  <c r="E5" i="18"/>
  <c r="E19" i="18" s="1"/>
  <c r="E207" i="76" s="1"/>
  <c r="E22" i="18"/>
  <c r="E210" i="76" s="1"/>
  <c r="H43" i="11"/>
  <c r="E265" i="76" s="1"/>
  <c r="F355" i="76" s="1"/>
  <c r="E387" i="76" s="1"/>
  <c r="I387" i="76" s="1"/>
  <c r="C23" i="18"/>
  <c r="D211" i="76" s="1"/>
  <c r="I29" i="11"/>
  <c r="F256" i="76" s="1"/>
  <c r="F385" i="76" s="1"/>
  <c r="C16" i="18"/>
  <c r="D204" i="76" s="1"/>
  <c r="B29" i="11"/>
  <c r="D14" i="11"/>
  <c r="G32" i="11"/>
  <c r="D249" i="76" s="1"/>
  <c r="C320" i="76" s="1"/>
  <c r="B352" i="76" s="1"/>
  <c r="B34" i="17"/>
  <c r="F28" i="17"/>
  <c r="F31" i="17"/>
  <c r="F33" i="17"/>
  <c r="E14" i="11"/>
  <c r="H32" i="11"/>
  <c r="E249" i="76" s="1"/>
  <c r="C352" i="76" s="1"/>
  <c r="F26" i="17"/>
  <c r="C3" i="18"/>
  <c r="A22" i="18"/>
  <c r="H37" i="11"/>
  <c r="E259" i="76" s="1"/>
  <c r="C354" i="76" s="1"/>
  <c r="J354" i="76" s="1"/>
  <c r="J14" i="11"/>
  <c r="G236" i="76" s="1"/>
  <c r="C413" i="76" s="1"/>
  <c r="B445" i="76" s="1"/>
  <c r="I445" i="76" s="1"/>
  <c r="D32" i="11"/>
  <c r="B30" i="17"/>
  <c r="C8" i="18"/>
  <c r="K21" i="9"/>
  <c r="B33" i="17"/>
  <c r="F32" i="11"/>
  <c r="C249" i="76" s="1"/>
  <c r="B320" i="76" s="1"/>
  <c r="L21" i="9"/>
  <c r="B28" i="17"/>
  <c r="E33" i="17"/>
  <c r="D34" i="11"/>
  <c r="D18" i="18"/>
  <c r="C206" i="76" s="1"/>
  <c r="J451" i="76"/>
  <c r="E483" i="76"/>
  <c r="I483" i="76" s="1"/>
  <c r="C31" i="17"/>
  <c r="E32" i="17"/>
  <c r="F18" i="11"/>
  <c r="C240" i="76" s="1"/>
  <c r="B318" i="76" s="1"/>
  <c r="B417" i="76"/>
  <c r="B426" i="76" s="1"/>
  <c r="C426" i="76" s="1"/>
  <c r="I132" i="76"/>
  <c r="I136" i="76"/>
  <c r="B29" i="17"/>
  <c r="C30" i="17"/>
  <c r="E31" i="17"/>
  <c r="F32" i="17"/>
  <c r="G33" i="17"/>
  <c r="E2" i="18"/>
  <c r="C10" i="18"/>
  <c r="D10" i="18"/>
  <c r="J32" i="11"/>
  <c r="G249" i="76" s="1"/>
  <c r="C416" i="76" s="1"/>
  <c r="B448" i="76" s="1"/>
  <c r="I37" i="11"/>
  <c r="F259" i="76" s="1"/>
  <c r="C386" i="76" s="1"/>
  <c r="N22" i="9"/>
  <c r="I135" i="76"/>
  <c r="I139" i="76"/>
  <c r="B27" i="17"/>
  <c r="C28" i="17"/>
  <c r="E29" i="17"/>
  <c r="F30" i="17"/>
  <c r="G31" i="17"/>
  <c r="D2" i="18"/>
  <c r="C4" i="18"/>
  <c r="D7" i="18"/>
  <c r="E10" i="18"/>
  <c r="G18" i="11"/>
  <c r="D240" i="76" s="1"/>
  <c r="C318" i="76" s="1"/>
  <c r="B350" i="76" s="1"/>
  <c r="E30" i="17"/>
  <c r="G32" i="17"/>
  <c r="C27" i="11"/>
  <c r="K27" i="11"/>
  <c r="H254" i="76" s="1"/>
  <c r="C449" i="76" s="1"/>
  <c r="H14" i="11"/>
  <c r="E236" i="76" s="1"/>
  <c r="C349" i="76" s="1"/>
  <c r="J382" i="76"/>
  <c r="D27" i="11"/>
  <c r="B37" i="11"/>
  <c r="B450" i="76"/>
  <c r="I450" i="76" s="1"/>
  <c r="J418" i="76"/>
  <c r="B26" i="17"/>
  <c r="C27" i="17"/>
  <c r="E28" i="17"/>
  <c r="F29" i="17"/>
  <c r="G30" i="17"/>
  <c r="E7" i="18"/>
  <c r="B7" i="18" s="1"/>
  <c r="A24" i="18"/>
  <c r="C29" i="17"/>
  <c r="J18" i="11"/>
  <c r="G240" i="76" s="1"/>
  <c r="C414" i="76" s="1"/>
  <c r="G29" i="11"/>
  <c r="D256" i="76" s="1"/>
  <c r="F321" i="76" s="1"/>
  <c r="I134" i="76"/>
  <c r="I138" i="76"/>
  <c r="C26" i="17"/>
  <c r="E27" i="17"/>
  <c r="G29" i="17"/>
  <c r="C34" i="17"/>
  <c r="E4" i="18"/>
  <c r="C6" i="18"/>
  <c r="D9" i="18"/>
  <c r="A21" i="18"/>
  <c r="E25" i="18"/>
  <c r="E213" i="76" s="1"/>
  <c r="B131" i="76"/>
  <c r="I131" i="76" s="1"/>
  <c r="J450" i="76"/>
  <c r="B482" i="76"/>
  <c r="B14" i="11"/>
  <c r="J413" i="76"/>
  <c r="C18" i="11"/>
  <c r="K18" i="11"/>
  <c r="H240" i="76" s="1"/>
  <c r="C446" i="76" s="1"/>
  <c r="D37" i="11"/>
  <c r="E26" i="17"/>
  <c r="F27" i="17"/>
  <c r="G28" i="17"/>
  <c r="B32" i="17"/>
  <c r="C33" i="17"/>
  <c r="E34" i="17"/>
  <c r="D6" i="18"/>
  <c r="B8" i="18"/>
  <c r="E9" i="18"/>
  <c r="C11" i="18"/>
  <c r="A18" i="18"/>
  <c r="G27" i="11"/>
  <c r="D254" i="76" s="1"/>
  <c r="C321" i="76" s="1"/>
  <c r="B353" i="76" s="1"/>
  <c r="B362" i="76" s="1"/>
  <c r="C362" i="76" s="1"/>
  <c r="E37" i="11"/>
  <c r="I133" i="76"/>
  <c r="I137" i="76"/>
  <c r="B140" i="76"/>
  <c r="B155" i="76" s="1"/>
  <c r="H21" i="9"/>
  <c r="G27" i="17"/>
  <c r="B31" i="17"/>
  <c r="F34" i="17"/>
  <c r="E6" i="18"/>
  <c r="B6" i="18" s="1"/>
  <c r="D11" i="18"/>
  <c r="A23" i="18"/>
  <c r="I152" i="72"/>
  <c r="F115" i="76" s="1"/>
  <c r="A39" i="76"/>
  <c r="A58" i="76" s="1"/>
  <c r="E118" i="76"/>
  <c r="I158" i="72"/>
  <c r="I160" i="72"/>
  <c r="J75" i="72"/>
  <c r="K75" i="72" s="1"/>
  <c r="L75" i="72" s="1"/>
  <c r="J99" i="72"/>
  <c r="K99" i="72" s="1"/>
  <c r="L99" i="72" s="1"/>
  <c r="I156" i="72"/>
  <c r="E116" i="76"/>
  <c r="E117" i="76"/>
  <c r="E121" i="76"/>
  <c r="J51" i="72"/>
  <c r="K51" i="72" s="1"/>
  <c r="L51" i="72" s="1"/>
  <c r="I155" i="72"/>
  <c r="E119" i="76"/>
  <c r="I13" i="17"/>
  <c r="I154" i="72"/>
  <c r="D22" i="11"/>
  <c r="I157" i="72"/>
  <c r="I159" i="72"/>
  <c r="C12" i="9"/>
  <c r="H22" i="11"/>
  <c r="E244" i="76" s="1"/>
  <c r="J3" i="72"/>
  <c r="K3" i="72" s="1"/>
  <c r="L3" i="72" s="1"/>
  <c r="J15" i="72"/>
  <c r="K15" i="72" s="1"/>
  <c r="L15" i="72" s="1"/>
  <c r="I153" i="72"/>
  <c r="F116" i="76" s="1"/>
  <c r="I17" i="17"/>
  <c r="I20" i="17"/>
  <c r="B22" i="11"/>
  <c r="I11" i="17"/>
  <c r="F22" i="11"/>
  <c r="C244" i="76" s="1"/>
  <c r="G22" i="11"/>
  <c r="I16" i="17"/>
  <c r="I14" i="17"/>
  <c r="I18" i="17"/>
  <c r="D27" i="17"/>
  <c r="I22" i="11"/>
  <c r="K14" i="17"/>
  <c r="K18" i="17"/>
  <c r="D28" i="17"/>
  <c r="I15" i="17"/>
  <c r="I19" i="17"/>
  <c r="D29" i="17"/>
  <c r="C22" i="11"/>
  <c r="K22" i="11"/>
  <c r="K15" i="17"/>
  <c r="K19" i="17"/>
  <c r="D30" i="17"/>
  <c r="I12" i="17"/>
  <c r="C50" i="11" s="1"/>
  <c r="D31" i="17"/>
  <c r="E22" i="11"/>
  <c r="K12" i="17"/>
  <c r="K16" i="17"/>
  <c r="K20" i="17"/>
  <c r="D32" i="17"/>
  <c r="D33" i="17"/>
  <c r="K13" i="17"/>
  <c r="K17" i="17"/>
  <c r="D26" i="17"/>
  <c r="D34" i="17"/>
  <c r="A71" i="76"/>
  <c r="H71" i="76"/>
  <c r="A116" i="76"/>
  <c r="A132" i="76" s="1"/>
  <c r="A147" i="76" s="1"/>
  <c r="A205" i="76" s="1"/>
  <c r="E24" i="76"/>
  <c r="H31" i="76"/>
  <c r="H28" i="76"/>
  <c r="E28" i="76"/>
  <c r="E31" i="76"/>
  <c r="B31" i="76"/>
  <c r="F33" i="76"/>
  <c r="F31" i="76"/>
  <c r="F27" i="76"/>
  <c r="E32" i="76"/>
  <c r="F30" i="76"/>
  <c r="H24" i="76"/>
  <c r="E30" i="76"/>
  <c r="F25" i="76"/>
  <c r="H32" i="76"/>
  <c r="H30" i="76"/>
  <c r="H29" i="76"/>
  <c r="H27" i="76"/>
  <c r="H26" i="76"/>
  <c r="H33" i="76"/>
  <c r="G30" i="76"/>
  <c r="G31" i="76"/>
  <c r="G29" i="76"/>
  <c r="G28" i="76"/>
  <c r="G27" i="76"/>
  <c r="G26" i="76"/>
  <c r="G33" i="76"/>
  <c r="G25" i="76"/>
  <c r="G32" i="76"/>
  <c r="F29" i="76"/>
  <c r="F28" i="76"/>
  <c r="F26" i="76"/>
  <c r="F32" i="76"/>
  <c r="E29" i="76"/>
  <c r="E27" i="76"/>
  <c r="E26" i="76"/>
  <c r="E33" i="76"/>
  <c r="B30" i="76"/>
  <c r="B29" i="76"/>
  <c r="B27" i="76"/>
  <c r="B28" i="76"/>
  <c r="B26" i="76"/>
  <c r="B33" i="76"/>
  <c r="B25" i="76"/>
  <c r="B32" i="76"/>
  <c r="A11" i="76"/>
  <c r="A73" i="76" s="1"/>
  <c r="A117" i="76"/>
  <c r="A133" i="76" s="1"/>
  <c r="A148" i="76" s="1"/>
  <c r="A206" i="76" s="1"/>
  <c r="A72" i="76"/>
  <c r="A40" i="76"/>
  <c r="A59" i="76" s="1"/>
  <c r="A26" i="76"/>
  <c r="E152" i="76"/>
  <c r="F153" i="76"/>
  <c r="B149" i="76"/>
  <c r="F155" i="76"/>
  <c r="G147" i="76"/>
  <c r="G151" i="76"/>
  <c r="F150" i="76"/>
  <c r="F154" i="76"/>
  <c r="G150" i="76"/>
  <c r="C148" i="76"/>
  <c r="D153" i="76"/>
  <c r="E154" i="76"/>
  <c r="G155" i="76"/>
  <c r="E149" i="76"/>
  <c r="F151" i="76"/>
  <c r="G154" i="76"/>
  <c r="F147" i="76"/>
  <c r="F148" i="76"/>
  <c r="G152" i="76"/>
  <c r="G153" i="76"/>
  <c r="G148" i="76"/>
  <c r="B150" i="76"/>
  <c r="F144" i="76"/>
  <c r="F159" i="76"/>
  <c r="G144" i="76"/>
  <c r="G159" i="76"/>
  <c r="A165" i="76"/>
  <c r="A176" i="76"/>
  <c r="B159" i="76"/>
  <c r="B144" i="76"/>
  <c r="C159" i="76"/>
  <c r="C144" i="76"/>
  <c r="A194" i="76"/>
  <c r="A178" i="76"/>
  <c r="A191" i="76" s="1"/>
  <c r="A197" i="76" s="1"/>
  <c r="D144" i="76"/>
  <c r="D159" i="76"/>
  <c r="E144" i="76"/>
  <c r="E159" i="76"/>
  <c r="A179" i="76"/>
  <c r="A192" i="76" s="1"/>
  <c r="A198" i="76" s="1"/>
  <c r="A195" i="76"/>
  <c r="D147" i="76"/>
  <c r="B152" i="76"/>
  <c r="A68" i="76"/>
  <c r="E147" i="76"/>
  <c r="D148" i="76"/>
  <c r="C151" i="76"/>
  <c r="C152" i="76"/>
  <c r="F152" i="76"/>
  <c r="A57" i="76"/>
  <c r="E148" i="76"/>
  <c r="D149" i="76"/>
  <c r="D150" i="76"/>
  <c r="C153" i="76"/>
  <c r="C155" i="76"/>
  <c r="F149" i="76"/>
  <c r="E150" i="76"/>
  <c r="D151" i="76"/>
  <c r="D152" i="76"/>
  <c r="D154" i="76"/>
  <c r="C147" i="76"/>
  <c r="B148" i="76"/>
  <c r="B154" i="76"/>
  <c r="C154" i="76"/>
  <c r="G149" i="76"/>
  <c r="B151" i="76"/>
  <c r="B153" i="76"/>
  <c r="E151" i="76"/>
  <c r="E153" i="76"/>
  <c r="H5" i="11" l="1"/>
  <c r="F121" i="76"/>
  <c r="B12" i="9"/>
  <c r="B124" i="76" s="1"/>
  <c r="K4" i="11"/>
  <c r="H227" i="76" s="1"/>
  <c r="I5" i="11"/>
  <c r="F228" i="76" s="1"/>
  <c r="F229" i="76" s="1"/>
  <c r="F122" i="76"/>
  <c r="F10" i="9"/>
  <c r="C120" i="76"/>
  <c r="D120" i="76" s="1"/>
  <c r="F120" i="76"/>
  <c r="D12" i="9"/>
  <c r="E12" i="9" s="1"/>
  <c r="D5" i="11"/>
  <c r="D6" i="11" s="1"/>
  <c r="F117" i="76"/>
  <c r="C119" i="76"/>
  <c r="D119" i="76" s="1"/>
  <c r="F119" i="76"/>
  <c r="E5" i="11"/>
  <c r="E6" i="11" s="1"/>
  <c r="F118" i="76"/>
  <c r="B41" i="76" s="1"/>
  <c r="C11" i="9"/>
  <c r="D11" i="9" s="1"/>
  <c r="E11" i="9" s="1"/>
  <c r="F123" i="76"/>
  <c r="F5" i="9"/>
  <c r="D41" i="17"/>
  <c r="J51" i="11"/>
  <c r="I51" i="11"/>
  <c r="F10" i="11"/>
  <c r="B12" i="76" s="1"/>
  <c r="C11" i="76"/>
  <c r="C16" i="76"/>
  <c r="C232" i="76" a="1"/>
  <c r="H232" i="76" s="1"/>
  <c r="F7" i="9"/>
  <c r="C10" i="76"/>
  <c r="C9" i="76"/>
  <c r="F4" i="9"/>
  <c r="K47" i="11"/>
  <c r="C51" i="11"/>
  <c r="F11" i="9"/>
  <c r="D24" i="76" a="1"/>
  <c r="D24" i="76" s="1"/>
  <c r="C14" i="76"/>
  <c r="C15" i="76"/>
  <c r="F9" i="9"/>
  <c r="H51" i="11"/>
  <c r="H64" i="11" s="1"/>
  <c r="I64" i="11"/>
  <c r="C150" i="76"/>
  <c r="G47" i="11"/>
  <c r="G64" i="11" s="1"/>
  <c r="D269" i="76"/>
  <c r="C64" i="11"/>
  <c r="E64" i="11"/>
  <c r="H50" i="11"/>
  <c r="I31" i="17"/>
  <c r="F50" i="11"/>
  <c r="I29" i="17"/>
  <c r="G50" i="11"/>
  <c r="I30" i="17"/>
  <c r="I50" i="11"/>
  <c r="I32" i="17"/>
  <c r="D50" i="11"/>
  <c r="I27" i="17"/>
  <c r="K50" i="11"/>
  <c r="I34" i="17"/>
  <c r="C41" i="17"/>
  <c r="J50" i="11"/>
  <c r="I33" i="17"/>
  <c r="E50" i="11"/>
  <c r="I28" i="17"/>
  <c r="B50" i="11"/>
  <c r="I26" i="17"/>
  <c r="G232" i="76"/>
  <c r="E478" i="76"/>
  <c r="F3" i="9"/>
  <c r="E446" i="76"/>
  <c r="E455" i="76" s="1"/>
  <c r="F455" i="76" s="1"/>
  <c r="C241" i="76"/>
  <c r="F47" i="11"/>
  <c r="F64" i="11" s="1"/>
  <c r="E382" i="76"/>
  <c r="E391" i="76" s="1"/>
  <c r="F391" i="76" s="1"/>
  <c r="C24" i="76" a="1"/>
  <c r="B51" i="11"/>
  <c r="B64" i="11" s="1"/>
  <c r="E414" i="76"/>
  <c r="E423" i="76" s="1"/>
  <c r="F423" i="76" s="1"/>
  <c r="K51" i="11"/>
  <c r="K64" i="11" s="1"/>
  <c r="K10" i="11"/>
  <c r="B17" i="76" s="1"/>
  <c r="C17" i="76" s="1"/>
  <c r="F12" i="9"/>
  <c r="E350" i="76"/>
  <c r="I350" i="76" s="1"/>
  <c r="J64" i="11"/>
  <c r="J123" i="72"/>
  <c r="K123" i="72" s="1"/>
  <c r="L123" i="72" s="1"/>
  <c r="C123" i="76"/>
  <c r="D123" i="76" s="1"/>
  <c r="C124" i="76"/>
  <c r="D124" i="76" s="1"/>
  <c r="J381" i="76"/>
  <c r="I363" i="76"/>
  <c r="J363" i="76" s="1"/>
  <c r="B3" i="18"/>
  <c r="C24" i="11" s="1"/>
  <c r="J385" i="76"/>
  <c r="B39" i="17"/>
  <c r="B61" i="17" s="1"/>
  <c r="B457" i="76"/>
  <c r="C457" i="76" s="1"/>
  <c r="H156" i="76"/>
  <c r="H61" i="17"/>
  <c r="E417" i="76"/>
  <c r="I417" i="76" s="1"/>
  <c r="C39" i="17"/>
  <c r="G39" i="17"/>
  <c r="E39" i="17"/>
  <c r="B363" i="76"/>
  <c r="C363" i="76" s="1"/>
  <c r="B386" i="76"/>
  <c r="B395" i="76" s="1"/>
  <c r="C395" i="76" s="1"/>
  <c r="J445" i="76"/>
  <c r="I454" i="76" s="1"/>
  <c r="J454" i="76" s="1"/>
  <c r="J350" i="76"/>
  <c r="E46" i="11"/>
  <c r="F11" i="76" s="1"/>
  <c r="E29" i="11"/>
  <c r="C34" i="11"/>
  <c r="B147" i="76"/>
  <c r="D46" i="11"/>
  <c r="F10" i="76" s="1"/>
  <c r="C43" i="11"/>
  <c r="J46" i="11"/>
  <c r="J63" i="11" s="1"/>
  <c r="D19" i="18"/>
  <c r="C207" i="76" s="1"/>
  <c r="E34" i="11"/>
  <c r="B5" i="18"/>
  <c r="F5" i="18" s="1"/>
  <c r="E52" i="11" s="1"/>
  <c r="E43" i="11"/>
  <c r="J355" i="76"/>
  <c r="G167" i="76"/>
  <c r="G172" i="76" s="1"/>
  <c r="G173" i="76" s="1"/>
  <c r="M22" i="9"/>
  <c r="M23" i="9" s="1"/>
  <c r="B459" i="76"/>
  <c r="C459" i="76" s="1"/>
  <c r="G268" i="76"/>
  <c r="D22" i="18"/>
  <c r="C210" i="76" s="1"/>
  <c r="J352" i="76"/>
  <c r="B454" i="76"/>
  <c r="C454" i="76" s="1"/>
  <c r="B384" i="76"/>
  <c r="B393" i="76" s="1"/>
  <c r="C393" i="76" s="1"/>
  <c r="I459" i="76"/>
  <c r="J459" i="76" s="1"/>
  <c r="B361" i="76"/>
  <c r="C361" i="76" s="1"/>
  <c r="E167" i="76"/>
  <c r="E172" i="76" s="1"/>
  <c r="E173" i="76" s="1"/>
  <c r="L22" i="9"/>
  <c r="L23" i="9" s="1"/>
  <c r="C22" i="18"/>
  <c r="D210" i="76" s="1"/>
  <c r="H29" i="11"/>
  <c r="E256" i="76" s="1"/>
  <c r="F353" i="76" s="1"/>
  <c r="F39" i="17"/>
  <c r="F167" i="76"/>
  <c r="F172" i="76" s="1"/>
  <c r="F173" i="76" s="1"/>
  <c r="K22" i="9"/>
  <c r="K23" i="9" s="1"/>
  <c r="C17" i="18"/>
  <c r="D205" i="76" s="1"/>
  <c r="C29" i="11"/>
  <c r="F24" i="11"/>
  <c r="F6" i="18"/>
  <c r="F52" i="11" s="1"/>
  <c r="B20" i="18"/>
  <c r="B208" i="76" s="1"/>
  <c r="B18" i="18"/>
  <c r="F4" i="18"/>
  <c r="D52" i="11" s="1"/>
  <c r="D24" i="11"/>
  <c r="B21" i="18"/>
  <c r="B209" i="76" s="1"/>
  <c r="F7" i="18"/>
  <c r="G52" i="11" s="1"/>
  <c r="G24" i="11"/>
  <c r="B422" i="76"/>
  <c r="C422" i="76" s="1"/>
  <c r="I413" i="76"/>
  <c r="I422" i="76" s="1"/>
  <c r="J422" i="76" s="1"/>
  <c r="B423" i="76"/>
  <c r="C423" i="76" s="1"/>
  <c r="B446" i="76"/>
  <c r="J414" i="76"/>
  <c r="J349" i="76"/>
  <c r="I358" i="76" s="1"/>
  <c r="J358" i="76" s="1"/>
  <c r="B381" i="76"/>
  <c r="B358" i="76"/>
  <c r="C358" i="76" s="1"/>
  <c r="J446" i="76"/>
  <c r="B478" i="76"/>
  <c r="N23" i="9"/>
  <c r="C24" i="18"/>
  <c r="D212" i="76" s="1"/>
  <c r="J29" i="11"/>
  <c r="G256" i="76" s="1"/>
  <c r="B167" i="76"/>
  <c r="B172" i="76" s="1"/>
  <c r="H22" i="9"/>
  <c r="B418" i="76"/>
  <c r="J386" i="76"/>
  <c r="E23" i="18"/>
  <c r="E211" i="76" s="1"/>
  <c r="I43" i="11"/>
  <c r="F265" i="76" s="1"/>
  <c r="F387" i="76" s="1"/>
  <c r="B213" i="76"/>
  <c r="K24" i="11"/>
  <c r="F11" i="18"/>
  <c r="K52" i="11" s="1"/>
  <c r="J43" i="11"/>
  <c r="G265" i="76" s="1"/>
  <c r="F419" i="76" s="1"/>
  <c r="E24" i="18"/>
  <c r="E212" i="76" s="1"/>
  <c r="B43" i="11"/>
  <c r="E16" i="18"/>
  <c r="I140" i="76"/>
  <c r="C25" i="18"/>
  <c r="D213" i="76" s="1"/>
  <c r="K29" i="11"/>
  <c r="H256" i="76" s="1"/>
  <c r="B458" i="76"/>
  <c r="C458" i="76" s="1"/>
  <c r="B481" i="76"/>
  <c r="F43" i="11"/>
  <c r="C265" i="76" s="1"/>
  <c r="E323" i="76" s="1"/>
  <c r="I323" i="76" s="1"/>
  <c r="E20" i="18"/>
  <c r="E208" i="76" s="1"/>
  <c r="H24" i="11"/>
  <c r="F8" i="18"/>
  <c r="H52" i="11" s="1"/>
  <c r="B22" i="18"/>
  <c r="B210" i="76" s="1"/>
  <c r="D23" i="18"/>
  <c r="C211" i="76" s="1"/>
  <c r="I34" i="11"/>
  <c r="F251" i="76" s="1"/>
  <c r="B425" i="76"/>
  <c r="C425" i="76" s="1"/>
  <c r="B359" i="76"/>
  <c r="C359" i="76" s="1"/>
  <c r="B9" i="18"/>
  <c r="B2" i="18"/>
  <c r="C46" i="11"/>
  <c r="F9" i="76" s="1"/>
  <c r="B46" i="11"/>
  <c r="F8" i="76" s="1"/>
  <c r="F34" i="11"/>
  <c r="C251" i="76" s="1"/>
  <c r="D20" i="18"/>
  <c r="C208" i="76" s="1"/>
  <c r="F29" i="11"/>
  <c r="C256" i="76" s="1"/>
  <c r="C20" i="18"/>
  <c r="D208" i="76" s="1"/>
  <c r="G34" i="11"/>
  <c r="D251" i="76" s="1"/>
  <c r="D21" i="18"/>
  <c r="C209" i="76" s="1"/>
  <c r="D24" i="18"/>
  <c r="C212" i="76" s="1"/>
  <c r="J34" i="11"/>
  <c r="G251" i="76" s="1"/>
  <c r="F416" i="76" s="1"/>
  <c r="B10" i="18"/>
  <c r="F46" i="11"/>
  <c r="F63" i="11" s="1"/>
  <c r="D43" i="11"/>
  <c r="E18" i="18"/>
  <c r="E206" i="76" s="1"/>
  <c r="B391" i="76"/>
  <c r="C391" i="76" s="1"/>
  <c r="D29" i="11"/>
  <c r="C18" i="18"/>
  <c r="D25" i="18"/>
  <c r="C213" i="76" s="1"/>
  <c r="K34" i="11"/>
  <c r="H251" i="76" s="1"/>
  <c r="F448" i="76" s="1"/>
  <c r="I482" i="76"/>
  <c r="E353" i="76"/>
  <c r="E21" i="18"/>
  <c r="E209" i="76" s="1"/>
  <c r="G43" i="11"/>
  <c r="D265" i="76" s="1"/>
  <c r="F323" i="76" s="1"/>
  <c r="D16" i="18"/>
  <c r="B34" i="11"/>
  <c r="C121" i="76"/>
  <c r="D121" i="76" s="1"/>
  <c r="L474" i="76"/>
  <c r="B319" i="76"/>
  <c r="E268" i="76"/>
  <c r="C351" i="76"/>
  <c r="B447" i="76"/>
  <c r="C420" i="76"/>
  <c r="A85" i="76"/>
  <c r="C268" i="76"/>
  <c r="B311" i="76"/>
  <c r="K5" i="11"/>
  <c r="K6" i="11" s="1"/>
  <c r="J5" i="11"/>
  <c r="J6" i="11" s="1"/>
  <c r="C9" i="9"/>
  <c r="D9" i="9" s="1"/>
  <c r="E9" i="9" s="1"/>
  <c r="H46" i="11"/>
  <c r="H63" i="11" s="1"/>
  <c r="C10" i="9"/>
  <c r="D10" i="9" s="1"/>
  <c r="E10" i="9" s="1"/>
  <c r="G5" i="11"/>
  <c r="D228" i="76" s="1"/>
  <c r="D229" i="76" s="1"/>
  <c r="F5" i="11"/>
  <c r="C228" i="76" s="1"/>
  <c r="C229" i="76" s="1"/>
  <c r="C122" i="76"/>
  <c r="D122" i="76" s="1"/>
  <c r="C8" i="9"/>
  <c r="D8" i="9" s="1"/>
  <c r="E8" i="9" s="1"/>
  <c r="L313" i="76"/>
  <c r="C7" i="9"/>
  <c r="D7" i="9" s="1"/>
  <c r="E7" i="9" s="1"/>
  <c r="C5" i="9"/>
  <c r="D5" i="9" s="1"/>
  <c r="E5" i="9" s="1"/>
  <c r="C6" i="9"/>
  <c r="D6" i="9" s="1"/>
  <c r="E6" i="9" s="1"/>
  <c r="C117" i="76"/>
  <c r="D117" i="76" s="1"/>
  <c r="C118" i="76"/>
  <c r="D118" i="76" s="1"/>
  <c r="I6" i="11"/>
  <c r="E115" i="76"/>
  <c r="G40" i="76"/>
  <c r="E120" i="76"/>
  <c r="E124" i="76"/>
  <c r="E122" i="76"/>
  <c r="E123" i="76"/>
  <c r="C115" i="76"/>
  <c r="D115" i="76" s="1"/>
  <c r="C3" i="9"/>
  <c r="D3" i="9" s="1"/>
  <c r="E3" i="9" s="1"/>
  <c r="G115" i="76"/>
  <c r="B5" i="11"/>
  <c r="B6" i="11" s="1"/>
  <c r="J124" i="72"/>
  <c r="K124" i="72" s="1"/>
  <c r="L124" i="72" s="1"/>
  <c r="C116" i="76"/>
  <c r="D116" i="76" s="1"/>
  <c r="C4" i="9"/>
  <c r="D4" i="9" s="1"/>
  <c r="E4" i="9" s="1"/>
  <c r="C5" i="11"/>
  <c r="C6" i="11" s="1"/>
  <c r="G39" i="76"/>
  <c r="D244" i="76"/>
  <c r="G46" i="11"/>
  <c r="H244" i="76"/>
  <c r="K46" i="11"/>
  <c r="F244" i="76"/>
  <c r="I46" i="11"/>
  <c r="H76" i="76"/>
  <c r="H70" i="76"/>
  <c r="H74" i="76"/>
  <c r="H79" i="76"/>
  <c r="H75" i="76"/>
  <c r="H78" i="76"/>
  <c r="H77" i="76"/>
  <c r="H72" i="76"/>
  <c r="H73" i="76"/>
  <c r="A86" i="76"/>
  <c r="A27" i="76"/>
  <c r="A118" i="76"/>
  <c r="A134" i="76" s="1"/>
  <c r="A149" i="76" s="1"/>
  <c r="A207" i="76" s="1"/>
  <c r="A12" i="76"/>
  <c r="A119" i="76" s="1"/>
  <c r="A135" i="76" s="1"/>
  <c r="A150" i="76" s="1"/>
  <c r="A208" i="76" s="1"/>
  <c r="A41" i="76"/>
  <c r="A87" i="76" s="1"/>
  <c r="A221" i="76"/>
  <c r="A170" i="76"/>
  <c r="E176" i="76"/>
  <c r="E182" i="76" s="1"/>
  <c r="E189" i="76" s="1"/>
  <c r="C202" i="76" s="1"/>
  <c r="C218" i="76" s="1"/>
  <c r="E165" i="76"/>
  <c r="C176" i="76"/>
  <c r="C182" i="76" s="1"/>
  <c r="C189" i="76" s="1"/>
  <c r="C165" i="76"/>
  <c r="G176" i="76"/>
  <c r="G182" i="76" s="1"/>
  <c r="G189" i="76" s="1"/>
  <c r="G165" i="76"/>
  <c r="D176" i="76"/>
  <c r="D182" i="76" s="1"/>
  <c r="D189" i="76" s="1"/>
  <c r="D165" i="76"/>
  <c r="B165" i="76"/>
  <c r="B176" i="76"/>
  <c r="B182" i="76" s="1"/>
  <c r="F176" i="76"/>
  <c r="F182" i="76" s="1"/>
  <c r="F189" i="76" s="1"/>
  <c r="D202" i="76" s="1"/>
  <c r="D218" i="76" s="1"/>
  <c r="F165" i="76"/>
  <c r="A220" i="76"/>
  <c r="H6" i="11" l="1"/>
  <c r="E228" i="76"/>
  <c r="E229" i="76" s="1"/>
  <c r="D232" i="76"/>
  <c r="C232" i="76"/>
  <c r="F232" i="76"/>
  <c r="D32" i="76"/>
  <c r="D28" i="76"/>
  <c r="C13" i="76"/>
  <c r="C12" i="76"/>
  <c r="D31" i="76"/>
  <c r="D45" i="76" s="1"/>
  <c r="E232" i="76"/>
  <c r="D29" i="76"/>
  <c r="D43" i="76" s="1"/>
  <c r="D26" i="76"/>
  <c r="D33" i="76"/>
  <c r="D30" i="76"/>
  <c r="D44" i="76" s="1"/>
  <c r="D25" i="76"/>
  <c r="D27" i="76"/>
  <c r="D41" i="76" s="1"/>
  <c r="E63" i="11"/>
  <c r="I414" i="76"/>
  <c r="I423" i="76" s="1"/>
  <c r="J423" i="76" s="1"/>
  <c r="I446" i="76"/>
  <c r="I382" i="76"/>
  <c r="I391" i="76" s="1"/>
  <c r="J391" i="76" s="1"/>
  <c r="G11" i="76"/>
  <c r="F16" i="9"/>
  <c r="I231" i="76" s="1"/>
  <c r="J231" i="76" s="1"/>
  <c r="D63" i="11"/>
  <c r="E359" i="76"/>
  <c r="F359" i="76" s="1"/>
  <c r="B63" i="11"/>
  <c r="I359" i="76"/>
  <c r="J359" i="76" s="1"/>
  <c r="F288" i="76"/>
  <c r="E296" i="76" s="1"/>
  <c r="F296" i="76" s="1"/>
  <c r="C269" i="76"/>
  <c r="E318" i="76"/>
  <c r="E327" i="76" s="1"/>
  <c r="F327" i="76" s="1"/>
  <c r="C24" i="76"/>
  <c r="I24" i="76" s="1"/>
  <c r="C27" i="76"/>
  <c r="C26" i="76"/>
  <c r="I26" i="76" s="1"/>
  <c r="C25" i="76"/>
  <c r="C28" i="76"/>
  <c r="C33" i="76"/>
  <c r="I33" i="76" s="1"/>
  <c r="C32" i="76"/>
  <c r="I32" i="76" s="1"/>
  <c r="C31" i="76"/>
  <c r="C30" i="76"/>
  <c r="I30" i="76" s="1"/>
  <c r="C29" i="76"/>
  <c r="I29" i="76" s="1"/>
  <c r="B206" i="76"/>
  <c r="G228" i="76"/>
  <c r="G229" i="76" s="1"/>
  <c r="B101" i="76"/>
  <c r="F40" i="76"/>
  <c r="G6" i="11"/>
  <c r="I386" i="76"/>
  <c r="H62" i="17"/>
  <c r="H72" i="17"/>
  <c r="B62" i="17"/>
  <c r="B72" i="17"/>
  <c r="F3" i="18"/>
  <c r="C52" i="11" s="1"/>
  <c r="E24" i="11"/>
  <c r="E48" i="11" s="1"/>
  <c r="E65" i="11" s="1"/>
  <c r="B17" i="18"/>
  <c r="B19" i="18"/>
  <c r="B207" i="76" s="1"/>
  <c r="F156" i="76"/>
  <c r="E61" i="17"/>
  <c r="C61" i="17"/>
  <c r="C63" i="11"/>
  <c r="E156" i="76"/>
  <c r="F61" i="17"/>
  <c r="G156" i="76"/>
  <c r="G61" i="17"/>
  <c r="C48" i="11"/>
  <c r="F16" i="76"/>
  <c r="C156" i="76"/>
  <c r="I455" i="76"/>
  <c r="J455" i="76" s="1"/>
  <c r="B455" i="76"/>
  <c r="C455" i="76" s="1"/>
  <c r="I384" i="76"/>
  <c r="E385" i="76"/>
  <c r="J353" i="76"/>
  <c r="G9" i="76"/>
  <c r="E320" i="76"/>
  <c r="G320" i="76" s="1"/>
  <c r="F290" i="76"/>
  <c r="E298" i="76" s="1"/>
  <c r="F298" i="76" s="1"/>
  <c r="E204" i="76"/>
  <c r="E419" i="76"/>
  <c r="J387" i="76"/>
  <c r="I396" i="76" s="1"/>
  <c r="J396" i="76" s="1"/>
  <c r="E396" i="76"/>
  <c r="F396" i="76" s="1"/>
  <c r="B390" i="76"/>
  <c r="C390" i="76" s="1"/>
  <c r="I381" i="76"/>
  <c r="I390" i="76" s="1"/>
  <c r="J390" i="76" s="1"/>
  <c r="D246" i="76"/>
  <c r="F319" i="76" s="1"/>
  <c r="E351" i="76" s="1"/>
  <c r="G48" i="11"/>
  <c r="G65" i="11" s="1"/>
  <c r="F320" i="76"/>
  <c r="E352" i="76" s="1"/>
  <c r="F384" i="76"/>
  <c r="I478" i="76"/>
  <c r="B156" i="76"/>
  <c r="E321" i="76"/>
  <c r="E330" i="76" s="1"/>
  <c r="F330" i="76" s="1"/>
  <c r="F291" i="76"/>
  <c r="E299" i="76" s="1"/>
  <c r="F299" i="76" s="1"/>
  <c r="B427" i="76"/>
  <c r="C427" i="76" s="1"/>
  <c r="I418" i="76"/>
  <c r="I427" i="76" s="1"/>
  <c r="J427" i="76" s="1"/>
  <c r="D48" i="11"/>
  <c r="D65" i="11" s="1"/>
  <c r="C204" i="76"/>
  <c r="I395" i="76"/>
  <c r="J395" i="76" s="1"/>
  <c r="B24" i="11"/>
  <c r="B48" i="11" s="1"/>
  <c r="B52" i="11"/>
  <c r="F449" i="76"/>
  <c r="J419" i="76"/>
  <c r="E451" i="76"/>
  <c r="H23" i="9"/>
  <c r="J448" i="76"/>
  <c r="E480" i="76"/>
  <c r="I480" i="76" s="1"/>
  <c r="F12" i="76"/>
  <c r="G12" i="76" s="1"/>
  <c r="E355" i="76"/>
  <c r="J323" i="76"/>
  <c r="I332" i="76" s="1"/>
  <c r="J332" i="76" s="1"/>
  <c r="E332" i="76"/>
  <c r="F332" i="76" s="1"/>
  <c r="J24" i="11"/>
  <c r="B24" i="18"/>
  <c r="B212" i="76" s="1"/>
  <c r="F10" i="18"/>
  <c r="J52" i="11" s="1"/>
  <c r="B173" i="76"/>
  <c r="F9" i="18"/>
  <c r="I52" i="11" s="1"/>
  <c r="I24" i="11"/>
  <c r="B23" i="18"/>
  <c r="B211" i="76" s="1"/>
  <c r="E246" i="76"/>
  <c r="H48" i="11"/>
  <c r="H65" i="11" s="1"/>
  <c r="H246" i="76"/>
  <c r="F447" i="76" s="1"/>
  <c r="K48" i="11"/>
  <c r="K65" i="11" s="1"/>
  <c r="F417" i="76"/>
  <c r="E448" i="76"/>
  <c r="I448" i="76" s="1"/>
  <c r="J416" i="76"/>
  <c r="I353" i="76"/>
  <c r="E362" i="76"/>
  <c r="F362" i="76" s="1"/>
  <c r="D206" i="76"/>
  <c r="C246" i="76"/>
  <c r="C270" i="76" s="1"/>
  <c r="F48" i="11"/>
  <c r="F65" i="11" s="1"/>
  <c r="F6" i="11"/>
  <c r="H228" i="76"/>
  <c r="H229" i="76" s="1"/>
  <c r="G483" i="76"/>
  <c r="G478" i="76"/>
  <c r="G477" i="76"/>
  <c r="G482" i="76"/>
  <c r="L441" i="76"/>
  <c r="L410" i="76"/>
  <c r="F268" i="76"/>
  <c r="C383" i="76"/>
  <c r="C319" i="76"/>
  <c r="B351" i="76" s="1"/>
  <c r="D17" i="76"/>
  <c r="L442" i="76"/>
  <c r="B452" i="76"/>
  <c r="H268" i="76"/>
  <c r="C447" i="76"/>
  <c r="B383" i="76"/>
  <c r="C356" i="76"/>
  <c r="L378" i="76"/>
  <c r="L409" i="76"/>
  <c r="G323" i="76"/>
  <c r="K323" i="76" s="1"/>
  <c r="G317" i="76"/>
  <c r="G322" i="76"/>
  <c r="F43" i="76"/>
  <c r="L345" i="76"/>
  <c r="L314" i="76"/>
  <c r="L377" i="76"/>
  <c r="L346" i="76"/>
  <c r="E40" i="76"/>
  <c r="D268" i="76"/>
  <c r="B40" i="76"/>
  <c r="G42" i="76"/>
  <c r="L284" i="76"/>
  <c r="D11" i="76"/>
  <c r="F41" i="76"/>
  <c r="E41" i="76"/>
  <c r="G118" i="76"/>
  <c r="H41" i="76"/>
  <c r="H87" i="76" s="1"/>
  <c r="G41" i="76"/>
  <c r="G119" i="76"/>
  <c r="B189" i="76"/>
  <c r="A275" i="76" a="1"/>
  <c r="D39" i="76"/>
  <c r="F47" i="76"/>
  <c r="F39" i="76"/>
  <c r="D9" i="76"/>
  <c r="B39" i="76"/>
  <c r="D16" i="76"/>
  <c r="D46" i="76"/>
  <c r="F46" i="76"/>
  <c r="G46" i="76"/>
  <c r="G123" i="76"/>
  <c r="B46" i="76"/>
  <c r="E46" i="76"/>
  <c r="H46" i="76"/>
  <c r="H92" i="76" s="1"/>
  <c r="B45" i="76"/>
  <c r="D15" i="76"/>
  <c r="B44" i="76"/>
  <c r="G121" i="76"/>
  <c r="D42" i="76"/>
  <c r="D10" i="76"/>
  <c r="G116" i="76"/>
  <c r="D40" i="76"/>
  <c r="C40" i="76"/>
  <c r="F14" i="76"/>
  <c r="F42" i="76"/>
  <c r="E42" i="76"/>
  <c r="D12" i="76"/>
  <c r="H42" i="76"/>
  <c r="H88" i="76" s="1"/>
  <c r="B42" i="76"/>
  <c r="H43" i="76"/>
  <c r="H89" i="76" s="1"/>
  <c r="C42" i="76"/>
  <c r="B43" i="76"/>
  <c r="G45" i="76"/>
  <c r="G117" i="76"/>
  <c r="H40" i="76"/>
  <c r="H86" i="76" s="1"/>
  <c r="H38" i="76"/>
  <c r="H84" i="76" s="1"/>
  <c r="D14" i="76"/>
  <c r="G44" i="76"/>
  <c r="C44" i="76"/>
  <c r="H45" i="76"/>
  <c r="H91" i="76" s="1"/>
  <c r="F44" i="76"/>
  <c r="H44" i="76"/>
  <c r="H90" i="76" s="1"/>
  <c r="G122" i="76"/>
  <c r="E44" i="76"/>
  <c r="H47" i="76"/>
  <c r="H93" i="76" s="1"/>
  <c r="G43" i="76"/>
  <c r="G120" i="76"/>
  <c r="E45" i="76"/>
  <c r="F45" i="76"/>
  <c r="C38" i="76"/>
  <c r="F38" i="76"/>
  <c r="D8" i="76"/>
  <c r="G38" i="76"/>
  <c r="B38" i="76"/>
  <c r="D38" i="76"/>
  <c r="D13" i="76"/>
  <c r="E38" i="76"/>
  <c r="E47" i="76"/>
  <c r="G124" i="76"/>
  <c r="E43" i="76"/>
  <c r="G47" i="76"/>
  <c r="J125" i="72"/>
  <c r="K125" i="72" s="1"/>
  <c r="L125" i="72" s="1"/>
  <c r="D47" i="76"/>
  <c r="E39" i="76"/>
  <c r="H39" i="76"/>
  <c r="H85" i="76" s="1"/>
  <c r="G10" i="76"/>
  <c r="G63" i="11"/>
  <c r="F13" i="76"/>
  <c r="K63" i="11"/>
  <c r="F17" i="76"/>
  <c r="B43" i="17"/>
  <c r="D39" i="17"/>
  <c r="D61" i="17" s="1"/>
  <c r="D72" i="17" s="1"/>
  <c r="I63" i="11"/>
  <c r="F15" i="76"/>
  <c r="A28" i="76"/>
  <c r="A74" i="76"/>
  <c r="A13" i="76"/>
  <c r="A120" i="76" s="1"/>
  <c r="A136" i="76" s="1"/>
  <c r="A151" i="76" s="1"/>
  <c r="A209" i="76" s="1"/>
  <c r="A60" i="76"/>
  <c r="A88" i="76"/>
  <c r="C170" i="76"/>
  <c r="F170" i="76"/>
  <c r="D170" i="76"/>
  <c r="E170" i="76"/>
  <c r="B202" i="76"/>
  <c r="B218" i="76" s="1"/>
  <c r="A243" i="76"/>
  <c r="B170" i="76"/>
  <c r="G170" i="76"/>
  <c r="I28" i="76" l="1"/>
  <c r="I31" i="76"/>
  <c r="I25" i="76"/>
  <c r="I27" i="76"/>
  <c r="B205" i="76"/>
  <c r="C39" i="76"/>
  <c r="C45" i="76"/>
  <c r="I45" i="76" s="1"/>
  <c r="G318" i="76"/>
  <c r="C46" i="76"/>
  <c r="C43" i="76"/>
  <c r="I43" i="76" s="1"/>
  <c r="C41" i="76"/>
  <c r="I41" i="76" s="1"/>
  <c r="C47" i="76"/>
  <c r="E10" i="76"/>
  <c r="C65" i="11"/>
  <c r="G62" i="17"/>
  <c r="G72" i="17"/>
  <c r="D62" i="17"/>
  <c r="H73" i="17"/>
  <c r="H74" i="17" s="1"/>
  <c r="H75" i="17" s="1"/>
  <c r="H76" i="17" s="1"/>
  <c r="H77" i="17" s="1"/>
  <c r="C62" i="17"/>
  <c r="C72" i="17"/>
  <c r="E62" i="17"/>
  <c r="E72" i="17"/>
  <c r="F62" i="17"/>
  <c r="F72" i="17"/>
  <c r="B73" i="17"/>
  <c r="G17" i="76"/>
  <c r="D270" i="76"/>
  <c r="I385" i="76"/>
  <c r="I394" i="76" s="1"/>
  <c r="J394" i="76" s="1"/>
  <c r="E394" i="76"/>
  <c r="F394" i="76" s="1"/>
  <c r="I362" i="76"/>
  <c r="J362" i="76" s="1"/>
  <c r="G321" i="76"/>
  <c r="H270" i="76"/>
  <c r="J449" i="76"/>
  <c r="E481" i="76"/>
  <c r="E457" i="76"/>
  <c r="F457" i="76" s="1"/>
  <c r="E428" i="76"/>
  <c r="F428" i="76" s="1"/>
  <c r="I419" i="76"/>
  <c r="I428" i="76" s="1"/>
  <c r="J428" i="76" s="1"/>
  <c r="C215" i="76"/>
  <c r="D28" i="18"/>
  <c r="G246" i="76"/>
  <c r="J48" i="11"/>
  <c r="J65" i="11" s="1"/>
  <c r="G480" i="76"/>
  <c r="K480" i="76" s="1"/>
  <c r="E319" i="76"/>
  <c r="F289" i="76"/>
  <c r="E297" i="76" s="1"/>
  <c r="F297" i="76" s="1"/>
  <c r="E479" i="76"/>
  <c r="G479" i="76" s="1"/>
  <c r="I457" i="76"/>
  <c r="J457" i="76" s="1"/>
  <c r="B204" i="76"/>
  <c r="E416" i="76"/>
  <c r="J384" i="76"/>
  <c r="I393" i="76" s="1"/>
  <c r="J393" i="76" s="1"/>
  <c r="E393" i="76"/>
  <c r="F393" i="76" s="1"/>
  <c r="E215" i="76"/>
  <c r="E28" i="18"/>
  <c r="B65" i="11"/>
  <c r="J417" i="76"/>
  <c r="I426" i="76" s="1"/>
  <c r="J426" i="76" s="1"/>
  <c r="E449" i="76"/>
  <c r="I449" i="76" s="1"/>
  <c r="E426" i="76"/>
  <c r="F426" i="76" s="1"/>
  <c r="D215" i="76"/>
  <c r="C28" i="18"/>
  <c r="F351" i="76"/>
  <c r="H351" i="76" s="1"/>
  <c r="E270" i="76"/>
  <c r="E364" i="76"/>
  <c r="F364" i="76" s="1"/>
  <c r="I355" i="76"/>
  <c r="I364" i="76" s="1"/>
  <c r="J364" i="76" s="1"/>
  <c r="I451" i="76"/>
  <c r="I460" i="76" s="1"/>
  <c r="J460" i="76" s="1"/>
  <c r="E460" i="76"/>
  <c r="F460" i="76" s="1"/>
  <c r="E361" i="76"/>
  <c r="F361" i="76" s="1"/>
  <c r="I352" i="76"/>
  <c r="I361" i="76" s="1"/>
  <c r="J361" i="76" s="1"/>
  <c r="F246" i="76"/>
  <c r="I48" i="11"/>
  <c r="I65" i="11" s="1"/>
  <c r="E329" i="76"/>
  <c r="F329" i="76" s="1"/>
  <c r="E17" i="76"/>
  <c r="B392" i="76"/>
  <c r="B388" i="76"/>
  <c r="G353" i="76"/>
  <c r="K353" i="76" s="1"/>
  <c r="G351" i="76"/>
  <c r="K351" i="76" s="1"/>
  <c r="G355" i="76"/>
  <c r="K355" i="76" s="1"/>
  <c r="G350" i="76"/>
  <c r="K350" i="76" s="1"/>
  <c r="G352" i="76"/>
  <c r="K352" i="76" s="1"/>
  <c r="G354" i="76"/>
  <c r="K354" i="76" s="1"/>
  <c r="G349" i="76"/>
  <c r="K349" i="76" s="1"/>
  <c r="B415" i="76"/>
  <c r="C388" i="76"/>
  <c r="B479" i="76"/>
  <c r="B456" i="76"/>
  <c r="C452" i="76"/>
  <c r="J447" i="76"/>
  <c r="G419" i="76"/>
  <c r="K419" i="76" s="1"/>
  <c r="G414" i="76"/>
  <c r="K414" i="76" s="1"/>
  <c r="G416" i="76"/>
  <c r="K416" i="76" s="1"/>
  <c r="G418" i="76"/>
  <c r="K418" i="76" s="1"/>
  <c r="G417" i="76"/>
  <c r="K417" i="76" s="1"/>
  <c r="G413" i="76"/>
  <c r="K413" i="76" s="1"/>
  <c r="H386" i="76"/>
  <c r="H382" i="76"/>
  <c r="H387" i="76"/>
  <c r="H381" i="76"/>
  <c r="H384" i="76"/>
  <c r="H385" i="76"/>
  <c r="H417" i="76"/>
  <c r="H418" i="76"/>
  <c r="H416" i="76"/>
  <c r="H414" i="76"/>
  <c r="H413" i="76"/>
  <c r="H419" i="76"/>
  <c r="G385" i="76"/>
  <c r="K385" i="76" s="1"/>
  <c r="G381" i="76"/>
  <c r="K381" i="76" s="1"/>
  <c r="G387" i="76"/>
  <c r="K387" i="76" s="1"/>
  <c r="G384" i="76"/>
  <c r="K384" i="76" s="1"/>
  <c r="G386" i="76"/>
  <c r="K386" i="76" s="1"/>
  <c r="G382" i="76"/>
  <c r="K382" i="76" s="1"/>
  <c r="C324" i="76"/>
  <c r="G448" i="76"/>
  <c r="K448" i="76" s="1"/>
  <c r="G446" i="76"/>
  <c r="K446" i="76" s="1"/>
  <c r="G450" i="76"/>
  <c r="K450" i="76" s="1"/>
  <c r="G451" i="76"/>
  <c r="K451" i="76" s="1"/>
  <c r="G445" i="76"/>
  <c r="K445" i="76" s="1"/>
  <c r="K483" i="76"/>
  <c r="K477" i="76"/>
  <c r="K478" i="76"/>
  <c r="K482" i="76"/>
  <c r="B356" i="76"/>
  <c r="I351" i="76"/>
  <c r="H318" i="76"/>
  <c r="H322" i="76"/>
  <c r="H319" i="76"/>
  <c r="H321" i="76"/>
  <c r="H317" i="76"/>
  <c r="H320" i="76"/>
  <c r="H323" i="76"/>
  <c r="H445" i="76"/>
  <c r="H446" i="76"/>
  <c r="H450" i="76"/>
  <c r="H451" i="76"/>
  <c r="H448" i="76"/>
  <c r="H449" i="76"/>
  <c r="H447" i="76"/>
  <c r="H354" i="76"/>
  <c r="H349" i="76"/>
  <c r="H352" i="76"/>
  <c r="H355" i="76"/>
  <c r="H350" i="76"/>
  <c r="H353" i="76"/>
  <c r="B360" i="76"/>
  <c r="E11" i="76"/>
  <c r="E12" i="76"/>
  <c r="G290" i="76"/>
  <c r="K290" i="76" s="1"/>
  <c r="G291" i="76"/>
  <c r="K291" i="76" s="1"/>
  <c r="G288" i="76"/>
  <c r="K288" i="76" s="1"/>
  <c r="G292" i="76"/>
  <c r="K292" i="76" s="1"/>
  <c r="G287" i="76"/>
  <c r="K287" i="76" s="1"/>
  <c r="G289" i="76"/>
  <c r="K289" i="76" s="1"/>
  <c r="H290" i="76"/>
  <c r="H287" i="76"/>
  <c r="H291" i="76"/>
  <c r="H288" i="76"/>
  <c r="H292" i="76"/>
  <c r="D307" i="76"/>
  <c r="E307" i="76" s="1"/>
  <c r="C311" i="76"/>
  <c r="D311" i="76" s="1"/>
  <c r="E311" i="76" s="1"/>
  <c r="G15" i="76"/>
  <c r="E9" i="76"/>
  <c r="E15" i="76"/>
  <c r="A276" i="76"/>
  <c r="A279" i="76"/>
  <c r="A280" i="76"/>
  <c r="A275" i="76"/>
  <c r="A277" i="76"/>
  <c r="A278" i="76"/>
  <c r="I39" i="76"/>
  <c r="E16" i="76"/>
  <c r="I46" i="76"/>
  <c r="I44" i="76"/>
  <c r="G14" i="76"/>
  <c r="I38" i="76"/>
  <c r="E14" i="76"/>
  <c r="I42" i="76"/>
  <c r="I47" i="76"/>
  <c r="I40" i="76"/>
  <c r="J126" i="72"/>
  <c r="K126" i="72" s="1"/>
  <c r="L126" i="72" s="1"/>
  <c r="E13" i="76"/>
  <c r="G13" i="76"/>
  <c r="G16" i="76"/>
  <c r="D156" i="76"/>
  <c r="A29" i="76"/>
  <c r="A14" i="76"/>
  <c r="A44" i="76" s="1"/>
  <c r="A63" i="76" s="1"/>
  <c r="A43" i="76"/>
  <c r="A89" i="76" s="1"/>
  <c r="A75" i="76"/>
  <c r="H79" i="17" l="1"/>
  <c r="H21" i="17" s="1"/>
  <c r="F73" i="17"/>
  <c r="F74" i="17" s="1"/>
  <c r="F75" i="17" s="1"/>
  <c r="F76" i="17" s="1"/>
  <c r="F77" i="17" s="1"/>
  <c r="D73" i="17"/>
  <c r="D74" i="17" s="1"/>
  <c r="D75" i="17" s="1"/>
  <c r="D76" i="17" s="1"/>
  <c r="D77" i="17" s="1"/>
  <c r="E73" i="17"/>
  <c r="E74" i="17" s="1"/>
  <c r="E75" i="17" s="1"/>
  <c r="E76" i="17" s="1"/>
  <c r="E77" i="17" s="1"/>
  <c r="G73" i="17"/>
  <c r="G74" i="17" s="1"/>
  <c r="G75" i="17" s="1"/>
  <c r="G76" i="17" s="1"/>
  <c r="G77" i="17" s="1"/>
  <c r="G79" i="17" s="1"/>
  <c r="G21" i="17" s="1"/>
  <c r="C73" i="17"/>
  <c r="C74" i="17" s="1"/>
  <c r="C75" i="17" s="1"/>
  <c r="C76" i="17" s="1"/>
  <c r="C77" i="17" s="1"/>
  <c r="B74" i="17"/>
  <c r="H289" i="76"/>
  <c r="G297" i="76" s="1"/>
  <c r="H297" i="76" s="1"/>
  <c r="E458" i="76"/>
  <c r="F458" i="76" s="1"/>
  <c r="G481" i="76"/>
  <c r="K481" i="76" s="1"/>
  <c r="I481" i="76"/>
  <c r="G449" i="76"/>
  <c r="K449" i="76" s="1"/>
  <c r="F383" i="76"/>
  <c r="F270" i="76"/>
  <c r="I458" i="76"/>
  <c r="J458" i="76" s="1"/>
  <c r="E383" i="76"/>
  <c r="E360" i="76"/>
  <c r="F360" i="76" s="1"/>
  <c r="J351" i="76"/>
  <c r="I360" i="76" s="1"/>
  <c r="J360" i="76" s="1"/>
  <c r="F415" i="76"/>
  <c r="G270" i="76"/>
  <c r="B28" i="18"/>
  <c r="B215" i="76"/>
  <c r="E328" i="76"/>
  <c r="F328" i="76" s="1"/>
  <c r="G319" i="76"/>
  <c r="G328" i="76" s="1"/>
  <c r="H328" i="76" s="1"/>
  <c r="E425" i="76"/>
  <c r="F425" i="76" s="1"/>
  <c r="I416" i="76"/>
  <c r="I425" i="76" s="1"/>
  <c r="J425" i="76" s="1"/>
  <c r="K479" i="76"/>
  <c r="C360" i="76"/>
  <c r="B365" i="76"/>
  <c r="C365" i="76" s="1"/>
  <c r="L350" i="76"/>
  <c r="K359" i="76" s="1"/>
  <c r="L359" i="76" s="1"/>
  <c r="G359" i="76"/>
  <c r="H359" i="76" s="1"/>
  <c r="L447" i="76"/>
  <c r="L382" i="76"/>
  <c r="K391" i="76" s="1"/>
  <c r="L391" i="76" s="1"/>
  <c r="G391" i="76"/>
  <c r="H391" i="76" s="1"/>
  <c r="L451" i="76"/>
  <c r="K460" i="76" s="1"/>
  <c r="L460" i="76" s="1"/>
  <c r="G460" i="76"/>
  <c r="H460" i="76" s="1"/>
  <c r="L353" i="76"/>
  <c r="K362" i="76" s="1"/>
  <c r="L362" i="76" s="1"/>
  <c r="G362" i="76"/>
  <c r="H362" i="76" s="1"/>
  <c r="B420" i="76"/>
  <c r="B424" i="76"/>
  <c r="G364" i="76"/>
  <c r="H364" i="76" s="1"/>
  <c r="L355" i="76"/>
  <c r="K364" i="76" s="1"/>
  <c r="L364" i="76" s="1"/>
  <c r="L446" i="76"/>
  <c r="K455" i="76" s="1"/>
  <c r="L455" i="76" s="1"/>
  <c r="G455" i="76"/>
  <c r="H455" i="76" s="1"/>
  <c r="L418" i="76"/>
  <c r="K427" i="76" s="1"/>
  <c r="L427" i="76" s="1"/>
  <c r="G427" i="76"/>
  <c r="H427" i="76" s="1"/>
  <c r="G395" i="76"/>
  <c r="H395" i="76" s="1"/>
  <c r="L386" i="76"/>
  <c r="K395" i="76" s="1"/>
  <c r="L395" i="76" s="1"/>
  <c r="L352" i="76"/>
  <c r="K361" i="76" s="1"/>
  <c r="L361" i="76" s="1"/>
  <c r="G361" i="76"/>
  <c r="H361" i="76" s="1"/>
  <c r="L449" i="76"/>
  <c r="L445" i="76"/>
  <c r="K454" i="76" s="1"/>
  <c r="L454" i="76" s="1"/>
  <c r="G454" i="76"/>
  <c r="H454" i="76" s="1"/>
  <c r="G426" i="76"/>
  <c r="H426" i="76" s="1"/>
  <c r="L417" i="76"/>
  <c r="K426" i="76" s="1"/>
  <c r="L426" i="76" s="1"/>
  <c r="L349" i="76"/>
  <c r="K358" i="76" s="1"/>
  <c r="L358" i="76" s="1"/>
  <c r="G358" i="76"/>
  <c r="H358" i="76" s="1"/>
  <c r="L448" i="76"/>
  <c r="K457" i="76" s="1"/>
  <c r="L457" i="76" s="1"/>
  <c r="G457" i="76"/>
  <c r="H457" i="76" s="1"/>
  <c r="C456" i="76"/>
  <c r="B461" i="76"/>
  <c r="C461" i="76" s="1"/>
  <c r="L381" i="76"/>
  <c r="K390" i="76" s="1"/>
  <c r="L390" i="76" s="1"/>
  <c r="G390" i="76"/>
  <c r="H390" i="76" s="1"/>
  <c r="L450" i="76"/>
  <c r="K459" i="76" s="1"/>
  <c r="L459" i="76" s="1"/>
  <c r="G459" i="76"/>
  <c r="H459" i="76" s="1"/>
  <c r="G425" i="76"/>
  <c r="H425" i="76" s="1"/>
  <c r="L416" i="76"/>
  <c r="K425" i="76" s="1"/>
  <c r="L425" i="76" s="1"/>
  <c r="L351" i="76"/>
  <c r="K360" i="76" s="1"/>
  <c r="L360" i="76" s="1"/>
  <c r="G360" i="76"/>
  <c r="H360" i="76" s="1"/>
  <c r="L419" i="76"/>
  <c r="K428" i="76" s="1"/>
  <c r="L428" i="76" s="1"/>
  <c r="G428" i="76"/>
  <c r="H428" i="76" s="1"/>
  <c r="G394" i="76"/>
  <c r="H394" i="76" s="1"/>
  <c r="L385" i="76"/>
  <c r="K394" i="76" s="1"/>
  <c r="L394" i="76" s="1"/>
  <c r="B484" i="76"/>
  <c r="I479" i="76"/>
  <c r="G423" i="76"/>
  <c r="H423" i="76" s="1"/>
  <c r="L414" i="76"/>
  <c r="K423" i="76" s="1"/>
  <c r="L423" i="76" s="1"/>
  <c r="L387" i="76"/>
  <c r="K396" i="76" s="1"/>
  <c r="L396" i="76" s="1"/>
  <c r="G396" i="76"/>
  <c r="H396" i="76" s="1"/>
  <c r="G363" i="76"/>
  <c r="H363" i="76" s="1"/>
  <c r="L354" i="76"/>
  <c r="K363" i="76" s="1"/>
  <c r="L363" i="76" s="1"/>
  <c r="G332" i="76"/>
  <c r="H332" i="76" s="1"/>
  <c r="L323" i="76"/>
  <c r="K332" i="76" s="1"/>
  <c r="L332" i="76" s="1"/>
  <c r="G422" i="76"/>
  <c r="H422" i="76" s="1"/>
  <c r="L413" i="76"/>
  <c r="K422" i="76" s="1"/>
  <c r="L422" i="76" s="1"/>
  <c r="G393" i="76"/>
  <c r="H393" i="76" s="1"/>
  <c r="L384" i="76"/>
  <c r="K393" i="76" s="1"/>
  <c r="L393" i="76" s="1"/>
  <c r="C392" i="76"/>
  <c r="B397" i="76"/>
  <c r="C397" i="76" s="1"/>
  <c r="G330" i="76"/>
  <c r="H330" i="76" s="1"/>
  <c r="G299" i="76"/>
  <c r="H299" i="76" s="1"/>
  <c r="G298" i="76"/>
  <c r="H298" i="76" s="1"/>
  <c r="G296" i="76"/>
  <c r="H296" i="76" s="1"/>
  <c r="G295" i="76"/>
  <c r="H295" i="76" s="1"/>
  <c r="G326" i="76"/>
  <c r="H326" i="76" s="1"/>
  <c r="G329" i="76"/>
  <c r="H329" i="76" s="1"/>
  <c r="G300" i="76"/>
  <c r="H300" i="76" s="1"/>
  <c r="G327" i="76"/>
  <c r="H327" i="76" s="1"/>
  <c r="J127" i="72"/>
  <c r="K127" i="72" s="1"/>
  <c r="L127" i="72" s="1"/>
  <c r="A15" i="76"/>
  <c r="A45" i="76" s="1"/>
  <c r="A64" i="76" s="1"/>
  <c r="A30" i="76"/>
  <c r="A62" i="76"/>
  <c r="A76" i="76"/>
  <c r="A90" i="76"/>
  <c r="A121" i="76"/>
  <c r="A137" i="76" s="1"/>
  <c r="A152" i="76" s="1"/>
  <c r="A210" i="76" s="1"/>
  <c r="C79" i="17" l="1"/>
  <c r="C21" i="17" s="1"/>
  <c r="L37" i="11"/>
  <c r="I259" i="76" s="1"/>
  <c r="C482" i="76" s="1"/>
  <c r="G22" i="17"/>
  <c r="M27" i="9"/>
  <c r="M35" i="9" s="1"/>
  <c r="G161" i="76"/>
  <c r="G178" i="76" s="1"/>
  <c r="G191" i="76" s="1"/>
  <c r="F79" i="17"/>
  <c r="F21" i="17" s="1"/>
  <c r="H22" i="17"/>
  <c r="H161" i="76"/>
  <c r="H178" i="76" s="1"/>
  <c r="H191" i="76" s="1"/>
  <c r="N27" i="9"/>
  <c r="N35" i="9" s="1"/>
  <c r="E79" i="17"/>
  <c r="E21" i="17" s="1"/>
  <c r="D79" i="17"/>
  <c r="D21" i="17" s="1"/>
  <c r="B75" i="17"/>
  <c r="J415" i="76"/>
  <c r="E447" i="76"/>
  <c r="H415" i="76"/>
  <c r="G458" i="76"/>
  <c r="H458" i="76" s="1"/>
  <c r="G383" i="76"/>
  <c r="K383" i="76" s="1"/>
  <c r="I383" i="76"/>
  <c r="K458" i="76"/>
  <c r="L458" i="76" s="1"/>
  <c r="E392" i="76"/>
  <c r="F392" i="76" s="1"/>
  <c r="E415" i="76"/>
  <c r="E424" i="76" s="1"/>
  <c r="F424" i="76" s="1"/>
  <c r="J383" i="76"/>
  <c r="H383" i="76"/>
  <c r="C424" i="76"/>
  <c r="B429" i="76"/>
  <c r="C429" i="76" s="1"/>
  <c r="P17" i="17"/>
  <c r="J128" i="72"/>
  <c r="K128" i="72" s="1"/>
  <c r="L128" i="72" s="1"/>
  <c r="L129" i="72" s="1"/>
  <c r="A122" i="76"/>
  <c r="A138" i="76" s="1"/>
  <c r="A153" i="76" s="1"/>
  <c r="A211" i="76" s="1"/>
  <c r="A16" i="76"/>
  <c r="A46" i="76" s="1"/>
  <c r="A65" i="76" s="1"/>
  <c r="A31" i="76"/>
  <c r="A77" i="76"/>
  <c r="A91" i="76"/>
  <c r="D22" i="17" l="1"/>
  <c r="D161" i="76"/>
  <c r="L22" i="11"/>
  <c r="I244" i="76" s="1"/>
  <c r="C479" i="76" s="1"/>
  <c r="F161" i="76"/>
  <c r="F178" i="76" s="1"/>
  <c r="F191" i="76" s="1"/>
  <c r="K27" i="9"/>
  <c r="K35" i="9" s="1"/>
  <c r="L27" i="11"/>
  <c r="E22" i="17"/>
  <c r="H162" i="76"/>
  <c r="H179" i="76" s="1"/>
  <c r="H192" i="76" s="1"/>
  <c r="N28" i="9"/>
  <c r="N36" i="9" s="1"/>
  <c r="L27" i="9"/>
  <c r="L35" i="9" s="1"/>
  <c r="E161" i="76"/>
  <c r="E178" i="76" s="1"/>
  <c r="E191" i="76" s="1"/>
  <c r="F22" i="17"/>
  <c r="L32" i="11"/>
  <c r="L18" i="11"/>
  <c r="I240" i="76" s="1"/>
  <c r="C478" i="76" s="1"/>
  <c r="C22" i="17"/>
  <c r="C161" i="76"/>
  <c r="M28" i="9"/>
  <c r="M36" i="9" s="1"/>
  <c r="G162" i="76"/>
  <c r="G179" i="76" s="1"/>
  <c r="G192" i="76" s="1"/>
  <c r="M37" i="11"/>
  <c r="B491" i="76"/>
  <c r="C491" i="76" s="1"/>
  <c r="B514" i="76"/>
  <c r="B76" i="17"/>
  <c r="I392" i="76"/>
  <c r="J392" i="76" s="1"/>
  <c r="L415" i="76"/>
  <c r="G415" i="76"/>
  <c r="K415" i="76" s="1"/>
  <c r="I415" i="76"/>
  <c r="I424" i="76" s="1"/>
  <c r="J424" i="76" s="1"/>
  <c r="I447" i="76"/>
  <c r="I456" i="76" s="1"/>
  <c r="J456" i="76" s="1"/>
  <c r="G447" i="76"/>
  <c r="E456" i="76"/>
  <c r="F456" i="76" s="1"/>
  <c r="L383" i="76"/>
  <c r="K392" i="76" s="1"/>
  <c r="L392" i="76" s="1"/>
  <c r="G392" i="76"/>
  <c r="H392" i="76" s="1"/>
  <c r="P18" i="17"/>
  <c r="H129" i="72"/>
  <c r="A32" i="76"/>
  <c r="A78" i="76"/>
  <c r="A92" i="76"/>
  <c r="A17" i="76"/>
  <c r="A47" i="76" s="1"/>
  <c r="A66" i="76" s="1"/>
  <c r="A123" i="76"/>
  <c r="A139" i="76" s="1"/>
  <c r="A154" i="76" s="1"/>
  <c r="A212" i="76" s="1"/>
  <c r="M22" i="11" l="1"/>
  <c r="D162" i="76"/>
  <c r="C162" i="76"/>
  <c r="M18" i="11"/>
  <c r="F162" i="76"/>
  <c r="F179" i="76" s="1"/>
  <c r="F192" i="76" s="1"/>
  <c r="M27" i="11"/>
  <c r="J254" i="76" s="1"/>
  <c r="K28" i="9"/>
  <c r="K36" i="9" s="1"/>
  <c r="B510" i="76"/>
  <c r="B487" i="76"/>
  <c r="C487" i="76" s="1"/>
  <c r="I254" i="76"/>
  <c r="I249" i="76"/>
  <c r="C480" i="76" s="1"/>
  <c r="E57" i="76" a="1"/>
  <c r="J259" i="76"/>
  <c r="G57" i="76" a="1"/>
  <c r="E162" i="76"/>
  <c r="E179" i="76" s="1"/>
  <c r="E192" i="76" s="1"/>
  <c r="M32" i="11"/>
  <c r="J249" i="76" s="1"/>
  <c r="L28" i="9"/>
  <c r="L36" i="9" s="1"/>
  <c r="B77" i="17"/>
  <c r="K424" i="76"/>
  <c r="L424" i="76" s="1"/>
  <c r="G424" i="76"/>
  <c r="H424" i="76" s="1"/>
  <c r="K447" i="76"/>
  <c r="K456" i="76" s="1"/>
  <c r="L456" i="76" s="1"/>
  <c r="G456" i="76"/>
  <c r="H456" i="76" s="1"/>
  <c r="B511" i="76"/>
  <c r="B488" i="76"/>
  <c r="P19" i="17"/>
  <c r="H130" i="72"/>
  <c r="A79" i="76"/>
  <c r="A124" i="76"/>
  <c r="A140" i="76" s="1"/>
  <c r="A155" i="76" s="1"/>
  <c r="A213" i="76" s="1"/>
  <c r="A93" i="76"/>
  <c r="A33" i="76"/>
  <c r="A94" i="76"/>
  <c r="A67" i="76"/>
  <c r="C512" i="76" l="1"/>
  <c r="C513" i="76"/>
  <c r="C514" i="76"/>
  <c r="B523" i="76" s="1"/>
  <c r="C523" i="76" s="1"/>
  <c r="E63" i="76"/>
  <c r="E66" i="76"/>
  <c r="E62" i="76"/>
  <c r="E57" i="76"/>
  <c r="E64" i="76"/>
  <c r="E65" i="76"/>
  <c r="E61" i="76"/>
  <c r="E60" i="76"/>
  <c r="E67" i="76"/>
  <c r="E59" i="76"/>
  <c r="E58" i="76"/>
  <c r="E68" i="76"/>
  <c r="C57" i="76" a="1"/>
  <c r="J240" i="76"/>
  <c r="B489" i="76"/>
  <c r="C489" i="76" s="1"/>
  <c r="B512" i="76"/>
  <c r="B521" i="76" s="1"/>
  <c r="C521" i="76" s="1"/>
  <c r="C481" i="76"/>
  <c r="G57" i="76"/>
  <c r="G60" i="76"/>
  <c r="G63" i="76"/>
  <c r="G61" i="76"/>
  <c r="G64" i="76"/>
  <c r="G67" i="76"/>
  <c r="G65" i="76"/>
  <c r="G68" i="76"/>
  <c r="G58" i="76"/>
  <c r="G62" i="76"/>
  <c r="G59" i="76"/>
  <c r="G66" i="76"/>
  <c r="F57" i="76" a="1"/>
  <c r="D57" i="76" a="1"/>
  <c r="J244" i="76"/>
  <c r="B79" i="17"/>
  <c r="B21" i="17" s="1"/>
  <c r="C488" i="76"/>
  <c r="P20" i="17"/>
  <c r="H131" i="72"/>
  <c r="C510" i="76" l="1"/>
  <c r="B519" i="76" s="1"/>
  <c r="C519" i="76" s="1"/>
  <c r="G74" i="76"/>
  <c r="G88" i="76"/>
  <c r="E73" i="76"/>
  <c r="E87" i="76"/>
  <c r="G86" i="76"/>
  <c r="G72" i="76"/>
  <c r="G76" i="76"/>
  <c r="G90" i="76"/>
  <c r="E88" i="76"/>
  <c r="E74" i="76"/>
  <c r="G89" i="76"/>
  <c r="G75" i="76"/>
  <c r="G73" i="76"/>
  <c r="G87" i="76"/>
  <c r="E78" i="76"/>
  <c r="E92" i="76"/>
  <c r="G85" i="76"/>
  <c r="G71" i="76"/>
  <c r="G70" i="76"/>
  <c r="G84" i="76"/>
  <c r="C59" i="76"/>
  <c r="C57" i="76"/>
  <c r="C63" i="76"/>
  <c r="C66" i="76"/>
  <c r="C60" i="76"/>
  <c r="C68" i="76"/>
  <c r="C62" i="76"/>
  <c r="C65" i="76"/>
  <c r="C58" i="76"/>
  <c r="C64" i="76"/>
  <c r="C61" i="76"/>
  <c r="C67" i="76"/>
  <c r="E77" i="76"/>
  <c r="E91" i="76"/>
  <c r="E84" i="76"/>
  <c r="E70" i="76"/>
  <c r="C511" i="76"/>
  <c r="G78" i="76"/>
  <c r="G92" i="76"/>
  <c r="E85" i="76"/>
  <c r="E71" i="76"/>
  <c r="E89" i="76"/>
  <c r="E75" i="76"/>
  <c r="D61" i="76"/>
  <c r="D66" i="76"/>
  <c r="D68" i="76"/>
  <c r="D58" i="76"/>
  <c r="D65" i="76"/>
  <c r="D64" i="76"/>
  <c r="D67" i="76"/>
  <c r="D62" i="76"/>
  <c r="D57" i="76"/>
  <c r="D59" i="76"/>
  <c r="D60" i="76"/>
  <c r="D63" i="76"/>
  <c r="E72" i="76"/>
  <c r="E86" i="76"/>
  <c r="E79" i="76"/>
  <c r="E93" i="76"/>
  <c r="H27" i="9"/>
  <c r="B22" i="17"/>
  <c r="B161" i="76"/>
  <c r="L14" i="11"/>
  <c r="I21" i="17"/>
  <c r="L50" i="11" s="1"/>
  <c r="K21" i="17"/>
  <c r="F68" i="76"/>
  <c r="F64" i="76"/>
  <c r="F57" i="76"/>
  <c r="F58" i="76"/>
  <c r="F60" i="76"/>
  <c r="F59" i="76"/>
  <c r="F62" i="76"/>
  <c r="F63" i="76"/>
  <c r="F66" i="76"/>
  <c r="F61" i="76"/>
  <c r="F67" i="76"/>
  <c r="F65" i="76"/>
  <c r="G77" i="76"/>
  <c r="G91" i="76"/>
  <c r="B513" i="76"/>
  <c r="B522" i="76" s="1"/>
  <c r="C522" i="76" s="1"/>
  <c r="B490" i="76"/>
  <c r="C490" i="76" s="1"/>
  <c r="E90" i="76"/>
  <c r="E76" i="76"/>
  <c r="G79" i="76"/>
  <c r="G93" i="76"/>
  <c r="P21" i="17"/>
  <c r="H132" i="72"/>
  <c r="F72" i="76" l="1"/>
  <c r="F86" i="76"/>
  <c r="I236" i="76"/>
  <c r="L46" i="11"/>
  <c r="D76" i="76"/>
  <c r="D90" i="76"/>
  <c r="D85" i="76"/>
  <c r="D71" i="76"/>
  <c r="C79" i="76"/>
  <c r="C93" i="76"/>
  <c r="F73" i="76"/>
  <c r="F87" i="76"/>
  <c r="B178" i="76"/>
  <c r="I161" i="76"/>
  <c r="D87" i="76"/>
  <c r="D73" i="76"/>
  <c r="C88" i="76"/>
  <c r="C74" i="76"/>
  <c r="C76" i="76"/>
  <c r="C90" i="76"/>
  <c r="F78" i="76"/>
  <c r="F92" i="76"/>
  <c r="F71" i="76"/>
  <c r="F85" i="76"/>
  <c r="H28" i="9"/>
  <c r="B162" i="76"/>
  <c r="M14" i="11"/>
  <c r="B57" i="76" s="1" a="1"/>
  <c r="K22" i="17"/>
  <c r="I22" i="17"/>
  <c r="M50" i="11" s="1"/>
  <c r="D86" i="76"/>
  <c r="D72" i="76"/>
  <c r="D79" i="76"/>
  <c r="D93" i="76"/>
  <c r="B520" i="76"/>
  <c r="C520" i="76" s="1"/>
  <c r="C77" i="76"/>
  <c r="C91" i="76"/>
  <c r="C84" i="76"/>
  <c r="C70" i="76"/>
  <c r="F70" i="76"/>
  <c r="F84" i="76"/>
  <c r="H35" i="9"/>
  <c r="D70" i="76"/>
  <c r="D84" i="76"/>
  <c r="D88" i="76"/>
  <c r="D74" i="76"/>
  <c r="C85" i="76"/>
  <c r="C71" i="76"/>
  <c r="C72" i="76"/>
  <c r="C86" i="76"/>
  <c r="F74" i="76"/>
  <c r="F88" i="76"/>
  <c r="F77" i="76"/>
  <c r="F91" i="76"/>
  <c r="D75" i="76"/>
  <c r="D89" i="76"/>
  <c r="C78" i="76"/>
  <c r="C92" i="76"/>
  <c r="F79" i="76"/>
  <c r="F93" i="76"/>
  <c r="C75" i="76"/>
  <c r="C89" i="76"/>
  <c r="F90" i="76"/>
  <c r="F76" i="76"/>
  <c r="D77" i="76"/>
  <c r="D91" i="76"/>
  <c r="F89" i="76"/>
  <c r="F75" i="76"/>
  <c r="D78" i="76"/>
  <c r="D92" i="76"/>
  <c r="C73" i="76"/>
  <c r="C87" i="76"/>
  <c r="B330" i="76"/>
  <c r="C330" i="76" s="1"/>
  <c r="J321" i="76"/>
  <c r="L321" i="76"/>
  <c r="I320" i="76"/>
  <c r="K320" i="76"/>
  <c r="J319" i="76"/>
  <c r="B328" i="76"/>
  <c r="C328" i="76" s="1"/>
  <c r="L319" i="76"/>
  <c r="I318" i="76"/>
  <c r="K318" i="76"/>
  <c r="I322" i="76"/>
  <c r="K322" i="76"/>
  <c r="B329" i="76"/>
  <c r="C329" i="76" s="1"/>
  <c r="J320" i="76"/>
  <c r="L320" i="76"/>
  <c r="I321" i="76"/>
  <c r="K321" i="76"/>
  <c r="J317" i="76"/>
  <c r="L317" i="76"/>
  <c r="B327" i="76"/>
  <c r="C327" i="76" s="1"/>
  <c r="J318" i="76"/>
  <c r="L318" i="76"/>
  <c r="E331" i="76"/>
  <c r="F331" i="76" s="1"/>
  <c r="J322" i="76"/>
  <c r="B331" i="76"/>
  <c r="C331" i="76" s="1"/>
  <c r="I319" i="76"/>
  <c r="K319" i="76"/>
  <c r="P22" i="17"/>
  <c r="P23" i="17" s="1"/>
  <c r="H133" i="72"/>
  <c r="B59" i="76" l="1"/>
  <c r="B57" i="76"/>
  <c r="B66" i="76"/>
  <c r="B58" i="76"/>
  <c r="B68" i="76"/>
  <c r="I68" i="76" s="1"/>
  <c r="B65" i="76"/>
  <c r="B60" i="76"/>
  <c r="B64" i="76"/>
  <c r="B62" i="76"/>
  <c r="B63" i="76"/>
  <c r="B67" i="76"/>
  <c r="I67" i="76" s="1"/>
  <c r="B61" i="76"/>
  <c r="B191" i="76"/>
  <c r="J236" i="76"/>
  <c r="M46" i="11"/>
  <c r="B179" i="76"/>
  <c r="I162" i="76"/>
  <c r="F18" i="76"/>
  <c r="G18" i="76" s="1"/>
  <c r="L63" i="11"/>
  <c r="H36" i="9"/>
  <c r="C477" i="76"/>
  <c r="I268" i="76"/>
  <c r="I328" i="76"/>
  <c r="J328" i="76" s="1"/>
  <c r="I331" i="76"/>
  <c r="J331" i="76" s="1"/>
  <c r="I327" i="76"/>
  <c r="J327" i="76" s="1"/>
  <c r="I329" i="76"/>
  <c r="J329" i="76" s="1"/>
  <c r="K330" i="76"/>
  <c r="L330" i="76" s="1"/>
  <c r="I330" i="76"/>
  <c r="J330" i="76" s="1"/>
  <c r="K327" i="76"/>
  <c r="L327" i="76" s="1"/>
  <c r="L322" i="76"/>
  <c r="K331" i="76" s="1"/>
  <c r="L331" i="76" s="1"/>
  <c r="G331" i="76"/>
  <c r="H331" i="76" s="1"/>
  <c r="K328" i="76"/>
  <c r="L328" i="76" s="1"/>
  <c r="K329" i="76"/>
  <c r="L329" i="76" s="1"/>
  <c r="Q11" i="17"/>
  <c r="H134" i="72"/>
  <c r="I162" i="72" l="1"/>
  <c r="B162" i="72"/>
  <c r="B165" i="72" s="1"/>
  <c r="M63" i="11"/>
  <c r="F19" i="76"/>
  <c r="G19" i="76" s="1"/>
  <c r="B77" i="76"/>
  <c r="B91" i="76"/>
  <c r="I64" i="76"/>
  <c r="B509" i="76"/>
  <c r="B486" i="76"/>
  <c r="C484" i="76"/>
  <c r="C509" i="76"/>
  <c r="C516" i="76" s="1"/>
  <c r="J268" i="76"/>
  <c r="B73" i="76"/>
  <c r="B87" i="76"/>
  <c r="I60" i="76"/>
  <c r="B78" i="76"/>
  <c r="B92" i="76"/>
  <c r="I65" i="76"/>
  <c r="B88" i="76"/>
  <c r="B74" i="76"/>
  <c r="I61" i="76"/>
  <c r="C287" i="76" a="1"/>
  <c r="B71" i="76"/>
  <c r="B85" i="76"/>
  <c r="I58" i="76"/>
  <c r="B79" i="76"/>
  <c r="B93" i="76"/>
  <c r="I66" i="76"/>
  <c r="B76" i="76"/>
  <c r="B90" i="76"/>
  <c r="I63" i="76"/>
  <c r="B84" i="76"/>
  <c r="B70" i="76"/>
  <c r="I57" i="76"/>
  <c r="B192" i="76"/>
  <c r="B75" i="76"/>
  <c r="B89" i="76"/>
  <c r="I62" i="76"/>
  <c r="B72" i="76"/>
  <c r="B86" i="76"/>
  <c r="I59" i="76"/>
  <c r="E125" i="76"/>
  <c r="Q12" i="17"/>
  <c r="H135" i="72"/>
  <c r="C125" i="76" l="1"/>
  <c r="F125" i="76"/>
  <c r="C13" i="9"/>
  <c r="G13" i="9" s="1"/>
  <c r="I165" i="72"/>
  <c r="J165" i="72" s="1"/>
  <c r="L5" i="11"/>
  <c r="I228" i="76" s="1"/>
  <c r="I232" i="76" s="1"/>
  <c r="C486" i="76"/>
  <c r="B493" i="76"/>
  <c r="C493" i="76" s="1"/>
  <c r="B518" i="76"/>
  <c r="B516" i="76"/>
  <c r="C289" i="76"/>
  <c r="C288" i="76"/>
  <c r="C287" i="76"/>
  <c r="C292" i="76"/>
  <c r="C291" i="76"/>
  <c r="C290" i="76"/>
  <c r="Q13" i="17"/>
  <c r="H136" i="72"/>
  <c r="C18" i="9" l="1"/>
  <c r="B300" i="76"/>
  <c r="C300" i="76" s="1"/>
  <c r="J292" i="76"/>
  <c r="I300" i="76" s="1"/>
  <c r="J300" i="76" s="1"/>
  <c r="L292" i="76"/>
  <c r="K300" i="76" s="1"/>
  <c r="L300" i="76" s="1"/>
  <c r="B317" i="76"/>
  <c r="L287" i="76"/>
  <c r="K295" i="76" s="1"/>
  <c r="L295" i="76" s="1"/>
  <c r="B295" i="76"/>
  <c r="C293" i="76"/>
  <c r="J287" i="76"/>
  <c r="I295" i="76" s="1"/>
  <c r="J295" i="76" s="1"/>
  <c r="B296" i="76"/>
  <c r="C296" i="76" s="1"/>
  <c r="J288" i="76"/>
  <c r="I296" i="76" s="1"/>
  <c r="J296" i="76" s="1"/>
  <c r="L288" i="76"/>
  <c r="K296" i="76" s="1"/>
  <c r="L296" i="76" s="1"/>
  <c r="B297" i="76"/>
  <c r="C297" i="76" s="1"/>
  <c r="L289" i="76"/>
  <c r="K297" i="76" s="1"/>
  <c r="L297" i="76" s="1"/>
  <c r="J289" i="76"/>
  <c r="I297" i="76" s="1"/>
  <c r="J297" i="76" s="1"/>
  <c r="C518" i="76"/>
  <c r="B525" i="76"/>
  <c r="C525" i="76" s="1"/>
  <c r="J291" i="76"/>
  <c r="I299" i="76" s="1"/>
  <c r="J299" i="76" s="1"/>
  <c r="B299" i="76"/>
  <c r="C299" i="76" s="1"/>
  <c r="L291" i="76"/>
  <c r="K299" i="76" s="1"/>
  <c r="L299" i="76" s="1"/>
  <c r="B298" i="76"/>
  <c r="C298" i="76" s="1"/>
  <c r="L290" i="76"/>
  <c r="K298" i="76" s="1"/>
  <c r="L298" i="76" s="1"/>
  <c r="J290" i="76"/>
  <c r="I298" i="76" s="1"/>
  <c r="J298" i="76" s="1"/>
  <c r="G31" i="9"/>
  <c r="L10" i="11"/>
  <c r="B18" i="76" s="1"/>
  <c r="G18" i="9"/>
  <c r="Q14" i="17"/>
  <c r="H137" i="72"/>
  <c r="B324" i="76" l="1"/>
  <c r="B326" i="76"/>
  <c r="I317" i="76"/>
  <c r="I326" i="76" s="1"/>
  <c r="J326" i="76" s="1"/>
  <c r="K317" i="76"/>
  <c r="K326" i="76" s="1"/>
  <c r="L326" i="76" s="1"/>
  <c r="B301" i="76"/>
  <c r="C301" i="76" s="1"/>
  <c r="C295" i="76"/>
  <c r="D18" i="76"/>
  <c r="E18" i="76" s="1"/>
  <c r="C18" i="76"/>
  <c r="Q15" i="17"/>
  <c r="H138" i="72"/>
  <c r="B333" i="76" l="1"/>
  <c r="C333" i="76" s="1"/>
  <c r="C326" i="76"/>
  <c r="Q16" i="17"/>
  <c r="H139" i="72"/>
  <c r="Q17" i="17" l="1"/>
  <c r="H140" i="72"/>
  <c r="Q18" i="17" l="1"/>
  <c r="H141" i="72"/>
  <c r="Q19" i="17" l="1"/>
  <c r="H142" i="72"/>
  <c r="Q20" i="17" l="1"/>
  <c r="H143" i="72"/>
  <c r="Q21" i="17" l="1"/>
  <c r="H144" i="72"/>
  <c r="Q22" i="17" l="1"/>
  <c r="Q23" i="17" s="1"/>
  <c r="H145" i="72"/>
  <c r="H146" i="72" l="1"/>
  <c r="I150" i="72" s="1"/>
  <c r="I163" i="72" l="1"/>
  <c r="I167" i="72" l="1"/>
  <c r="J167" i="72" s="1"/>
  <c r="F126" i="76"/>
  <c r="E126" i="76"/>
  <c r="M5" i="11"/>
  <c r="J228" i="76" s="1"/>
  <c r="C126" i="76"/>
  <c r="C14" i="9"/>
  <c r="G14" i="9" s="1"/>
  <c r="J232" i="76" l="1"/>
  <c r="C19" i="9"/>
  <c r="G32" i="9" l="1"/>
  <c r="M10" i="11"/>
  <c r="B19" i="76" s="1"/>
  <c r="G19" i="9"/>
  <c r="D19" i="76" l="1"/>
  <c r="E19" i="76" s="1"/>
  <c r="C19" i="76"/>
  <c r="I22" i="9" l="1"/>
  <c r="I23" i="9" s="1"/>
  <c r="I28" i="9" s="1"/>
  <c r="C167" i="76"/>
  <c r="C172" i="76" s="1"/>
  <c r="D167" i="76" l="1"/>
  <c r="D172" i="76" s="1"/>
  <c r="J22" i="9"/>
  <c r="C178" i="76"/>
  <c r="C191" i="76" s="1"/>
  <c r="C173" i="76"/>
  <c r="C179" i="76" s="1"/>
  <c r="I27" i="9"/>
  <c r="I35" i="9" s="1"/>
  <c r="I36" i="9"/>
  <c r="J23" i="9" l="1"/>
  <c r="J28" i="9" s="1"/>
  <c r="J27" i="9"/>
  <c r="J35" i="9" s="1"/>
  <c r="O35" i="9" s="1"/>
  <c r="D173" i="76"/>
  <c r="D179" i="76" s="1"/>
  <c r="D192" i="76" s="1"/>
  <c r="D178" i="76"/>
  <c r="C192" i="76"/>
  <c r="I192" i="76" l="1"/>
  <c r="G27" i="9"/>
  <c r="G35" i="9" s="1"/>
  <c r="K39" i="9" s="1"/>
  <c r="J36" i="9"/>
  <c r="O36" i="9" s="1"/>
  <c r="G28" i="9"/>
  <c r="G36" i="9" s="1"/>
  <c r="D191" i="76"/>
  <c r="I191" i="76" s="1"/>
  <c r="I178" i="76"/>
  <c r="I179" i="76"/>
  <c r="M39" i="9" l="1"/>
  <c r="M31" i="9" s="1"/>
  <c r="L38" i="11" s="1"/>
  <c r="M40" i="9"/>
  <c r="G195" i="76" s="1"/>
  <c r="G198" i="76" s="1"/>
  <c r="L40" i="9"/>
  <c r="L32" i="9" s="1"/>
  <c r="N39" i="9"/>
  <c r="H194" i="76" s="1"/>
  <c r="H197" i="76" s="1"/>
  <c r="H39" i="9"/>
  <c r="H31" i="9" s="1"/>
  <c r="L39" i="9"/>
  <c r="E194" i="76" s="1"/>
  <c r="E197" i="76" s="1"/>
  <c r="J39" i="9"/>
  <c r="D194" i="76" s="1"/>
  <c r="D197" i="76" s="1"/>
  <c r="K40" i="9"/>
  <c r="F195" i="76" s="1"/>
  <c r="F198" i="76" s="1"/>
  <c r="I39" i="9"/>
  <c r="C194" i="76" s="1"/>
  <c r="C197" i="76" s="1"/>
  <c r="H40" i="9"/>
  <c r="H32" i="9" s="1"/>
  <c r="N40" i="9"/>
  <c r="H195" i="76" s="1"/>
  <c r="H198" i="76" s="1"/>
  <c r="J40" i="9"/>
  <c r="D195" i="76" s="1"/>
  <c r="D198" i="76" s="1"/>
  <c r="I40" i="9"/>
  <c r="F194" i="76"/>
  <c r="F197" i="76" s="1"/>
  <c r="K31" i="9"/>
  <c r="G194" i="76" l="1"/>
  <c r="G197" i="76" s="1"/>
  <c r="M32" i="9"/>
  <c r="M38" i="11" s="1"/>
  <c r="G49" i="76" s="1"/>
  <c r="G95" i="76" s="1"/>
  <c r="N31" i="9"/>
  <c r="L42" i="11" s="1"/>
  <c r="N32" i="9"/>
  <c r="M42" i="11" s="1"/>
  <c r="E195" i="76"/>
  <c r="E198" i="76" s="1"/>
  <c r="B195" i="76"/>
  <c r="B198" i="76" s="1"/>
  <c r="J31" i="9"/>
  <c r="B12" i="18" s="1"/>
  <c r="L31" i="9"/>
  <c r="D12" i="18" s="1"/>
  <c r="K32" i="9"/>
  <c r="M28" i="11" s="1"/>
  <c r="G39" i="9"/>
  <c r="B194" i="76"/>
  <c r="I31" i="9"/>
  <c r="L19" i="11" s="1"/>
  <c r="C48" i="76" s="1"/>
  <c r="C94" i="76" s="1"/>
  <c r="J32" i="9"/>
  <c r="M23" i="11" s="1"/>
  <c r="G40" i="9"/>
  <c r="C195" i="76"/>
  <c r="C198" i="76" s="1"/>
  <c r="I32" i="9"/>
  <c r="M19" i="11" s="1"/>
  <c r="L15" i="11"/>
  <c r="D13" i="18"/>
  <c r="M33" i="11"/>
  <c r="L28" i="11"/>
  <c r="C12" i="18"/>
  <c r="M15" i="11"/>
  <c r="I260" i="76"/>
  <c r="G48" i="76"/>
  <c r="G94" i="76" s="1"/>
  <c r="E12" i="18" l="1"/>
  <c r="L43" i="11" s="1"/>
  <c r="I265" i="76" s="1"/>
  <c r="F483" i="76" s="1"/>
  <c r="I194" i="76"/>
  <c r="J260" i="76"/>
  <c r="B197" i="76"/>
  <c r="I197" i="76" s="1"/>
  <c r="L23" i="11"/>
  <c r="I245" i="76" s="1"/>
  <c r="L33" i="11"/>
  <c r="I250" i="76" s="1"/>
  <c r="C13" i="18"/>
  <c r="M29" i="11" s="1"/>
  <c r="J256" i="76" s="1"/>
  <c r="E13" i="18"/>
  <c r="E221" i="76" s="1"/>
  <c r="I241" i="76"/>
  <c r="F478" i="76" s="1"/>
  <c r="H478" i="76" s="1"/>
  <c r="L478" i="76" s="1"/>
  <c r="K487" i="76" s="1"/>
  <c r="L487" i="76" s="1"/>
  <c r="B13" i="18"/>
  <c r="B221" i="76" s="1"/>
  <c r="O31" i="9"/>
  <c r="L51" i="11" s="1"/>
  <c r="I195" i="76"/>
  <c r="I198" i="76"/>
  <c r="O32" i="9"/>
  <c r="P32" i="9" s="1"/>
  <c r="Q32" i="9" s="1"/>
  <c r="C49" i="76"/>
  <c r="C95" i="76" s="1"/>
  <c r="J241" i="76"/>
  <c r="L24" i="11"/>
  <c r="B220" i="76"/>
  <c r="C220" i="76"/>
  <c r="L34" i="11"/>
  <c r="I251" i="76" s="1"/>
  <c r="F480" i="76" s="1"/>
  <c r="H48" i="76"/>
  <c r="H94" i="76" s="1"/>
  <c r="I264" i="76"/>
  <c r="E220" i="76"/>
  <c r="I237" i="76"/>
  <c r="F477" i="76" s="1"/>
  <c r="B48" i="76"/>
  <c r="F49" i="76"/>
  <c r="F95" i="76" s="1"/>
  <c r="J255" i="76"/>
  <c r="L29" i="11"/>
  <c r="I256" i="76" s="1"/>
  <c r="D220" i="76"/>
  <c r="J264" i="76"/>
  <c r="H49" i="76"/>
  <c r="H95" i="76" s="1"/>
  <c r="B49" i="76"/>
  <c r="M47" i="11"/>
  <c r="J237" i="76"/>
  <c r="J250" i="76"/>
  <c r="E49" i="76"/>
  <c r="E95" i="76" s="1"/>
  <c r="J245" i="76"/>
  <c r="D49" i="76"/>
  <c r="D95" i="76" s="1"/>
  <c r="I255" i="76"/>
  <c r="F48" i="76"/>
  <c r="F94" i="76" s="1"/>
  <c r="F482" i="76"/>
  <c r="C221" i="76"/>
  <c r="M34" i="11"/>
  <c r="J251" i="76" s="1"/>
  <c r="F12" i="18" l="1"/>
  <c r="H54" i="11" s="1"/>
  <c r="F514" i="76"/>
  <c r="H514" i="76" s="1"/>
  <c r="E48" i="76"/>
  <c r="E94" i="76" s="1"/>
  <c r="L47" i="11"/>
  <c r="L64" i="11" s="1"/>
  <c r="D48" i="76"/>
  <c r="D94" i="76" s="1"/>
  <c r="G487" i="76"/>
  <c r="H487" i="76" s="1"/>
  <c r="J478" i="76"/>
  <c r="I487" i="76" s="1"/>
  <c r="J487" i="76" s="1"/>
  <c r="M43" i="11"/>
  <c r="J265" i="76" s="1"/>
  <c r="F515" i="76" s="1"/>
  <c r="H515" i="76" s="1"/>
  <c r="M24" i="11"/>
  <c r="J246" i="76" s="1"/>
  <c r="F13" i="18"/>
  <c r="H55" i="11" s="1"/>
  <c r="P31" i="9"/>
  <c r="Q31" i="9" s="1"/>
  <c r="D221" i="76"/>
  <c r="F221" i="76" s="1"/>
  <c r="E510" i="76"/>
  <c r="G510" i="76" s="1"/>
  <c r="E487" i="76"/>
  <c r="F487" i="76" s="1"/>
  <c r="F509" i="76"/>
  <c r="H509" i="76" s="1"/>
  <c r="F510" i="76"/>
  <c r="H510" i="76" s="1"/>
  <c r="F512" i="76"/>
  <c r="H512" i="76" s="1"/>
  <c r="M51" i="11"/>
  <c r="M64" i="11" s="1"/>
  <c r="I269" i="76"/>
  <c r="J269" i="76"/>
  <c r="B94" i="76"/>
  <c r="F513" i="76"/>
  <c r="F220" i="76"/>
  <c r="H482" i="76"/>
  <c r="E514" i="76"/>
  <c r="G514" i="76" s="1"/>
  <c r="J482" i="76"/>
  <c r="I491" i="76" s="1"/>
  <c r="J491" i="76" s="1"/>
  <c r="E491" i="76"/>
  <c r="F491" i="76" s="1"/>
  <c r="E509" i="76"/>
  <c r="G509" i="76" s="1"/>
  <c r="H477" i="76"/>
  <c r="E486" i="76"/>
  <c r="F486" i="76" s="1"/>
  <c r="J477" i="76"/>
  <c r="I486" i="76" s="1"/>
  <c r="J486" i="76" s="1"/>
  <c r="L48" i="11"/>
  <c r="I246" i="76"/>
  <c r="F479" i="76" s="1"/>
  <c r="E515" i="76"/>
  <c r="G515" i="76" s="1"/>
  <c r="E492" i="76"/>
  <c r="F492" i="76" s="1"/>
  <c r="H483" i="76"/>
  <c r="J483" i="76"/>
  <c r="I492" i="76" s="1"/>
  <c r="J492" i="76" s="1"/>
  <c r="B95" i="76"/>
  <c r="I49" i="76"/>
  <c r="F481" i="76"/>
  <c r="J480" i="76"/>
  <c r="I489" i="76" s="1"/>
  <c r="J489" i="76" s="1"/>
  <c r="E489" i="76"/>
  <c r="F489" i="76" s="1"/>
  <c r="H480" i="76"/>
  <c r="E512" i="76"/>
  <c r="G512" i="76" s="1"/>
  <c r="L52" i="11" l="1"/>
  <c r="L65" i="11" s="1"/>
  <c r="I48" i="76"/>
  <c r="M48" i="11"/>
  <c r="M52" i="11"/>
  <c r="G519" i="76"/>
  <c r="H519" i="76" s="1"/>
  <c r="E519" i="76"/>
  <c r="F519" i="76" s="1"/>
  <c r="F511" i="76"/>
  <c r="H511" i="76" s="1"/>
  <c r="G523" i="76"/>
  <c r="H523" i="76" s="1"/>
  <c r="E523" i="76"/>
  <c r="F523" i="76" s="1"/>
  <c r="E518" i="76"/>
  <c r="F518" i="76" s="1"/>
  <c r="E488" i="76"/>
  <c r="F488" i="76" s="1"/>
  <c r="H479" i="76"/>
  <c r="J479" i="76"/>
  <c r="I488" i="76" s="1"/>
  <c r="J488" i="76" s="1"/>
  <c r="E511" i="76"/>
  <c r="G511" i="76" s="1"/>
  <c r="G518" i="76"/>
  <c r="H518" i="76" s="1"/>
  <c r="G489" i="76"/>
  <c r="H489" i="76" s="1"/>
  <c r="L480" i="76"/>
  <c r="K489" i="76" s="1"/>
  <c r="L489" i="76" s="1"/>
  <c r="J270" i="76"/>
  <c r="I270" i="76"/>
  <c r="E524" i="76"/>
  <c r="F524" i="76" s="1"/>
  <c r="H513" i="76"/>
  <c r="G486" i="76"/>
  <c r="H486" i="76" s="1"/>
  <c r="L477" i="76"/>
  <c r="K486" i="76" s="1"/>
  <c r="L486" i="76" s="1"/>
  <c r="E513" i="76"/>
  <c r="G513" i="76" s="1"/>
  <c r="E490" i="76"/>
  <c r="F490" i="76" s="1"/>
  <c r="J481" i="76"/>
  <c r="I490" i="76" s="1"/>
  <c r="J490" i="76" s="1"/>
  <c r="H481" i="76"/>
  <c r="G524" i="76"/>
  <c r="H524" i="76" s="1"/>
  <c r="G491" i="76"/>
  <c r="H491" i="76" s="1"/>
  <c r="L482" i="76"/>
  <c r="K491" i="76" s="1"/>
  <c r="L491" i="76" s="1"/>
  <c r="G492" i="76"/>
  <c r="H492" i="76" s="1"/>
  <c r="L483" i="76"/>
  <c r="K492" i="76" s="1"/>
  <c r="L492" i="76" s="1"/>
  <c r="E521" i="76"/>
  <c r="F521" i="76" s="1"/>
  <c r="G521" i="76"/>
  <c r="H521" i="76" s="1"/>
  <c r="M65" i="11" l="1"/>
  <c r="E520" i="76"/>
  <c r="F520" i="76" s="1"/>
  <c r="G520" i="76"/>
  <c r="H520" i="76" s="1"/>
  <c r="G522" i="76"/>
  <c r="H522" i="76" s="1"/>
  <c r="E522" i="76"/>
  <c r="F522" i="76" s="1"/>
  <c r="L481" i="76"/>
  <c r="K490" i="76" s="1"/>
  <c r="L490" i="76" s="1"/>
  <c r="G490" i="76"/>
  <c r="H490" i="76" s="1"/>
  <c r="G488" i="76"/>
  <c r="H488" i="76" s="1"/>
  <c r="L479" i="76"/>
  <c r="K488" i="76" s="1"/>
  <c r="L488" i="76" s="1"/>
</calcChain>
</file>

<file path=xl/sharedStrings.xml><?xml version="1.0" encoding="utf-8"?>
<sst xmlns="http://schemas.openxmlformats.org/spreadsheetml/2006/main" count="1114" uniqueCount="258">
  <si>
    <t>Table 3-1: Summary of Load and Customer/Connection Forecast</t>
  </si>
  <si>
    <t>Year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</si>
  <si>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</si>
  <si>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</si>
  <si>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</si>
  <si>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</si>
  <si>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</si>
  <si>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</si>
  <si>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>2017 Board Approved</t>
  </si>
  <si>
    <t>2023 Bridge</t>
  </si>
  <si>
    <t>2024 Test</t>
  </si>
  <si>
    <t>Table 3-2 Billed Energy by Rate Class</t>
  </si>
  <si>
    <t xml:space="preserve">Residential </t>
  </si>
  <si>
    <t>General Service &lt; 50 kW</t>
  </si>
  <si>
    <t>General Service 50 to 4,999 kW</t>
  </si>
  <si>
    <t>Sentinel Lights</t>
  </si>
  <si>
    <t>Street Lights</t>
  </si>
  <si>
    <t xml:space="preserve">Unmetered Scattered Loads </t>
  </si>
  <si>
    <t>Embedded Distributor</t>
  </si>
  <si>
    <t>Total</t>
  </si>
  <si>
    <t>Billed Energy (GWh) - Actual</t>
  </si>
  <si>
    <t>Billed Energy (GWh) - Weather Normal</t>
  </si>
  <si>
    <t>N/A</t>
  </si>
  <si>
    <t>2017</t>
  </si>
  <si>
    <t xml:space="preserve">Table 3-3: Number of Customers/Connections  and Annual Normalized Usage by Rate Class 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</si>
  <si>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</si>
  <si>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</si>
  <si>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</si>
  <si>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>Table 3-4: Statistical Results</t>
  </si>
  <si>
    <t>R Square</t>
  </si>
  <si>
    <t>Adjusted R Square</t>
  </si>
  <si>
    <t>F Test</t>
  </si>
  <si>
    <t xml:space="preserve">MAPE (Monthly) </t>
  </si>
  <si>
    <t>T-stats by Coefficient</t>
  </si>
  <si>
    <t>Constant</t>
  </si>
  <si>
    <t>Table 3-5: Total System Purchases Excluding Wholesale Market Particpants</t>
  </si>
  <si>
    <t xml:space="preserve">Actual </t>
  </si>
  <si>
    <t xml:space="preserve">Predicted </t>
  </si>
  <si>
    <t>% Difference</t>
  </si>
  <si>
    <t>Predicted 
Weather 
Normal</t>
  </si>
  <si>
    <t>Weather 
Normal Conversion 
Factor</t>
  </si>
  <si>
    <t>Actual 
Weather 
Normal</t>
  </si>
  <si>
    <t>Purchased Energy (GWh)</t>
  </si>
  <si>
    <t>Table 3-6: Historical Customer/Connection (Average)</t>
  </si>
  <si>
    <t>Table 3-7: Growth Rate in Customers/Connections</t>
  </si>
  <si>
    <t>Growth Rate in Customers/Connections</t>
  </si>
  <si>
    <t>Geometric Mean</t>
  </si>
  <si>
    <t>Table 3-8: Customer/Connection Forecast</t>
  </si>
  <si>
    <t>Forecast Number of Customers/Connections</t>
  </si>
  <si>
    <t>Table 3-9: 2022 Actual Annual Usage per Customer</t>
  </si>
  <si>
    <t xml:space="preserve">Annual kWh Usage Per Customer/Connection </t>
  </si>
  <si>
    <t>Table 3-10: Forecast Annual kWh Usage per Customer/Connection</t>
  </si>
  <si>
    <t>Forecast Annual kWh Usage per Customers/Connection</t>
  </si>
  <si>
    <t>Table 3-11: Non-normalized Weather Billed Energy Forecast</t>
  </si>
  <si>
    <t>NON-normalized Weather Billed Energy Forecast (GWh)</t>
  </si>
  <si>
    <t>Table 3-12:  Weather Sensitivity by Rate Class</t>
  </si>
  <si>
    <t>Weather Sensitivity</t>
  </si>
  <si>
    <t xml:space="preserve">Table 3-13: Alignment of Non-normal to Weather Normal Forecast </t>
  </si>
  <si>
    <t>Non-normalized Weather Billed Energy Forecast (GWh)</t>
  </si>
  <si>
    <t>Weather Adjustment (GWh)</t>
  </si>
  <si>
    <t>Weather Normalized Billed Energy Forecast (GWh)</t>
  </si>
  <si>
    <t>Table 3-14: Average 2013-2022 kW/KWh Ratio per Applicable Rate Class</t>
  </si>
  <si>
    <t>Ratio of kW to kWh</t>
  </si>
  <si>
    <t>Average</t>
  </si>
  <si>
    <t>Table 3-15: kW Forecast by Applicable Rate Class</t>
  </si>
  <si>
    <t>Predicted Billed kW</t>
  </si>
  <si>
    <t xml:space="preserve">Table 3-16: Forecast Summary </t>
  </si>
  <si>
    <t>2017 Board Aprroved</t>
  </si>
  <si>
    <t xml:space="preserve">2017 Actual </t>
  </si>
  <si>
    <t xml:space="preserve">2018 Actual </t>
  </si>
  <si>
    <t xml:space="preserve">2019 Actual </t>
  </si>
  <si>
    <t xml:space="preserve">2020 Actual </t>
  </si>
  <si>
    <t>2021 Actual</t>
  </si>
  <si>
    <t>2022 Actual</t>
  </si>
  <si>
    <t>2023 Bridge
Weather Normal</t>
  </si>
  <si>
    <t>2024 Test
Weather Normal</t>
  </si>
  <si>
    <t>Purchases</t>
  </si>
  <si>
    <t>Actual kWh Purchases</t>
  </si>
  <si>
    <t>Predicted kWh Purchases before CDM adjustment</t>
  </si>
  <si>
    <t>% Difference between actual and predicted purchases</t>
  </si>
  <si>
    <t>Loss Factor</t>
  </si>
  <si>
    <t xml:space="preserve">Total Billed </t>
  </si>
  <si>
    <t>Billing Determinants</t>
  </si>
  <si>
    <t xml:space="preserve">  Customers</t>
  </si>
  <si>
    <t xml:space="preserve">  kWh</t>
  </si>
  <si>
    <t xml:space="preserve">  kW</t>
  </si>
  <si>
    <t xml:space="preserve">  Connections</t>
  </si>
  <si>
    <t xml:space="preserve">  Customer/Connections</t>
  </si>
  <si>
    <t xml:space="preserve">Table 3-16: Distribution Revenue - 2017 Board Approved vs 2017 Actual </t>
  </si>
  <si>
    <t>Distribution Throughput Revenue</t>
  </si>
  <si>
    <t>2017 Actual</t>
  </si>
  <si>
    <t>Difference ($)</t>
  </si>
  <si>
    <t>Difference (%)</t>
  </si>
  <si>
    <t xml:space="preserve">Table 3-17: Billing Determinants - 2017 Board Approved vs 2017 Actual </t>
  </si>
  <si>
    <t>Weather Normal Conversion Factor</t>
  </si>
  <si>
    <t>Rate Class</t>
  </si>
  <si>
    <t>Customers / Connections</t>
  </si>
  <si>
    <t>Units</t>
  </si>
  <si>
    <t>Volume</t>
  </si>
  <si>
    <t>Volume (Wthr Nrml)</t>
  </si>
  <si>
    <t>Annual Usage per Customer / Connection</t>
  </si>
  <si>
    <t>Annual Usage per Customer / Connection (Wthr Nrml)</t>
  </si>
  <si>
    <t>kWh</t>
  </si>
  <si>
    <t>kW</t>
  </si>
  <si>
    <t>Variance</t>
  </si>
  <si>
    <t>Count</t>
  </si>
  <si>
    <t>%</t>
  </si>
  <si>
    <t>Dollars</t>
  </si>
  <si>
    <t>Table 3-18: Distribution Revenue - 2017 Actual vs 2018 Actual</t>
  </si>
  <si>
    <t>2018 Actual</t>
  </si>
  <si>
    <t>Table 3-19: Billing Determinants - 2017 Actual vs 2018 Actual</t>
  </si>
  <si>
    <t>Weather Normal Conversion Factor 2017</t>
  </si>
  <si>
    <t>Weather Normal Conversion Factor 2018</t>
  </si>
  <si>
    <t>Table 3-20: Distribution Revenue - 2018 Actual vs 2019 Actual</t>
  </si>
  <si>
    <t>2019 Actual</t>
  </si>
  <si>
    <t>Table 3-21: Billing Determinants - 2018 Actual vs 2019 Actual</t>
  </si>
  <si>
    <t>Weather Normal Conversion Factor 2019</t>
  </si>
  <si>
    <t>Table 3-22: Distribution Revenue - 2019 Actual vs 2020 Actual</t>
  </si>
  <si>
    <t>2020 Actual</t>
  </si>
  <si>
    <t>Table 3-23: Billing Determinants - 2019 Actual vs 2020 Actual</t>
  </si>
  <si>
    <t>Weather Normal Conversion Factor 2020</t>
  </si>
  <si>
    <t>Table 3-24: Distribution Revenue - 2020 Actual vs 2021 Actual</t>
  </si>
  <si>
    <t>Table 3-25: Billing Determinants - 2020 Actual vs 2021 Actual</t>
  </si>
  <si>
    <t>Weather Normal Conversion Factor 2021</t>
  </si>
  <si>
    <t>Table 3-26: Distribution Revenue - 2021 Actual vs 2022 Actual</t>
  </si>
  <si>
    <t>Table 3-27: Billing Determinants - 2021 Actual vs 2022 Actual</t>
  </si>
  <si>
    <t>Weather Normal Conversion Factor 2022</t>
  </si>
  <si>
    <t>Table 3-28: Distribution Revenue - 2022 Actual vs 2023 Bridge</t>
  </si>
  <si>
    <t>Table 3-29: Billing Determinants - 2022 Actual vs 2023 Bridge</t>
  </si>
  <si>
    <t>Table 3-30: Distribution Revenue -2023 Bridge vs 2024 Test</t>
  </si>
  <si>
    <t>Table 3-32: Billing Determinants - 2023 Bridge vs 2024 Test</t>
  </si>
  <si>
    <t>Average Customer / Connection Count</t>
  </si>
  <si>
    <t>Date</t>
  </si>
  <si>
    <t>Residential</t>
  </si>
  <si>
    <t>General Service &gt; 50 to 4999 kW</t>
  </si>
  <si>
    <t xml:space="preserve">Sentinel </t>
  </si>
  <si>
    <t xml:space="preserve">Street Lighting </t>
  </si>
  <si>
    <t>USL</t>
  </si>
  <si>
    <t>Consumption</t>
  </si>
  <si>
    <t>Wholesale</t>
  </si>
  <si>
    <t>Retail Consumption</t>
  </si>
  <si>
    <t>Wholesale Purchases</t>
  </si>
  <si>
    <t>Embedded Dirstributor</t>
  </si>
  <si>
    <t>other</t>
  </si>
  <si>
    <t>GS&lt;50kW to GS&gt;50kW Adj.</t>
  </si>
  <si>
    <t>Unadjusted GS &lt;50kW</t>
  </si>
  <si>
    <t>Unadjusted GS &gt;50kW</t>
  </si>
  <si>
    <t>Number of Customer/ Connection</t>
  </si>
  <si>
    <t>Customer/ Connection</t>
  </si>
  <si>
    <t>Number of Customers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</si>
  <si>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</si>
  <si>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</si>
  <si>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</si>
  <si>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</si>
  <si>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</si>
  <si>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</si>
  <si>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</si>
  <si>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</si>
  <si>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</si>
  <si>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</si>
  <si>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</si>
  <si>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</si>
  <si>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</si>
  <si>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IPC Weather Normal Load Forecast for 2024 Rate Application</t>
  </si>
  <si>
    <t>2013 Actual</t>
  </si>
  <si>
    <t>2014 Actual</t>
  </si>
  <si>
    <t xml:space="preserve">2015 Actual </t>
  </si>
  <si>
    <t xml:space="preserve">2016 Actual </t>
  </si>
  <si>
    <t>Weather Normal</t>
  </si>
  <si>
    <t>Predicted kWh Purchases</t>
  </si>
  <si>
    <t>By Class</t>
  </si>
  <si>
    <t xml:space="preserve">  kW from applicable classes</t>
  </si>
  <si>
    <t>Check</t>
  </si>
  <si>
    <t>R Square of 90% is OK</t>
  </si>
  <si>
    <t>Power Purchased</t>
  </si>
  <si>
    <t>Heating Degree Days</t>
  </si>
  <si>
    <t>Cooling Degree Days</t>
  </si>
  <si>
    <t>Days in Month</t>
  </si>
  <si>
    <t>Spring Fall Flag</t>
  </si>
  <si>
    <t>COVID Flag</t>
  </si>
  <si>
    <t xml:space="preserve">Predicted Purchases </t>
  </si>
  <si>
    <t>Variances (kWh)</t>
  </si>
  <si>
    <t>% Var</t>
  </si>
  <si>
    <t>% Var (Abs)</t>
  </si>
  <si>
    <t>SUMMARY OUTPUT</t>
  </si>
  <si>
    <t>Adjusted R Square takes into consideration the number of variables</t>
  </si>
  <si>
    <t>ANOVA is not really used</t>
  </si>
  <si>
    <t>Regression Statistics</t>
  </si>
  <si>
    <t>Multiple R</t>
  </si>
  <si>
    <t>Coefficient-If negative, it's reducing, if +ve, it's adding</t>
  </si>
  <si>
    <t>Tstat indicates how relevant a variable is.Should be greater than absolute value of 2, if less than 2 it is not statistically significant so don’t use it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</si>
  <si>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</si>
  <si>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</si>
  <si>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</si>
  <si>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</si>
  <si>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</si>
  <si>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</si>
  <si>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</si>
  <si>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</si>
  <si>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</si>
  <si>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</si>
  <si>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</si>
  <si>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</si>
  <si>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</si>
  <si>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</si>
  <si>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</si>
  <si>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</si>
  <si>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</si>
  <si>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Intercept</t>
  </si>
  <si>
    <t>MAPE</t>
  </si>
  <si>
    <t>10-year average</t>
  </si>
  <si>
    <t>Geomean Monthly Escalation</t>
  </si>
  <si>
    <t>2023 YTD Actuals</t>
  </si>
  <si>
    <t>Check - must be zero</t>
  </si>
  <si>
    <t>Weater Actual</t>
  </si>
  <si>
    <t>Weather Normalization Factor</t>
  </si>
  <si>
    <t>Modeled Purchases</t>
  </si>
  <si>
    <t>Difference</t>
  </si>
  <si>
    <t>Total Billed</t>
  </si>
  <si>
    <r>
      <t xml:space="preserve">General Service </t>
    </r>
    <r>
      <rPr>
        <u/>
        <sz val="10"/>
        <rFont val="Arial"/>
        <family val="2"/>
      </rPr>
      <t>&lt; 50 kW</t>
    </r>
  </si>
  <si>
    <r>
      <t xml:space="preserve">General Service </t>
    </r>
    <r>
      <rPr>
        <u/>
        <sz val="10"/>
        <rFont val="Arial"/>
        <family val="2"/>
      </rPr>
      <t>&gt; 50 to 4999 kW</t>
    </r>
  </si>
  <si>
    <t xml:space="preserve">Unmetered Loads </t>
  </si>
  <si>
    <t>Last 10 years</t>
  </si>
  <si>
    <t>Usage Per Customer</t>
  </si>
  <si>
    <t>Non Weather Corrected Forecast</t>
  </si>
  <si>
    <t>Weather Corrected Forecast</t>
  </si>
  <si>
    <t>% Weather Sensitive</t>
  </si>
  <si>
    <t>Allocation of Weather Sensitive Amount</t>
  </si>
  <si>
    <t>Average Number of Customer/Connections</t>
  </si>
  <si>
    <t>Total Customers</t>
  </si>
  <si>
    <t>Jan</t>
  </si>
  <si>
    <t>Feb</t>
  </si>
  <si>
    <t>Mar</t>
  </si>
  <si>
    <t>Apr</t>
  </si>
  <si>
    <t>Jun</t>
  </si>
  <si>
    <t>Jul</t>
  </si>
  <si>
    <t>Aug</t>
  </si>
  <si>
    <t>Sep</t>
  </si>
  <si>
    <t>Average Monthly %</t>
  </si>
  <si>
    <t>Oct</t>
  </si>
  <si>
    <t>Nov</t>
  </si>
  <si>
    <t>Dec</t>
  </si>
  <si>
    <t xml:space="preserve">Growth Rate in Customer Numbers </t>
  </si>
  <si>
    <t>Used</t>
  </si>
  <si>
    <t>Input data</t>
  </si>
  <si>
    <t xml:space="preserve">Geomean </t>
  </si>
  <si>
    <t>GS Avg</t>
  </si>
  <si>
    <t>2023 YTD Actuals - Annualized</t>
  </si>
  <si>
    <t>2023 YTD Average</t>
  </si>
  <si>
    <t>2023 YTD Growth</t>
  </si>
  <si>
    <t>2023 YTD Growth (%)</t>
  </si>
  <si>
    <t>Annualized Growth (%)</t>
  </si>
  <si>
    <t>Monthly Geomean Growth</t>
  </si>
  <si>
    <t>2023 Jul-Dec Avg Customer/Connection</t>
  </si>
  <si>
    <t>2023 Weighted Average Annual Customers/Connections</t>
  </si>
  <si>
    <t>Demand only</t>
  </si>
  <si>
    <t>kW/kWh</t>
  </si>
  <si>
    <t>2023 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</si>
</sst>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_-&quot;$&quot;* #,##0.00_-;\-&quot;$&quot;* #,##0.00_-;_-&quot;$&quot;* &quot;-&quot;??_-;_-@_-"/>
    <numFmt numFmtId="166" formatCode="_-* #,##0.00_-;\-* #,##0.00_-;_-* &quot;-&quot;??_-;_-@_-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.000"/>
    <numFmt numFmtId="181" formatCode="0;\(0\)"/>
    <numFmt numFmtId="182" formatCode="0.0;\(0.0\)"/>
    <numFmt numFmtId="183" formatCode="#,##0.00000"/>
    <numFmt numFmtId="184" formatCode="0.0%;\(0.0%\)"/>
    <numFmt numFmtId="185" formatCode="#,##0.0;\(#,##0.0\)"/>
    <numFmt numFmtId="186" formatCode="0.0000%;\(0.0%\)"/>
    <numFmt numFmtId="187" formatCode="0.0"/>
    <numFmt numFmtId="188" formatCode="_-* #,##0_-;\-* #,##0_-;_-* &quot;-&quot;??_-;_-@_-"/>
  </numFmts>
  <fonts count="8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b/>
      <sz val="12"/>
      <color rgb="FFFFC000"/>
      <name val="Arial"/>
      <family val="2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u/>
      <sz val="10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</fonts>
  <fills count="72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4" tint="-0.249977111117893"/>
      </right>
      <top/>
      <bottom style="thin">
        <color indexed="64"/>
      </bottom>
      <diagonal/>
    </border>
    <border>
      <left style="medium">
        <color theme="4" tint="-0.249977111117893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667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7" fillId="5" borderId="1" applyNumberFormat="0" applyProtection="0">
      <alignment horizontal="left"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5" fontId="10" fillId="0" borderId="0" applyFont="0" applyFill="0" applyBorder="0" applyAlignment="0" applyProtection="0"/>
    <xf numFmtId="14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0" fillId="0" borderId="0"/>
    <xf numFmtId="174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5" fontId="10" fillId="0" borderId="0"/>
    <xf numFmtId="176" fontId="10" fillId="0" borderId="0"/>
    <xf numFmtId="175" fontId="10" fillId="0" borderId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33" fillId="16" borderId="0" applyNumberFormat="0" applyBorder="0" applyAlignment="0" applyProtection="0"/>
    <xf numFmtId="0" fontId="33" fillId="20" borderId="0" applyNumberFormat="0" applyBorder="0" applyAlignment="0" applyProtection="0"/>
    <xf numFmtId="0" fontId="33" fillId="24" borderId="0" applyNumberFormat="0" applyBorder="0" applyAlignment="0" applyProtection="0"/>
    <xf numFmtId="0" fontId="33" fillId="28" borderId="0" applyNumberFormat="0" applyBorder="0" applyAlignment="0" applyProtection="0"/>
    <xf numFmtId="0" fontId="33" fillId="32" borderId="0" applyNumberFormat="0" applyBorder="0" applyAlignment="0" applyProtection="0"/>
    <xf numFmtId="0" fontId="33" fillId="36" borderId="0" applyNumberFormat="0" applyBorder="0" applyAlignment="0" applyProtection="0"/>
    <xf numFmtId="0" fontId="33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3" fillId="25" borderId="0" applyNumberFormat="0" applyBorder="0" applyAlignment="0" applyProtection="0"/>
    <xf numFmtId="0" fontId="33" fillId="29" borderId="0" applyNumberFormat="0" applyBorder="0" applyAlignment="0" applyProtection="0"/>
    <xf numFmtId="0" fontId="33" fillId="33" borderId="0" applyNumberFormat="0" applyBorder="0" applyAlignment="0" applyProtection="0"/>
    <xf numFmtId="0" fontId="24" fillId="7" borderId="0" applyNumberFormat="0" applyBorder="0" applyAlignment="0" applyProtection="0"/>
    <xf numFmtId="0" fontId="28" fillId="10" borderId="8" applyNumberFormat="0" applyAlignment="0" applyProtection="0"/>
    <xf numFmtId="0" fontId="30" fillId="11" borderId="11" applyNumberFormat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23" fillId="6" borderId="0" applyNumberFormat="0" applyBorder="0" applyAlignment="0" applyProtection="0"/>
    <xf numFmtId="38" fontId="15" fillId="37" borderId="0" applyNumberFormat="0" applyBorder="0" applyAlignment="0" applyProtection="0"/>
    <xf numFmtId="38" fontId="15" fillId="37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10" fontId="15" fillId="38" borderId="1" applyNumberFormat="0" applyBorder="0" applyAlignment="0" applyProtection="0"/>
    <xf numFmtId="10" fontId="15" fillId="38" borderId="1" applyNumberFormat="0" applyBorder="0" applyAlignment="0" applyProtection="0"/>
    <xf numFmtId="0" fontId="26" fillId="9" borderId="8" applyNumberFormat="0" applyAlignment="0" applyProtection="0"/>
    <xf numFmtId="0" fontId="29" fillId="0" borderId="10" applyNumberFormat="0" applyFill="0" applyAlignment="0" applyProtection="0"/>
    <xf numFmtId="177" fontId="10" fillId="0" borderId="0"/>
    <xf numFmtId="172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25" fillId="8" borderId="0" applyNumberFormat="0" applyBorder="0" applyAlignment="0" applyProtection="0"/>
    <xf numFmtId="178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12" borderId="12" applyNumberFormat="0" applyFont="0" applyAlignment="0" applyProtection="0"/>
    <xf numFmtId="0" fontId="27" fillId="10" borderId="9" applyNumberFormat="0" applyAlignment="0" applyProtection="0"/>
    <xf numFmtId="10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4" fillId="0" borderId="0" applyNumberFormat="0" applyBorder="0" applyAlignment="0"/>
    <xf numFmtId="0" fontId="35" fillId="0" borderId="0" applyNumberFormat="0" applyBorder="0" applyAlignment="0"/>
    <xf numFmtId="0" fontId="36" fillId="0" borderId="0" applyNumberFormat="0" applyBorder="0" applyAlignment="0"/>
    <xf numFmtId="0" fontId="37" fillId="0" borderId="14">
      <alignment horizontal="center" vertical="center"/>
    </xf>
    <xf numFmtId="0" fontId="19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166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0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5" fillId="0" borderId="0"/>
    <xf numFmtId="0" fontId="5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5" borderId="1" applyNumberFormat="0" applyProtection="0">
      <alignment horizontal="left" vertical="center"/>
    </xf>
    <xf numFmtId="0" fontId="10" fillId="5" borderId="1" applyNumberFormat="0" applyProtection="0">
      <alignment horizontal="left" vertical="center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2" fillId="41" borderId="0" applyNumberFormat="0" applyBorder="0" applyAlignment="0" applyProtection="0"/>
    <xf numFmtId="0" fontId="42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4" borderId="0" applyNumberFormat="0" applyBorder="0" applyAlignment="0" applyProtection="0"/>
    <xf numFmtId="0" fontId="42" fillId="47" borderId="0" applyNumberFormat="0" applyBorder="0" applyAlignment="0" applyProtection="0"/>
    <xf numFmtId="0" fontId="42" fillId="50" borderId="0" applyNumberFormat="0" applyBorder="0" applyAlignment="0" applyProtection="0"/>
    <xf numFmtId="0" fontId="59" fillId="51" borderId="0" applyNumberFormat="0" applyBorder="0" applyAlignment="0" applyProtection="0"/>
    <xf numFmtId="0" fontId="59" fillId="48" borderId="0" applyNumberFormat="0" applyBorder="0" applyAlignment="0" applyProtection="0"/>
    <xf numFmtId="0" fontId="59" fillId="49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4" borderId="0" applyNumberFormat="0" applyBorder="0" applyAlignment="0" applyProtection="0"/>
    <xf numFmtId="0" fontId="59" fillId="55" borderId="0" applyNumberFormat="0" applyBorder="0" applyAlignment="0" applyProtection="0"/>
    <xf numFmtId="0" fontId="59" fillId="56" borderId="0" applyNumberFormat="0" applyBorder="0" applyAlignment="0" applyProtection="0"/>
    <xf numFmtId="0" fontId="59" fillId="57" borderId="0" applyNumberFormat="0" applyBorder="0" applyAlignment="0" applyProtection="0"/>
    <xf numFmtId="0" fontId="61" fillId="59" borderId="15" applyNumberFormat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0" fillId="61" borderId="0" applyNumberFormat="0" applyBorder="0" applyAlignment="0" applyProtection="0"/>
    <xf numFmtId="0" fontId="72" fillId="0" borderId="0" applyNumberFormat="0" applyFill="0" applyBorder="0" applyAlignment="0" applyProtection="0"/>
    <xf numFmtId="0" fontId="73" fillId="0" borderId="23" applyNumberFormat="0" applyFill="0" applyAlignment="0" applyProtection="0"/>
    <xf numFmtId="0" fontId="74" fillId="0" borderId="0" applyNumberFormat="0" applyFill="0" applyBorder="0" applyAlignment="0" applyProtection="0"/>
    <xf numFmtId="0" fontId="10" fillId="0" borderId="0"/>
    <xf numFmtId="0" fontId="21" fillId="0" borderId="6" applyNumberFormat="0" applyFill="0" applyAlignment="0" applyProtection="0"/>
    <xf numFmtId="0" fontId="20" fillId="0" borderId="5" applyNumberFormat="0" applyFill="0" applyAlignment="0" applyProtection="0"/>
    <xf numFmtId="0" fontId="5" fillId="0" borderId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8" applyNumberFormat="0" applyAlignment="0" applyProtection="0"/>
    <xf numFmtId="0" fontId="27" fillId="10" borderId="9" applyNumberFormat="0" applyAlignment="0" applyProtection="0"/>
    <xf numFmtId="0" fontId="28" fillId="10" borderId="8" applyNumberFormat="0" applyAlignment="0" applyProtection="0"/>
    <xf numFmtId="0" fontId="29" fillId="0" borderId="10" applyNumberFormat="0" applyFill="0" applyAlignment="0" applyProtection="0"/>
    <xf numFmtId="0" fontId="30" fillId="11" borderId="11" applyNumberFormat="0" applyAlignment="0" applyProtection="0"/>
    <xf numFmtId="0" fontId="31" fillId="0" borderId="0" applyNumberFormat="0" applyFill="0" applyBorder="0" applyAlignment="0" applyProtection="0"/>
    <xf numFmtId="0" fontId="5" fillId="12" borderId="12" applyNumberFormat="0" applyFont="0" applyAlignment="0" applyProtection="0"/>
    <xf numFmtId="0" fontId="32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33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33" fillId="36" borderId="0" applyNumberFormat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" fillId="0" borderId="0"/>
    <xf numFmtId="0" fontId="5" fillId="0" borderId="0"/>
    <xf numFmtId="0" fontId="71" fillId="59" borderId="22" applyNumberFormat="0" applyAlignment="0" applyProtection="0"/>
    <xf numFmtId="0" fontId="62" fillId="60" borderId="16" applyNumberFormat="0" applyAlignment="0" applyProtection="0"/>
    <xf numFmtId="0" fontId="68" fillId="46" borderId="15" applyNumberFormat="0" applyAlignment="0" applyProtection="0"/>
    <xf numFmtId="0" fontId="10" fillId="62" borderId="21" applyNumberFormat="0" applyFont="0" applyAlignment="0" applyProtection="0"/>
    <xf numFmtId="0" fontId="64" fillId="43" borderId="0" applyNumberFormat="0" applyBorder="0" applyAlignment="0" applyProtection="0"/>
    <xf numFmtId="0" fontId="60" fillId="42" borderId="0" applyNumberFormat="0" applyBorder="0" applyAlignment="0" applyProtection="0"/>
    <xf numFmtId="0" fontId="67" fillId="0" borderId="19" applyNumberFormat="0" applyFill="0" applyAlignment="0" applyProtection="0"/>
    <xf numFmtId="0" fontId="66" fillId="0" borderId="18" applyNumberFormat="0" applyFill="0" applyAlignment="0" applyProtection="0"/>
    <xf numFmtId="0" fontId="63" fillId="0" borderId="0" applyNumberFormat="0" applyFill="0" applyBorder="0" applyAlignment="0" applyProtection="0"/>
    <xf numFmtId="0" fontId="65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9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9" fillId="58" borderId="0" applyNumberFormat="0" applyBorder="0" applyAlignment="0" applyProtection="0"/>
    <xf numFmtId="0" fontId="59" fillId="52" borderId="0" applyNumberFormat="0" applyBorder="0" applyAlignment="0" applyProtection="0"/>
    <xf numFmtId="166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8" fillId="0" borderId="0"/>
    <xf numFmtId="0" fontId="69" fillId="0" borderId="20" applyNumberFormat="0" applyFill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67" fillId="0" borderId="0" applyNumberForma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0" borderId="0"/>
    <xf numFmtId="0" fontId="10" fillId="0" borderId="0"/>
    <xf numFmtId="0" fontId="68" fillId="46" borderId="15" applyNumberFormat="0" applyAlignment="0" applyProtection="0"/>
    <xf numFmtId="0" fontId="68" fillId="46" borderId="15" applyNumberFormat="0" applyAlignment="0" applyProtection="0"/>
    <xf numFmtId="0" fontId="68" fillId="46" borderId="15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8" fillId="46" borderId="15" applyNumberFormat="0" applyAlignment="0" applyProtection="0"/>
    <xf numFmtId="0" fontId="10" fillId="0" borderId="0"/>
    <xf numFmtId="0" fontId="38" fillId="0" borderId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" fillId="0" borderId="0"/>
    <xf numFmtId="0" fontId="10" fillId="0" borderId="0"/>
    <xf numFmtId="9" fontId="38" fillId="0" borderId="0" applyFont="0" applyFill="0" applyBorder="0" applyAlignment="0" applyProtection="0"/>
    <xf numFmtId="0" fontId="38" fillId="0" borderId="0"/>
    <xf numFmtId="9" fontId="10" fillId="0" borderId="0" applyFont="0" applyFill="0" applyBorder="0" applyAlignment="0" applyProtection="0"/>
    <xf numFmtId="0" fontId="10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/>
    <xf numFmtId="165" fontId="3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38" fillId="0" borderId="0"/>
    <xf numFmtId="166" fontId="38" fillId="0" borderId="0" applyFont="0" applyFill="0" applyBorder="0" applyAlignment="0" applyProtection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5" fillId="0" borderId="0"/>
    <xf numFmtId="0" fontId="57" fillId="0" borderId="0" applyNumberFormat="0" applyFill="0" applyBorder="0" applyAlignment="0" applyProtection="0"/>
    <xf numFmtId="0" fontId="75" fillId="0" borderId="0"/>
    <xf numFmtId="0" fontId="4" fillId="0" borderId="0"/>
    <xf numFmtId="0" fontId="77" fillId="0" borderId="0"/>
    <xf numFmtId="179" fontId="79" fillId="0" borderId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0" fillId="0" borderId="0"/>
    <xf numFmtId="0" fontId="84" fillId="0" borderId="0"/>
    <xf numFmtId="0" fontId="3" fillId="0" borderId="0"/>
    <xf numFmtId="0" fontId="10" fillId="0" borderId="0"/>
    <xf numFmtId="0" fontId="10" fillId="0" borderId="0"/>
    <xf numFmtId="0" fontId="73" fillId="0" borderId="66" applyNumberFormat="0" applyFill="0" applyAlignment="0" applyProtection="0"/>
    <xf numFmtId="0" fontId="61" fillId="59" borderId="50" applyNumberFormat="0" applyAlignment="0" applyProtection="0"/>
    <xf numFmtId="0" fontId="71" fillId="59" borderId="65" applyNumberFormat="0" applyAlignment="0" applyProtection="0"/>
    <xf numFmtId="0" fontId="68" fillId="46" borderId="63" applyNumberFormat="0" applyAlignment="0" applyProtection="0"/>
    <xf numFmtId="0" fontId="61" fillId="59" borderId="63" applyNumberFormat="0" applyAlignment="0" applyProtection="0"/>
    <xf numFmtId="0" fontId="68" fillId="46" borderId="50" applyNumberFormat="0" applyAlignment="0" applyProtection="0"/>
    <xf numFmtId="0" fontId="10" fillId="62" borderId="51" applyNumberFormat="0" applyFont="0" applyAlignment="0" applyProtection="0"/>
    <xf numFmtId="0" fontId="71" fillId="59" borderId="52" applyNumberFormat="0" applyAlignment="0" applyProtection="0"/>
    <xf numFmtId="0" fontId="73" fillId="0" borderId="53" applyNumberFormat="0" applyFill="0" applyAlignment="0" applyProtection="0"/>
    <xf numFmtId="0" fontId="10" fillId="0" borderId="0"/>
    <xf numFmtId="0" fontId="2" fillId="0" borderId="0"/>
    <xf numFmtId="0" fontId="68" fillId="46" borderId="63" applyNumberFormat="0" applyAlignment="0" applyProtection="0"/>
    <xf numFmtId="0" fontId="10" fillId="62" borderId="64" applyNumberFormat="0" applyFont="0" applyAlignment="0" applyProtection="0"/>
    <xf numFmtId="0" fontId="2" fillId="12" borderId="12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8" fillId="46" borderId="63" applyNumberFormat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0" fontId="15" fillId="38" borderId="54" applyNumberFormat="0" applyBorder="0" applyAlignment="0" applyProtection="0"/>
    <xf numFmtId="0" fontId="10" fillId="0" borderId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62" borderId="51" applyNumberFormat="0" applyFont="0" applyAlignment="0" applyProtection="0"/>
    <xf numFmtId="0" fontId="10" fillId="0" borderId="0"/>
    <xf numFmtId="0" fontId="2" fillId="0" borderId="0"/>
    <xf numFmtId="0" fontId="2" fillId="12" borderId="12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12" borderId="12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8" fillId="46" borderId="63" applyNumberFormat="0" applyAlignment="0" applyProtection="0"/>
    <xf numFmtId="10" fontId="15" fillId="38" borderId="44" applyNumberFormat="0" applyBorder="0" applyAlignment="0" applyProtection="0"/>
    <xf numFmtId="0" fontId="10" fillId="0" borderId="0"/>
    <xf numFmtId="0" fontId="68" fillId="46" borderId="63" applyNumberFormat="0" applyAlignment="0" applyProtection="0"/>
    <xf numFmtId="0" fontId="10" fillId="62" borderId="64" applyNumberFormat="0" applyFont="0" applyAlignment="0" applyProtection="0"/>
    <xf numFmtId="0" fontId="1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</cellStyleXfs>
  <cellXfs count="436">
    <xf numFmtId="0" fontId="0" fillId="0" borderId="0" xfId="0"/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 wrapText="1"/>
    </xf>
    <xf numFmtId="3" fontId="10" fillId="0" borderId="0" xfId="1" applyNumberFormat="1" applyAlignment="1">
      <alignment horizontal="center"/>
    </xf>
    <xf numFmtId="10" fontId="0" fillId="0" borderId="0" xfId="0" applyNumberFormat="1" applyAlignment="1">
      <alignment horizontal="center"/>
    </xf>
    <xf numFmtId="0" fontId="12" fillId="0" borderId="0" xfId="0" applyFont="1"/>
    <xf numFmtId="3" fontId="0" fillId="2" borderId="0" xfId="0" applyNumberFormat="1" applyFill="1" applyAlignment="1">
      <alignment horizontal="center"/>
    </xf>
    <xf numFmtId="17" fontId="12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0" fontId="0" fillId="0" borderId="0" xfId="0" applyAlignment="1">
      <alignment horizontal="left"/>
    </xf>
    <xf numFmtId="3" fontId="12" fillId="0" borderId="0" xfId="0" applyNumberFormat="1" applyFont="1"/>
    <xf numFmtId="0" fontId="13" fillId="0" borderId="0" xfId="0" applyFont="1"/>
    <xf numFmtId="167" fontId="0" fillId="0" borderId="0" xfId="0" applyNumberFormat="1" applyAlignment="1">
      <alignment horizontal="center" wrapText="1"/>
    </xf>
    <xf numFmtId="0" fontId="12" fillId="0" borderId="0" xfId="0" applyFont="1" applyAlignment="1">
      <alignment horizontal="center" wrapText="1"/>
    </xf>
    <xf numFmtId="3" fontId="11" fillId="3" borderId="0" xfId="0" applyNumberFormat="1" applyFont="1" applyFill="1" applyAlignment="1">
      <alignment horizontal="center"/>
    </xf>
    <xf numFmtId="3" fontId="11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43" fontId="0" fillId="0" borderId="0" xfId="1" applyFont="1" applyAlignment="1">
      <alignment horizontal="center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6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38" fontId="0" fillId="0" borderId="0" xfId="0" applyNumberFormat="1" applyAlignment="1">
      <alignment horizontal="center"/>
    </xf>
    <xf numFmtId="167" fontId="0" fillId="0" borderId="0" xfId="2" applyNumberFormat="1" applyFont="1" applyFill="1" applyBorder="1" applyAlignment="1"/>
    <xf numFmtId="1" fontId="0" fillId="0" borderId="0" xfId="0" applyNumberFormat="1"/>
    <xf numFmtId="1" fontId="0" fillId="0" borderId="0" xfId="0" applyNumberFormat="1" applyAlignment="1">
      <alignment horizontal="center"/>
    </xf>
    <xf numFmtId="3" fontId="10" fillId="3" borderId="0" xfId="0" applyNumberFormat="1" applyFont="1" applyFill="1" applyAlignment="1">
      <alignment horizontal="center" wrapText="1"/>
    </xf>
    <xf numFmtId="9" fontId="10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0" fillId="0" borderId="0" xfId="0" applyFont="1" applyAlignment="1">
      <alignment horizontal="center"/>
    </xf>
    <xf numFmtId="170" fontId="0" fillId="40" borderId="0" xfId="0" applyNumberFormat="1" applyFill="1" applyAlignment="1">
      <alignment horizontal="center"/>
    </xf>
    <xf numFmtId="12" fontId="0" fillId="0" borderId="0" xfId="0" applyNumberFormat="1"/>
    <xf numFmtId="9" fontId="0" fillId="0" borderId="0" xfId="2" applyFont="1" applyAlignment="1">
      <alignment horizontal="center"/>
    </xf>
    <xf numFmtId="3" fontId="10" fillId="0" borderId="0" xfId="0" applyNumberFormat="1" applyFont="1" applyAlignment="1">
      <alignment horizontal="center"/>
    </xf>
    <xf numFmtId="10" fontId="0" fillId="3" borderId="0" xfId="0" applyNumberFormat="1" applyFill="1" applyAlignment="1">
      <alignment horizontal="center"/>
    </xf>
    <xf numFmtId="0" fontId="10" fillId="0" borderId="0" xfId="736" applyFont="1"/>
    <xf numFmtId="0" fontId="10" fillId="0" borderId="0" xfId="736" applyFont="1" applyAlignment="1">
      <alignment horizontal="center" vertical="center"/>
    </xf>
    <xf numFmtId="0" fontId="10" fillId="0" borderId="0" xfId="736" applyFont="1" applyAlignment="1">
      <alignment vertical="center"/>
    </xf>
    <xf numFmtId="0" fontId="10" fillId="0" borderId="0" xfId="736" applyFont="1" applyAlignment="1">
      <alignment horizontal="center"/>
    </xf>
    <xf numFmtId="0" fontId="10" fillId="0" borderId="0" xfId="1526" applyFont="1"/>
    <xf numFmtId="0" fontId="78" fillId="0" borderId="0" xfId="1526" applyFont="1" applyAlignment="1">
      <alignment horizontal="left" vertical="center"/>
    </xf>
    <xf numFmtId="0" fontId="76" fillId="0" borderId="0" xfId="1524" applyFont="1" applyAlignment="1">
      <alignment horizontal="center" vertical="center" wrapText="1"/>
    </xf>
    <xf numFmtId="0" fontId="10" fillId="0" borderId="31" xfId="1526" applyFont="1" applyBorder="1" applyAlignment="1">
      <alignment horizontal="center"/>
    </xf>
    <xf numFmtId="1" fontId="10" fillId="0" borderId="32" xfId="1526" applyNumberFormat="1" applyFont="1" applyBorder="1" applyAlignment="1">
      <alignment horizontal="center"/>
    </xf>
    <xf numFmtId="0" fontId="10" fillId="0" borderId="33" xfId="1526" applyFont="1" applyBorder="1" applyAlignment="1">
      <alignment horizontal="left"/>
    </xf>
    <xf numFmtId="2" fontId="16" fillId="0" borderId="32" xfId="1526" applyNumberFormat="1" applyFont="1" applyBorder="1" applyAlignment="1">
      <alignment horizontal="center"/>
    </xf>
    <xf numFmtId="0" fontId="10" fillId="0" borderId="31" xfId="1526" applyFont="1" applyBorder="1" applyAlignment="1">
      <alignment horizontal="left"/>
    </xf>
    <xf numFmtId="0" fontId="10" fillId="0" borderId="34" xfId="1526" applyFont="1" applyBorder="1" applyAlignment="1">
      <alignment horizontal="center"/>
    </xf>
    <xf numFmtId="2" fontId="16" fillId="0" borderId="35" xfId="1526" applyNumberFormat="1" applyFont="1" applyBorder="1" applyAlignment="1">
      <alignment horizontal="center"/>
    </xf>
    <xf numFmtId="0" fontId="10" fillId="0" borderId="32" xfId="1526" applyFont="1" applyBorder="1" applyAlignment="1">
      <alignment horizontal="center"/>
    </xf>
    <xf numFmtId="2" fontId="16" fillId="0" borderId="31" xfId="1526" applyNumberFormat="1" applyFont="1" applyBorder="1" applyAlignment="1">
      <alignment horizontal="center"/>
    </xf>
    <xf numFmtId="0" fontId="10" fillId="0" borderId="4" xfId="1526" applyFont="1" applyBorder="1" applyAlignment="1">
      <alignment horizontal="left"/>
    </xf>
    <xf numFmtId="2" fontId="16" fillId="0" borderId="36" xfId="1526" applyNumberFormat="1" applyFont="1" applyBorder="1" applyAlignment="1">
      <alignment horizontal="center"/>
    </xf>
    <xf numFmtId="0" fontId="10" fillId="0" borderId="32" xfId="1526" applyFont="1" applyBorder="1" applyAlignment="1">
      <alignment horizontal="left"/>
    </xf>
    <xf numFmtId="0" fontId="10" fillId="0" borderId="0" xfId="1526" applyFont="1" applyAlignment="1">
      <alignment horizontal="center"/>
    </xf>
    <xf numFmtId="1" fontId="10" fillId="64" borderId="37" xfId="1527" applyNumberFormat="1" applyFont="1" applyFill="1" applyBorder="1" applyAlignment="1">
      <alignment horizontal="center"/>
    </xf>
    <xf numFmtId="1" fontId="10" fillId="64" borderId="38" xfId="1526" applyNumberFormat="1" applyFont="1" applyFill="1" applyBorder="1" applyAlignment="1">
      <alignment horizontal="center"/>
    </xf>
    <xf numFmtId="1" fontId="10" fillId="64" borderId="37" xfId="1526" applyNumberFormat="1" applyFont="1" applyFill="1" applyBorder="1" applyAlignment="1">
      <alignment horizontal="center"/>
    </xf>
    <xf numFmtId="17" fontId="10" fillId="0" borderId="0" xfId="1526" applyNumberFormat="1" applyFont="1" applyAlignment="1">
      <alignment horizontal="left"/>
    </xf>
    <xf numFmtId="1" fontId="10" fillId="65" borderId="37" xfId="1527" applyNumberFormat="1" applyFont="1" applyFill="1" applyBorder="1" applyAlignment="1">
      <alignment horizontal="center"/>
    </xf>
    <xf numFmtId="1" fontId="10" fillId="65" borderId="38" xfId="1526" applyNumberFormat="1" applyFont="1" applyFill="1" applyBorder="1" applyAlignment="1">
      <alignment horizontal="center"/>
    </xf>
    <xf numFmtId="1" fontId="10" fillId="65" borderId="37" xfId="1526" applyNumberFormat="1" applyFont="1" applyFill="1" applyBorder="1" applyAlignment="1">
      <alignment horizontal="center"/>
    </xf>
    <xf numFmtId="1" fontId="10" fillId="65" borderId="27" xfId="1527" applyNumberFormat="1" applyFont="1" applyFill="1" applyBorder="1" applyAlignment="1">
      <alignment horizontal="center"/>
    </xf>
    <xf numFmtId="1" fontId="10" fillId="65" borderId="29" xfId="1527" applyNumberFormat="1" applyFont="1" applyFill="1" applyBorder="1" applyAlignment="1">
      <alignment horizontal="center"/>
    </xf>
    <xf numFmtId="1" fontId="10" fillId="65" borderId="28" xfId="1526" applyNumberFormat="1" applyFont="1" applyFill="1" applyBorder="1" applyAlignment="1">
      <alignment horizontal="center"/>
    </xf>
    <xf numFmtId="1" fontId="10" fillId="65" borderId="27" xfId="1526" applyNumberFormat="1" applyFont="1" applyFill="1" applyBorder="1" applyAlignment="1">
      <alignment horizontal="center"/>
    </xf>
    <xf numFmtId="1" fontId="10" fillId="65" borderId="30" xfId="1526" applyNumberFormat="1" applyFont="1" applyFill="1" applyBorder="1" applyAlignment="1">
      <alignment horizontal="center"/>
    </xf>
    <xf numFmtId="1" fontId="10" fillId="65" borderId="30" xfId="1527" applyNumberFormat="1" applyFont="1" applyFill="1" applyBorder="1" applyAlignment="1">
      <alignment horizontal="center"/>
    </xf>
    <xf numFmtId="1" fontId="10" fillId="65" borderId="39" xfId="1526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wrapText="1"/>
    </xf>
    <xf numFmtId="0" fontId="10" fillId="4" borderId="0" xfId="0" applyFont="1" applyFill="1" applyAlignment="1">
      <alignment horizontal="center"/>
    </xf>
    <xf numFmtId="0" fontId="10" fillId="66" borderId="0" xfId="0" quotePrefix="1" applyFont="1" applyFill="1" applyAlignment="1">
      <alignment horizontal="center"/>
    </xf>
    <xf numFmtId="0" fontId="10" fillId="4" borderId="0" xfId="0" applyFont="1" applyFill="1" applyAlignment="1">
      <alignment horizontal="left"/>
    </xf>
    <xf numFmtId="0" fontId="10" fillId="66" borderId="0" xfId="0" applyFont="1" applyFill="1" applyAlignment="1">
      <alignment horizontal="left"/>
    </xf>
    <xf numFmtId="0" fontId="81" fillId="0" borderId="0" xfId="0" applyFont="1"/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right"/>
    </xf>
    <xf numFmtId="10" fontId="0" fillId="0" borderId="0" xfId="2" applyNumberFormat="1" applyFont="1" applyAlignment="1">
      <alignment horizontal="center" vertical="center"/>
    </xf>
    <xf numFmtId="0" fontId="10" fillId="0" borderId="36" xfId="0" applyFont="1" applyBorder="1" applyAlignment="1">
      <alignment horizontal="right"/>
    </xf>
    <xf numFmtId="3" fontId="0" fillId="0" borderId="36" xfId="0" applyNumberFormat="1" applyBorder="1" applyAlignment="1">
      <alignment horizontal="center" vertical="center"/>
    </xf>
    <xf numFmtId="0" fontId="76" fillId="68" borderId="4" xfId="1524" applyFont="1" applyFill="1" applyBorder="1" applyAlignment="1">
      <alignment horizontal="center" vertical="center" wrapText="1"/>
    </xf>
    <xf numFmtId="0" fontId="76" fillId="40" borderId="4" xfId="1524" applyFont="1" applyFill="1" applyBorder="1" applyAlignment="1">
      <alignment horizontal="center" vertical="center" wrapText="1"/>
    </xf>
    <xf numFmtId="0" fontId="76" fillId="68" borderId="31" xfId="1524" applyFont="1" applyFill="1" applyBorder="1" applyAlignment="1">
      <alignment horizontal="center" vertical="center" wrapText="1"/>
    </xf>
    <xf numFmtId="1" fontId="76" fillId="68" borderId="32" xfId="1524" applyNumberFormat="1" applyFont="1" applyFill="1" applyBorder="1" applyAlignment="1">
      <alignment horizontal="center" vertical="center" wrapText="1"/>
    </xf>
    <xf numFmtId="0" fontId="76" fillId="68" borderId="27" xfId="1524" applyFont="1" applyFill="1" applyBorder="1" applyAlignment="1">
      <alignment horizontal="center" vertical="center" wrapText="1"/>
    </xf>
    <xf numFmtId="1" fontId="76" fillId="68" borderId="28" xfId="1524" applyNumberFormat="1" applyFont="1" applyFill="1" applyBorder="1" applyAlignment="1">
      <alignment horizontal="center" vertical="center" wrapText="1"/>
    </xf>
    <xf numFmtId="0" fontId="76" fillId="68" borderId="29" xfId="1524" applyFont="1" applyFill="1" applyBorder="1" applyAlignment="1">
      <alignment horizontal="center" vertical="center" wrapText="1"/>
    </xf>
    <xf numFmtId="0" fontId="76" fillId="68" borderId="28" xfId="1524" applyFont="1" applyFill="1" applyBorder="1" applyAlignment="1">
      <alignment horizontal="center" vertical="center" wrapText="1"/>
    </xf>
    <xf numFmtId="0" fontId="76" fillId="68" borderId="30" xfId="1524" applyFont="1" applyFill="1" applyBorder="1" applyAlignment="1">
      <alignment horizontal="center" vertical="center" wrapText="1"/>
    </xf>
    <xf numFmtId="0" fontId="76" fillId="68" borderId="24" xfId="1524" applyFont="1" applyFill="1" applyBorder="1" applyAlignment="1">
      <alignment horizontal="center" vertical="center" wrapText="1"/>
    </xf>
    <xf numFmtId="0" fontId="76" fillId="68" borderId="26" xfId="1524" applyFont="1" applyFill="1" applyBorder="1" applyAlignment="1">
      <alignment horizontal="center" vertical="center" wrapText="1"/>
    </xf>
    <xf numFmtId="0" fontId="76" fillId="68" borderId="25" xfId="1524" applyFont="1" applyFill="1" applyBorder="1" applyAlignment="1">
      <alignment horizontal="center" vertical="center" wrapText="1"/>
    </xf>
    <xf numFmtId="0" fontId="82" fillId="0" borderId="0" xfId="0" applyFont="1" applyAlignment="1">
      <alignment horizontal="left"/>
    </xf>
    <xf numFmtId="0" fontId="12" fillId="0" borderId="0" xfId="75" applyFont="1" applyAlignment="1">
      <alignment horizontal="left" vertical="center"/>
    </xf>
    <xf numFmtId="0" fontId="10" fillId="0" borderId="0" xfId="75"/>
    <xf numFmtId="0" fontId="12" fillId="0" borderId="0" xfId="1531" applyFont="1" applyAlignment="1">
      <alignment horizontal="center" vertical="center" wrapText="1"/>
    </xf>
    <xf numFmtId="0" fontId="10" fillId="0" borderId="0" xfId="620"/>
    <xf numFmtId="181" fontId="10" fillId="0" borderId="0" xfId="75" applyNumberFormat="1" applyAlignment="1">
      <alignment horizontal="center" vertical="center"/>
    </xf>
    <xf numFmtId="0" fontId="12" fillId="0" borderId="0" xfId="75" applyFont="1"/>
    <xf numFmtId="0" fontId="84" fillId="0" borderId="0" xfId="1533"/>
    <xf numFmtId="174" fontId="10" fillId="0" borderId="0" xfId="75" applyNumberFormat="1"/>
    <xf numFmtId="183" fontId="10" fillId="0" borderId="0" xfId="75" applyNumberFormat="1"/>
    <xf numFmtId="0" fontId="10" fillId="0" borderId="0" xfId="75" applyAlignment="1">
      <alignment horizontal="left" vertical="center" wrapText="1"/>
    </xf>
    <xf numFmtId="174" fontId="10" fillId="0" borderId="0" xfId="1532" applyNumberFormat="1" applyAlignment="1">
      <alignment horizontal="center" vertical="center"/>
    </xf>
    <xf numFmtId="174" fontId="10" fillId="0" borderId="0" xfId="75" applyNumberFormat="1" applyAlignment="1">
      <alignment horizontal="center" vertical="center"/>
    </xf>
    <xf numFmtId="0" fontId="12" fillId="0" borderId="0" xfId="75" applyFont="1" applyAlignment="1">
      <alignment vertical="center"/>
    </xf>
    <xf numFmtId="3" fontId="12" fillId="0" borderId="0" xfId="1531" applyNumberFormat="1" applyFont="1" applyAlignment="1">
      <alignment horizontal="center" vertical="center" wrapText="1"/>
    </xf>
    <xf numFmtId="3" fontId="10" fillId="0" borderId="0" xfId="75" applyNumberFormat="1"/>
    <xf numFmtId="3" fontId="10" fillId="0" borderId="0" xfId="1532" applyNumberFormat="1" applyAlignment="1">
      <alignment horizontal="center" vertical="center"/>
    </xf>
    <xf numFmtId="3" fontId="10" fillId="0" borderId="0" xfId="75" applyNumberFormat="1" applyAlignment="1">
      <alignment horizontal="center" vertical="center"/>
    </xf>
    <xf numFmtId="1" fontId="10" fillId="0" borderId="0" xfId="75" applyNumberFormat="1" applyAlignment="1">
      <alignment horizontal="left" vertical="center" indent="1"/>
    </xf>
    <xf numFmtId="182" fontId="10" fillId="0" borderId="0" xfId="1532" applyNumberFormat="1" applyAlignment="1">
      <alignment horizontal="center" vertical="center"/>
    </xf>
    <xf numFmtId="0" fontId="10" fillId="0" borderId="0" xfId="75" applyAlignment="1">
      <alignment horizontal="left" vertical="center"/>
    </xf>
    <xf numFmtId="0" fontId="10" fillId="0" borderId="0" xfId="75" applyAlignment="1">
      <alignment vertical="center"/>
    </xf>
    <xf numFmtId="0" fontId="86" fillId="0" borderId="36" xfId="4" applyFont="1" applyBorder="1" applyAlignment="1">
      <alignment vertical="center"/>
    </xf>
    <xf numFmtId="0" fontId="86" fillId="0" borderId="0" xfId="4" applyFont="1" applyAlignment="1">
      <alignment horizontal="left" vertical="center"/>
    </xf>
    <xf numFmtId="0" fontId="41" fillId="0" borderId="0" xfId="4" applyFont="1"/>
    <xf numFmtId="0" fontId="41" fillId="0" borderId="0" xfId="4" applyFont="1" applyAlignment="1">
      <alignment vertical="center"/>
    </xf>
    <xf numFmtId="3" fontId="41" fillId="0" borderId="0" xfId="4" applyNumberFormat="1" applyFont="1"/>
    <xf numFmtId="0" fontId="87" fillId="0" borderId="0" xfId="4" applyFont="1" applyAlignment="1">
      <alignment horizontal="left" vertical="center"/>
    </xf>
    <xf numFmtId="3" fontId="87" fillId="0" borderId="0" xfId="4" applyNumberFormat="1" applyFont="1" applyAlignment="1">
      <alignment horizontal="center" vertical="center" wrapText="1"/>
    </xf>
    <xf numFmtId="0" fontId="87" fillId="0" borderId="0" xfId="4" applyFont="1"/>
    <xf numFmtId="0" fontId="10" fillId="0" borderId="0" xfId="4"/>
    <xf numFmtId="0" fontId="0" fillId="0" borderId="0" xfId="4" applyFont="1"/>
    <xf numFmtId="3" fontId="10" fillId="0" borderId="0" xfId="75" applyNumberFormat="1" applyAlignment="1">
      <alignment horizontal="center" vertical="center" wrapText="1"/>
    </xf>
    <xf numFmtId="0" fontId="12" fillId="0" borderId="47" xfId="75" applyFont="1" applyBorder="1" applyAlignment="1">
      <alignment vertical="center"/>
    </xf>
    <xf numFmtId="0" fontId="12" fillId="0" borderId="36" xfId="75" applyFont="1" applyBorder="1" applyAlignment="1">
      <alignment vertical="center"/>
    </xf>
    <xf numFmtId="9" fontId="10" fillId="0" borderId="0" xfId="75" applyNumberFormat="1" applyAlignment="1">
      <alignment horizontal="center" vertical="center" wrapText="1"/>
    </xf>
    <xf numFmtId="174" fontId="84" fillId="0" borderId="0" xfId="1533" applyNumberFormat="1"/>
    <xf numFmtId="185" fontId="10" fillId="0" borderId="0" xfId="75" applyNumberFormat="1" applyAlignment="1">
      <alignment horizontal="center" vertical="center" wrapText="1"/>
    </xf>
    <xf numFmtId="3" fontId="12" fillId="0" borderId="0" xfId="75" applyNumberFormat="1" applyFont="1" applyAlignment="1">
      <alignment horizontal="center" vertical="center" wrapText="1"/>
    </xf>
    <xf numFmtId="0" fontId="10" fillId="0" borderId="0" xfId="75" applyAlignment="1">
      <alignment horizontal="center"/>
    </xf>
    <xf numFmtId="3" fontId="10" fillId="0" borderId="0" xfId="1531" applyNumberFormat="1" applyFont="1" applyAlignment="1">
      <alignment horizontal="center" wrapText="1"/>
    </xf>
    <xf numFmtId="0" fontId="10" fillId="0" borderId="0" xfId="75" applyAlignment="1">
      <alignment horizontal="center" vertical="center"/>
    </xf>
    <xf numFmtId="0" fontId="12" fillId="63" borderId="46" xfId="75" applyFont="1" applyFill="1" applyBorder="1" applyAlignment="1">
      <alignment horizontal="left" vertical="center"/>
    </xf>
    <xf numFmtId="0" fontId="12" fillId="63" borderId="0" xfId="75" applyFont="1" applyFill="1" applyAlignment="1">
      <alignment horizontal="left" vertical="center"/>
    </xf>
    <xf numFmtId="0" fontId="12" fillId="63" borderId="48" xfId="75" applyFont="1" applyFill="1" applyBorder="1" applyAlignment="1">
      <alignment horizontal="left" vertical="center"/>
    </xf>
    <xf numFmtId="187" fontId="10" fillId="63" borderId="45" xfId="75" applyNumberFormat="1" applyFill="1" applyBorder="1" applyAlignment="1">
      <alignment horizontal="center" vertical="center"/>
    </xf>
    <xf numFmtId="0" fontId="10" fillId="63" borderId="45" xfId="75" applyFill="1" applyBorder="1" applyAlignment="1">
      <alignment horizontal="center" vertical="center"/>
    </xf>
    <xf numFmtId="3" fontId="10" fillId="63" borderId="45" xfId="1532" applyNumberFormat="1" applyFill="1" applyBorder="1" applyAlignment="1">
      <alignment horizontal="center" vertical="center"/>
    </xf>
    <xf numFmtId="0" fontId="12" fillId="63" borderId="0" xfId="75" applyFont="1" applyFill="1" applyAlignment="1">
      <alignment horizontal="left" wrapText="1"/>
    </xf>
    <xf numFmtId="0" fontId="10" fillId="63" borderId="0" xfId="75" applyFill="1"/>
    <xf numFmtId="0" fontId="12" fillId="63" borderId="0" xfId="75" applyFont="1" applyFill="1" applyAlignment="1">
      <alignment wrapText="1"/>
    </xf>
    <xf numFmtId="0" fontId="10" fillId="63" borderId="0" xfId="620" applyFill="1"/>
    <xf numFmtId="0" fontId="84" fillId="63" borderId="0" xfId="1533" applyFill="1"/>
    <xf numFmtId="0" fontId="10" fillId="63" borderId="0" xfId="75" applyFill="1" applyAlignment="1">
      <alignment horizontal="left" wrapText="1"/>
    </xf>
    <xf numFmtId="183" fontId="10" fillId="63" borderId="0" xfId="75" applyNumberFormat="1" applyFill="1"/>
    <xf numFmtId="0" fontId="10" fillId="63" borderId="46" xfId="75" applyFill="1" applyBorder="1" applyAlignment="1">
      <alignment horizontal="left" wrapText="1"/>
    </xf>
    <xf numFmtId="0" fontId="10" fillId="63" borderId="48" xfId="75" applyFill="1" applyBorder="1" applyAlignment="1">
      <alignment horizontal="left" wrapText="1"/>
    </xf>
    <xf numFmtId="0" fontId="10" fillId="63" borderId="0" xfId="75" applyFill="1" applyAlignment="1">
      <alignment horizontal="center"/>
    </xf>
    <xf numFmtId="0" fontId="10" fillId="63" borderId="0" xfId="75" applyFill="1" applyAlignment="1">
      <alignment horizontal="center" vertical="center"/>
    </xf>
    <xf numFmtId="0" fontId="10" fillId="63" borderId="46" xfId="75" applyFill="1" applyBorder="1" applyAlignment="1">
      <alignment horizontal="center" vertical="center"/>
    </xf>
    <xf numFmtId="0" fontId="10" fillId="63" borderId="48" xfId="75" applyFill="1" applyBorder="1" applyAlignment="1">
      <alignment horizontal="center" vertical="center"/>
    </xf>
    <xf numFmtId="0" fontId="10" fillId="63" borderId="46" xfId="75" applyFill="1" applyBorder="1" applyAlignment="1">
      <alignment horizontal="center"/>
    </xf>
    <xf numFmtId="0" fontId="10" fillId="63" borderId="48" xfId="75" applyFill="1" applyBorder="1" applyAlignment="1">
      <alignment horizontal="center"/>
    </xf>
    <xf numFmtId="0" fontId="10" fillId="63" borderId="49" xfId="75" applyFill="1" applyBorder="1"/>
    <xf numFmtId="167" fontId="10" fillId="63" borderId="49" xfId="75" applyNumberFormat="1" applyFill="1" applyBorder="1"/>
    <xf numFmtId="0" fontId="10" fillId="63" borderId="4" xfId="75" applyFill="1" applyBorder="1"/>
    <xf numFmtId="182" fontId="10" fillId="63" borderId="4" xfId="75" applyNumberFormat="1" applyFill="1" applyBorder="1"/>
    <xf numFmtId="174" fontId="0" fillId="0" borderId="0" xfId="0" applyNumberFormat="1" applyAlignment="1">
      <alignment horizontal="center"/>
    </xf>
    <xf numFmtId="0" fontId="86" fillId="63" borderId="45" xfId="4" applyFont="1" applyFill="1" applyBorder="1" applyAlignment="1">
      <alignment vertical="center"/>
    </xf>
    <xf numFmtId="0" fontId="12" fillId="63" borderId="45" xfId="4" applyFont="1" applyFill="1" applyBorder="1" applyAlignment="1">
      <alignment vertical="center"/>
    </xf>
    <xf numFmtId="0" fontId="10" fillId="63" borderId="47" xfId="4" applyFill="1" applyBorder="1" applyAlignment="1">
      <alignment horizontal="left" vertical="center"/>
    </xf>
    <xf numFmtId="171" fontId="10" fillId="63" borderId="45" xfId="2" applyNumberFormat="1" applyFont="1" applyFill="1" applyBorder="1" applyAlignment="1">
      <alignment horizontal="center" vertical="center"/>
    </xf>
    <xf numFmtId="0" fontId="0" fillId="63" borderId="46" xfId="0" applyFill="1" applyBorder="1"/>
    <xf numFmtId="1" fontId="10" fillId="0" borderId="0" xfId="736" applyNumberFormat="1" applyFont="1"/>
    <xf numFmtId="172" fontId="10" fillId="63" borderId="38" xfId="1" applyNumberFormat="1" applyFill="1" applyBorder="1"/>
    <xf numFmtId="172" fontId="10" fillId="63" borderId="58" xfId="620" applyNumberFormat="1" applyFill="1" applyBorder="1" applyAlignment="1">
      <alignment horizontal="center" vertical="center"/>
    </xf>
    <xf numFmtId="0" fontId="12" fillId="63" borderId="24" xfId="620" applyFont="1" applyFill="1" applyBorder="1" applyAlignment="1">
      <alignment horizontal="right"/>
    </xf>
    <xf numFmtId="172" fontId="10" fillId="63" borderId="55" xfId="620" applyNumberFormat="1" applyFill="1" applyBorder="1"/>
    <xf numFmtId="0" fontId="10" fillId="63" borderId="27" xfId="620" applyFill="1" applyBorder="1" applyAlignment="1">
      <alignment horizontal="right"/>
    </xf>
    <xf numFmtId="0" fontId="12" fillId="63" borderId="0" xfId="75" applyFont="1" applyFill="1" applyAlignment="1">
      <alignment vertical="center"/>
    </xf>
    <xf numFmtId="172" fontId="10" fillId="63" borderId="30" xfId="620" applyNumberFormat="1" applyFill="1" applyBorder="1" applyAlignment="1">
      <alignment horizontal="center" vertical="center"/>
    </xf>
    <xf numFmtId="167" fontId="10" fillId="63" borderId="4" xfId="2" applyNumberFormat="1" applyFill="1" applyBorder="1"/>
    <xf numFmtId="0" fontId="10" fillId="63" borderId="30" xfId="620" applyFill="1" applyBorder="1" applyAlignment="1">
      <alignment horizontal="center" vertical="center"/>
    </xf>
    <xf numFmtId="0" fontId="12" fillId="63" borderId="0" xfId="620" applyFont="1" applyFill="1" applyAlignment="1">
      <alignment horizontal="right"/>
    </xf>
    <xf numFmtId="172" fontId="10" fillId="63" borderId="4" xfId="1" applyNumberFormat="1" applyFill="1" applyBorder="1"/>
    <xf numFmtId="0" fontId="10" fillId="63" borderId="55" xfId="620" applyFill="1" applyBorder="1"/>
    <xf numFmtId="0" fontId="12" fillId="63" borderId="55" xfId="620" applyFont="1" applyFill="1" applyBorder="1" applyAlignment="1">
      <alignment horizontal="right"/>
    </xf>
    <xf numFmtId="167" fontId="10" fillId="63" borderId="30" xfId="2" applyNumberFormat="1" applyFill="1" applyBorder="1" applyAlignment="1">
      <alignment horizontal="right" vertical="center"/>
    </xf>
    <xf numFmtId="0" fontId="12" fillId="63" borderId="38" xfId="620" applyFont="1" applyFill="1" applyBorder="1" applyAlignment="1">
      <alignment horizontal="center" vertical="center" wrapText="1"/>
    </xf>
    <xf numFmtId="0" fontId="12" fillId="70" borderId="56" xfId="620" applyFont="1" applyFill="1" applyBorder="1" applyAlignment="1">
      <alignment horizontal="center" vertical="center"/>
    </xf>
    <xf numFmtId="169" fontId="10" fillId="0" borderId="61" xfId="620" applyNumberFormat="1" applyBorder="1" applyAlignment="1">
      <alignment horizontal="center"/>
    </xf>
    <xf numFmtId="172" fontId="10" fillId="63" borderId="26" xfId="620" applyNumberFormat="1" applyFill="1" applyBorder="1" applyAlignment="1">
      <alignment horizontal="center" vertical="center"/>
    </xf>
    <xf numFmtId="172" fontId="10" fillId="63" borderId="30" xfId="1" applyNumberFormat="1" applyFont="1" applyFill="1" applyBorder="1"/>
    <xf numFmtId="3" fontId="10" fillId="63" borderId="30" xfId="620" applyNumberFormat="1" applyFill="1" applyBorder="1"/>
    <xf numFmtId="172" fontId="10" fillId="63" borderId="4" xfId="620" applyNumberFormat="1" applyFill="1" applyBorder="1"/>
    <xf numFmtId="167" fontId="10" fillId="63" borderId="38" xfId="2" applyNumberFormat="1" applyFill="1" applyBorder="1" applyAlignment="1">
      <alignment horizontal="right" vertical="center"/>
    </xf>
    <xf numFmtId="188" fontId="10" fillId="63" borderId="30" xfId="620" applyNumberFormat="1" applyFill="1" applyBorder="1"/>
    <xf numFmtId="172" fontId="10" fillId="63" borderId="28" xfId="1" applyNumberFormat="1" applyFill="1" applyBorder="1"/>
    <xf numFmtId="0" fontId="10" fillId="63" borderId="37" xfId="620" applyFill="1" applyBorder="1" applyAlignment="1">
      <alignment horizontal="right"/>
    </xf>
    <xf numFmtId="172" fontId="10" fillId="63" borderId="30" xfId="1" applyNumberFormat="1" applyFill="1" applyBorder="1"/>
    <xf numFmtId="0" fontId="12" fillId="63" borderId="4" xfId="620" applyFont="1" applyFill="1" applyBorder="1" applyAlignment="1">
      <alignment horizontal="right"/>
    </xf>
    <xf numFmtId="167" fontId="10" fillId="63" borderId="30" xfId="2" applyNumberFormat="1" applyFill="1" applyBorder="1"/>
    <xf numFmtId="167" fontId="10" fillId="63" borderId="25" xfId="2" applyNumberFormat="1" applyFill="1" applyBorder="1" applyAlignment="1">
      <alignment horizontal="right" vertical="center"/>
    </xf>
    <xf numFmtId="167" fontId="10" fillId="63" borderId="28" xfId="2" applyNumberFormat="1" applyFill="1" applyBorder="1" applyAlignment="1">
      <alignment horizontal="right" vertical="center"/>
    </xf>
    <xf numFmtId="0" fontId="10" fillId="63" borderId="30" xfId="620" applyFill="1" applyBorder="1" applyAlignment="1">
      <alignment horizontal="right"/>
    </xf>
    <xf numFmtId="0" fontId="12" fillId="63" borderId="60" xfId="620" applyFont="1" applyFill="1" applyBorder="1" applyAlignment="1">
      <alignment horizontal="right"/>
    </xf>
    <xf numFmtId="167" fontId="10" fillId="63" borderId="59" xfId="2" applyNumberFormat="1" applyFill="1" applyBorder="1" applyAlignment="1">
      <alignment horizontal="right" vertical="center"/>
    </xf>
    <xf numFmtId="0" fontId="12" fillId="70" borderId="57" xfId="620" applyFont="1" applyFill="1" applyBorder="1"/>
    <xf numFmtId="0" fontId="10" fillId="70" borderId="56" xfId="620" applyFill="1" applyBorder="1"/>
    <xf numFmtId="0" fontId="12" fillId="70" borderId="62" xfId="620" applyFont="1" applyFill="1" applyBorder="1" applyAlignment="1">
      <alignment horizontal="center" vertical="center"/>
    </xf>
    <xf numFmtId="3" fontId="10" fillId="63" borderId="58" xfId="620" applyNumberFormat="1" applyFill="1" applyBorder="1"/>
    <xf numFmtId="172" fontId="10" fillId="4" borderId="30" xfId="1" applyNumberFormat="1" applyFont="1" applyFill="1" applyBorder="1"/>
    <xf numFmtId="172" fontId="10" fillId="4" borderId="4" xfId="620" applyNumberFormat="1" applyFill="1" applyBorder="1"/>
    <xf numFmtId="0" fontId="0" fillId="63" borderId="0" xfId="0" applyFill="1"/>
    <xf numFmtId="171" fontId="0" fillId="0" borderId="0" xfId="0" applyNumberFormat="1"/>
    <xf numFmtId="17" fontId="10" fillId="71" borderId="0" xfId="1526" applyNumberFormat="1" applyFont="1" applyFill="1" applyAlignment="1">
      <alignment horizontal="left"/>
    </xf>
    <xf numFmtId="1" fontId="10" fillId="71" borderId="37" xfId="1527" applyNumberFormat="1" applyFont="1" applyFill="1" applyBorder="1" applyAlignment="1">
      <alignment horizontal="center"/>
    </xf>
    <xf numFmtId="1" fontId="10" fillId="71" borderId="38" xfId="1526" applyNumberFormat="1" applyFont="1" applyFill="1" applyBorder="1" applyAlignment="1">
      <alignment horizontal="center"/>
    </xf>
    <xf numFmtId="1" fontId="10" fillId="71" borderId="37" xfId="1526" applyNumberFormat="1" applyFont="1" applyFill="1" applyBorder="1" applyAlignment="1">
      <alignment horizontal="center"/>
    </xf>
    <xf numFmtId="0" fontId="10" fillId="71" borderId="0" xfId="0" applyFont="1" applyFill="1" applyAlignment="1">
      <alignment horizontal="left"/>
    </xf>
    <xf numFmtId="0" fontId="0" fillId="71" borderId="0" xfId="0" applyFill="1" applyAlignment="1">
      <alignment horizontal="center"/>
    </xf>
    <xf numFmtId="17" fontId="10" fillId="0" borderId="0" xfId="0" applyNumberFormat="1" applyFont="1"/>
    <xf numFmtId="0" fontId="11" fillId="0" borderId="0" xfId="0" applyFont="1"/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17" fontId="10" fillId="70" borderId="36" xfId="0" applyNumberFormat="1" applyFont="1" applyFill="1" applyBorder="1"/>
    <xf numFmtId="17" fontId="10" fillId="0" borderId="0" xfId="0" applyNumberFormat="1" applyFont="1" applyAlignment="1">
      <alignment horizontal="right"/>
    </xf>
    <xf numFmtId="167" fontId="0" fillId="0" borderId="0" xfId="2" applyNumberFormat="1" applyFont="1" applyAlignment="1">
      <alignment horizontal="center" vertical="center"/>
    </xf>
    <xf numFmtId="17" fontId="11" fillId="0" borderId="0" xfId="0" applyNumberFormat="1" applyFont="1"/>
    <xf numFmtId="0" fontId="0" fillId="71" borderId="0" xfId="0" applyFill="1" applyAlignment="1">
      <alignment horizontal="right"/>
    </xf>
    <xf numFmtId="169" fontId="0" fillId="71" borderId="0" xfId="0" applyNumberFormat="1" applyFill="1" applyAlignment="1">
      <alignment horizontal="center"/>
    </xf>
    <xf numFmtId="3" fontId="0" fillId="70" borderId="36" xfId="0" applyNumberFormat="1" applyFill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0" fillId="70" borderId="0" xfId="0" applyFill="1" applyAlignment="1">
      <alignment horizontal="right"/>
    </xf>
    <xf numFmtId="169" fontId="0" fillId="70" borderId="0" xfId="0" applyNumberFormat="1" applyFill="1" applyAlignment="1">
      <alignment horizontal="center"/>
    </xf>
    <xf numFmtId="3" fontId="0" fillId="71" borderId="0" xfId="0" applyNumberFormat="1" applyFill="1" applyAlignment="1">
      <alignment horizontal="center"/>
    </xf>
    <xf numFmtId="3" fontId="0" fillId="71" borderId="0" xfId="0" applyNumberFormat="1" applyFill="1" applyAlignment="1">
      <alignment horizontal="center" vertical="center"/>
    </xf>
    <xf numFmtId="167" fontId="0" fillId="0" borderId="0" xfId="0" applyNumberFormat="1"/>
    <xf numFmtId="0" fontId="10" fillId="40" borderId="0" xfId="0" applyFont="1" applyFill="1" applyAlignment="1">
      <alignment horizontal="right"/>
    </xf>
    <xf numFmtId="171" fontId="0" fillId="40" borderId="0" xfId="0" applyNumberFormat="1" applyFill="1" applyAlignment="1">
      <alignment horizontal="center"/>
    </xf>
    <xf numFmtId="171" fontId="0" fillId="0" borderId="0" xfId="2" applyNumberFormat="1" applyFont="1" applyAlignment="1">
      <alignment horizontal="center"/>
    </xf>
    <xf numFmtId="3" fontId="84" fillId="0" borderId="0" xfId="1533" applyNumberFormat="1"/>
    <xf numFmtId="9" fontId="10" fillId="0" borderId="0" xfId="2" applyFont="1"/>
    <xf numFmtId="3" fontId="0" fillId="0" borderId="0" xfId="1" applyNumberFormat="1" applyFont="1" applyAlignment="1">
      <alignment horizontal="center" vertical="center"/>
    </xf>
    <xf numFmtId="0" fontId="10" fillId="0" borderId="0" xfId="736" applyFont="1" applyAlignment="1">
      <alignment horizontal="center" vertical="center" wrapText="1"/>
    </xf>
    <xf numFmtId="1" fontId="10" fillId="0" borderId="0" xfId="736" applyNumberFormat="1" applyFont="1" applyAlignment="1">
      <alignment horizontal="center" vertical="center"/>
    </xf>
    <xf numFmtId="1" fontId="40" fillId="0" borderId="0" xfId="736" applyNumberFormat="1" applyFont="1" applyAlignment="1">
      <alignment horizontal="center" vertical="center"/>
    </xf>
    <xf numFmtId="0" fontId="82" fillId="0" borderId="0" xfId="0" applyFont="1" applyAlignment="1">
      <alignment horizontal="center"/>
    </xf>
    <xf numFmtId="1" fontId="0" fillId="71" borderId="69" xfId="1527" applyNumberFormat="1" applyFont="1" applyFill="1" applyBorder="1" applyAlignment="1">
      <alignment horizontal="center"/>
    </xf>
    <xf numFmtId="1" fontId="0" fillId="0" borderId="0" xfId="736" applyNumberFormat="1" applyFont="1" applyAlignment="1">
      <alignment horizontal="center" vertical="center"/>
    </xf>
    <xf numFmtId="1" fontId="40" fillId="63" borderId="0" xfId="736" applyNumberFormat="1" applyFont="1" applyFill="1" applyAlignment="1">
      <alignment horizontal="center" vertical="center"/>
    </xf>
    <xf numFmtId="0" fontId="10" fillId="63" borderId="0" xfId="736" applyFont="1" applyFill="1" applyAlignment="1">
      <alignment horizontal="center" vertical="center"/>
    </xf>
    <xf numFmtId="12" fontId="11" fillId="0" borderId="54" xfId="0" applyNumberFormat="1" applyFont="1" applyBorder="1" applyAlignment="1">
      <alignment horizontal="center" vertical="center" wrapText="1"/>
    </xf>
    <xf numFmtId="12" fontId="10" fillId="0" borderId="54" xfId="0" applyNumberFormat="1" applyFont="1" applyBorder="1" applyAlignment="1">
      <alignment horizontal="center" vertical="center"/>
    </xf>
    <xf numFmtId="0" fontId="0" fillId="0" borderId="2" xfId="0" applyBorder="1"/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Continuous"/>
    </xf>
    <xf numFmtId="180" fontId="0" fillId="0" borderId="0" xfId="0" applyNumberFormat="1" applyAlignment="1">
      <alignment horizontal="center" vertical="center"/>
    </xf>
    <xf numFmtId="0" fontId="12" fillId="63" borderId="45" xfId="4" applyFont="1" applyFill="1" applyBorder="1" applyAlignment="1">
      <alignment horizontal="left" vertical="center"/>
    </xf>
    <xf numFmtId="0" fontId="12" fillId="63" borderId="45" xfId="75" applyFont="1" applyFill="1" applyBorder="1" applyAlignment="1">
      <alignment horizontal="left" vertical="center"/>
    </xf>
    <xf numFmtId="0" fontId="12" fillId="0" borderId="45" xfId="75" applyFont="1" applyBorder="1" applyAlignment="1">
      <alignment horizontal="left" vertical="center"/>
    </xf>
    <xf numFmtId="0" fontId="12" fillId="0" borderId="0" xfId="75" applyFont="1" applyAlignment="1">
      <alignment horizontal="left" vertical="center"/>
    </xf>
    <xf numFmtId="0" fontId="12" fillId="0" borderId="47" xfId="4" applyFont="1" applyBorder="1" applyAlignment="1">
      <alignment horizontal="left" vertical="center"/>
    </xf>
    <xf numFmtId="0" fontId="12" fillId="0" borderId="36" xfId="4" applyFont="1" applyBorder="1" applyAlignment="1">
      <alignment horizontal="left" vertical="center"/>
    </xf>
    <xf numFmtId="0" fontId="12" fillId="63" borderId="36" xfId="75" applyFont="1" applyFill="1" applyBorder="1" applyAlignment="1">
      <alignment horizontal="left" vertical="center"/>
    </xf>
    <xf numFmtId="3" fontId="12" fillId="63" borderId="45" xfId="0" applyNumberFormat="1" applyFont="1" applyFill="1" applyBorder="1" applyAlignment="1">
      <alignment horizontal="left"/>
    </xf>
    <xf numFmtId="0" fontId="12" fillId="0" borderId="36" xfId="75" applyFont="1" applyBorder="1" applyAlignment="1">
      <alignment horizontal="left" vertical="center"/>
    </xf>
    <xf numFmtId="0" fontId="12" fillId="0" borderId="36" xfId="75" applyFont="1" applyBorder="1" applyAlignment="1">
      <alignment horizontal="left" vertical="center" wrapText="1"/>
    </xf>
    <xf numFmtId="0" fontId="12" fillId="70" borderId="57" xfId="620" applyFont="1" applyFill="1" applyBorder="1" applyAlignment="1">
      <alignment horizontal="center" vertical="center"/>
    </xf>
    <xf numFmtId="0" fontId="12" fillId="70" borderId="37" xfId="620" applyFont="1" applyFill="1" applyBorder="1" applyAlignment="1">
      <alignment horizontal="center" vertical="center"/>
    </xf>
    <xf numFmtId="0" fontId="12" fillId="70" borderId="56" xfId="620" applyFont="1" applyFill="1" applyBorder="1" applyAlignment="1">
      <alignment horizontal="center" vertical="center"/>
    </xf>
    <xf numFmtId="0" fontId="12" fillId="70" borderId="56" xfId="620" applyFont="1" applyFill="1" applyBorder="1" applyAlignment="1">
      <alignment horizontal="center" vertical="center" wrapText="1"/>
    </xf>
    <xf numFmtId="0" fontId="12" fillId="70" borderId="62" xfId="620" applyFont="1" applyFill="1" applyBorder="1" applyAlignment="1">
      <alignment horizontal="center" vertical="center" wrapText="1"/>
    </xf>
    <xf numFmtId="0" fontId="10" fillId="0" borderId="67" xfId="736" applyFont="1" applyBorder="1" applyAlignment="1">
      <alignment horizontal="center"/>
    </xf>
    <xf numFmtId="0" fontId="10" fillId="0" borderId="68" xfId="736" applyFont="1" applyBorder="1" applyAlignment="1">
      <alignment horizontal="center"/>
    </xf>
    <xf numFmtId="49" fontId="76" fillId="68" borderId="41" xfId="1524" applyNumberFormat="1" applyFont="1" applyFill="1" applyBorder="1" applyAlignment="1">
      <alignment horizontal="center" vertical="center" wrapText="1"/>
    </xf>
    <xf numFmtId="0" fontId="76" fillId="68" borderId="36" xfId="1524" applyFont="1" applyFill="1" applyBorder="1" applyAlignment="1">
      <alignment horizontal="center" vertical="center" wrapText="1"/>
    </xf>
    <xf numFmtId="0" fontId="76" fillId="68" borderId="40" xfId="1524" applyFont="1" applyFill="1" applyBorder="1" applyAlignment="1">
      <alignment horizontal="center" vertical="center" wrapText="1"/>
    </xf>
    <xf numFmtId="49" fontId="76" fillId="68" borderId="42" xfId="1524" applyNumberFormat="1" applyFont="1" applyFill="1" applyBorder="1" applyAlignment="1">
      <alignment horizontal="center" vertical="center" wrapText="1"/>
    </xf>
    <xf numFmtId="0" fontId="76" fillId="68" borderId="0" xfId="1524" applyFont="1" applyFill="1" applyAlignment="1">
      <alignment horizontal="center" vertical="center" wrapText="1"/>
    </xf>
    <xf numFmtId="0" fontId="76" fillId="68" borderId="43" xfId="1524" applyFont="1" applyFill="1" applyBorder="1" applyAlignment="1">
      <alignment horizontal="center" vertical="center" wrapText="1"/>
    </xf>
    <xf numFmtId="0" fontId="76" fillId="68" borderId="41" xfId="1524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0" fontId="82" fillId="0" borderId="0" xfId="0" applyFont="1" applyAlignment="1">
      <alignment horizontal="center"/>
    </xf>
    <xf numFmtId="0" fontId="12" fillId="63" borderId="54" xfId="75" applyFont="1" applyFill="1" applyBorder="1" applyAlignment="1">
      <alignment horizontal="left" vertical="center" wrapText="1"/>
    </xf>
    <xf numFmtId="0" fontId="12" fillId="63" borderId="54" xfId="75" applyFont="1" applyFill="1" applyBorder="1" applyAlignment="1">
      <alignment horizontal="center" vertical="center" wrapText="1"/>
    </xf>
    <xf numFmtId="0" fontId="12" fillId="63" borderId="54" xfId="75" applyFont="1" applyFill="1" applyBorder="1" applyAlignment="1">
      <alignment horizontal="left" vertical="center"/>
    </xf>
    <xf numFmtId="0" fontId="10" fillId="63" borderId="70" xfId="75" applyFill="1" applyBorder="1" applyAlignment="1">
      <alignment horizontal="left" vertical="center"/>
    </xf>
    <xf numFmtId="0" fontId="10" fillId="63" borderId="69" xfId="75" applyFill="1" applyBorder="1" applyAlignment="1">
      <alignment horizontal="center" vertical="center"/>
    </xf>
    <xf numFmtId="0" fontId="10" fillId="63" borderId="54" xfId="75" applyFill="1" applyBorder="1" applyAlignment="1">
      <alignment horizontal="left" vertical="center"/>
    </xf>
    <xf numFmtId="174" fontId="10" fillId="63" borderId="54" xfId="1532" applyNumberFormat="1" applyFill="1" applyBorder="1" applyAlignment="1">
      <alignment horizontal="center" vertical="center"/>
    </xf>
    <xf numFmtId="0" fontId="10" fillId="63" borderId="54" xfId="75" applyFill="1" applyBorder="1"/>
    <xf numFmtId="3" fontId="10" fillId="63" borderId="54" xfId="1532" applyNumberFormat="1" applyFill="1" applyBorder="1" applyAlignment="1">
      <alignment horizontal="center" vertical="center"/>
    </xf>
    <xf numFmtId="181" fontId="10" fillId="63" borderId="54" xfId="1533" applyNumberFormat="1" applyFont="1" applyFill="1" applyBorder="1" applyAlignment="1">
      <alignment horizontal="center" vertical="center"/>
    </xf>
    <xf numFmtId="182" fontId="10" fillId="63" borderId="54" xfId="1533" applyNumberFormat="1" applyFont="1" applyFill="1" applyBorder="1" applyAlignment="1">
      <alignment horizontal="center" vertical="center"/>
    </xf>
    <xf numFmtId="0" fontId="0" fillId="63" borderId="54" xfId="75" applyFont="1" applyFill="1" applyBorder="1" applyAlignment="1">
      <alignment horizontal="left" vertical="center"/>
    </xf>
    <xf numFmtId="3" fontId="12" fillId="63" borderId="54" xfId="75" applyNumberFormat="1" applyFont="1" applyFill="1" applyBorder="1" applyAlignment="1">
      <alignment horizontal="center" vertical="center" wrapText="1"/>
    </xf>
    <xf numFmtId="0" fontId="12" fillId="63" borderId="54" xfId="75" applyFont="1" applyFill="1" applyBorder="1" applyAlignment="1">
      <alignment horizontal="left" wrapText="1"/>
    </xf>
    <xf numFmtId="0" fontId="10" fillId="63" borderId="54" xfId="75" applyFill="1" applyBorder="1" applyAlignment="1">
      <alignment horizontal="left" wrapText="1"/>
    </xf>
    <xf numFmtId="187" fontId="10" fillId="63" borderId="54" xfId="75" applyNumberFormat="1" applyFill="1" applyBorder="1" applyAlignment="1">
      <alignment horizontal="center" vertical="center" wrapText="1"/>
    </xf>
    <xf numFmtId="0" fontId="10" fillId="63" borderId="54" xfId="75" applyFill="1" applyBorder="1" applyAlignment="1">
      <alignment horizontal="center" vertical="center" wrapText="1"/>
    </xf>
    <xf numFmtId="174" fontId="10" fillId="63" borderId="54" xfId="75" applyNumberFormat="1" applyFill="1" applyBorder="1" applyAlignment="1">
      <alignment horizontal="center" vertical="center"/>
    </xf>
    <xf numFmtId="49" fontId="10" fillId="63" borderId="54" xfId="75" applyNumberFormat="1" applyFill="1" applyBorder="1" applyAlignment="1">
      <alignment horizontal="left" vertical="center"/>
    </xf>
    <xf numFmtId="0" fontId="10" fillId="63" borderId="54" xfId="75" applyFill="1" applyBorder="1" applyAlignment="1">
      <alignment horizontal="center"/>
    </xf>
    <xf numFmtId="3" fontId="10" fillId="63" borderId="54" xfId="75" applyNumberFormat="1" applyFill="1" applyBorder="1" applyAlignment="1">
      <alignment horizontal="center"/>
    </xf>
    <xf numFmtId="3" fontId="10" fillId="63" borderId="54" xfId="75" applyNumberFormat="1" applyFill="1" applyBorder="1" applyAlignment="1">
      <alignment horizontal="center" vertical="center" wrapText="1"/>
    </xf>
    <xf numFmtId="0" fontId="10" fillId="63" borderId="54" xfId="75" applyFill="1" applyBorder="1" applyAlignment="1">
      <alignment horizontal="left" vertical="center" wrapText="1"/>
    </xf>
    <xf numFmtId="3" fontId="10" fillId="63" borderId="54" xfId="75" applyNumberFormat="1" applyFill="1" applyBorder="1" applyAlignment="1">
      <alignment horizontal="center" vertical="center"/>
    </xf>
    <xf numFmtId="0" fontId="10" fillId="63" borderId="54" xfId="75" applyFill="1" applyBorder="1" applyAlignment="1">
      <alignment horizontal="center" vertical="center"/>
    </xf>
    <xf numFmtId="167" fontId="10" fillId="63" borderId="54" xfId="75" applyNumberFormat="1" applyFill="1" applyBorder="1"/>
    <xf numFmtId="3" fontId="10" fillId="63" borderId="54" xfId="75" applyNumberFormat="1" applyFill="1" applyBorder="1"/>
    <xf numFmtId="0" fontId="12" fillId="63" borderId="70" xfId="75" applyFont="1" applyFill="1" applyBorder="1"/>
    <xf numFmtId="3" fontId="10" fillId="63" borderId="69" xfId="75" applyNumberFormat="1" applyFill="1" applyBorder="1"/>
    <xf numFmtId="182" fontId="10" fillId="63" borderId="54" xfId="75" applyNumberFormat="1" applyFill="1" applyBorder="1"/>
    <xf numFmtId="0" fontId="12" fillId="63" borderId="70" xfId="75" applyFont="1" applyFill="1" applyBorder="1" applyAlignment="1">
      <alignment horizontal="left" vertical="center" wrapText="1"/>
    </xf>
    <xf numFmtId="0" fontId="12" fillId="63" borderId="70" xfId="75" applyFont="1" applyFill="1" applyBorder="1" applyAlignment="1">
      <alignment horizontal="center" vertical="center" wrapText="1"/>
    </xf>
    <xf numFmtId="0" fontId="12" fillId="63" borderId="70" xfId="75" applyFont="1" applyFill="1" applyBorder="1" applyAlignment="1">
      <alignment horizontal="left" vertical="center"/>
    </xf>
    <xf numFmtId="0" fontId="12" fillId="63" borderId="69" xfId="75" applyFont="1" applyFill="1" applyBorder="1" applyAlignment="1">
      <alignment horizontal="left" vertical="center"/>
    </xf>
    <xf numFmtId="184" fontId="10" fillId="63" borderId="54" xfId="1532" applyNumberFormat="1" applyFill="1" applyBorder="1" applyAlignment="1">
      <alignment horizontal="center" vertical="center"/>
    </xf>
    <xf numFmtId="169" fontId="10" fillId="63" borderId="54" xfId="75" applyNumberFormat="1" applyFill="1" applyBorder="1" applyAlignment="1">
      <alignment horizontal="center"/>
    </xf>
    <xf numFmtId="0" fontId="86" fillId="63" borderId="70" xfId="4" applyFont="1" applyFill="1" applyBorder="1" applyAlignment="1">
      <alignment vertical="center"/>
    </xf>
    <xf numFmtId="0" fontId="86" fillId="63" borderId="69" xfId="4" applyFont="1" applyFill="1" applyBorder="1" applyAlignment="1">
      <alignment vertical="center"/>
    </xf>
    <xf numFmtId="0" fontId="41" fillId="63" borderId="54" xfId="4" applyFont="1" applyFill="1" applyBorder="1" applyAlignment="1">
      <alignment horizontal="left" vertical="center"/>
    </xf>
    <xf numFmtId="3" fontId="41" fillId="63" borderId="54" xfId="4" applyNumberFormat="1" applyFont="1" applyFill="1" applyBorder="1" applyAlignment="1">
      <alignment horizontal="center" vertical="center" wrapText="1"/>
    </xf>
    <xf numFmtId="0" fontId="12" fillId="63" borderId="70" xfId="4" applyFont="1" applyFill="1" applyBorder="1" applyAlignment="1">
      <alignment vertical="center"/>
    </xf>
    <xf numFmtId="0" fontId="12" fillId="63" borderId="69" xfId="4" applyFont="1" applyFill="1" applyBorder="1" applyAlignment="1">
      <alignment vertical="center"/>
    </xf>
    <xf numFmtId="0" fontId="10" fillId="63" borderId="54" xfId="620" applyFill="1" applyBorder="1"/>
    <xf numFmtId="184" fontId="10" fillId="63" borderId="54" xfId="4" applyNumberFormat="1" applyFill="1" applyBorder="1" applyAlignment="1">
      <alignment horizontal="center" vertical="center" wrapText="1"/>
    </xf>
    <xf numFmtId="0" fontId="12" fillId="63" borderId="70" xfId="4" applyFont="1" applyFill="1" applyBorder="1" applyAlignment="1">
      <alignment horizontal="left" vertical="center"/>
    </xf>
    <xf numFmtId="184" fontId="12" fillId="63" borderId="54" xfId="4" applyNumberFormat="1" applyFont="1" applyFill="1" applyBorder="1" applyAlignment="1">
      <alignment horizontal="center" vertical="center" wrapText="1"/>
    </xf>
    <xf numFmtId="0" fontId="12" fillId="63" borderId="70" xfId="620" applyFont="1" applyFill="1" applyBorder="1" applyAlignment="1">
      <alignment horizontal="left" vertical="center" wrapText="1"/>
    </xf>
    <xf numFmtId="0" fontId="12" fillId="63" borderId="70" xfId="620" applyFont="1" applyFill="1" applyBorder="1" applyAlignment="1">
      <alignment horizontal="center" vertical="center" wrapText="1"/>
    </xf>
    <xf numFmtId="0" fontId="12" fillId="63" borderId="54" xfId="620" applyFont="1" applyFill="1" applyBorder="1" applyAlignment="1">
      <alignment horizontal="center" vertical="center" wrapText="1"/>
    </xf>
    <xf numFmtId="0" fontId="12" fillId="63" borderId="70" xfId="4" applyFont="1" applyFill="1" applyBorder="1" applyAlignment="1">
      <alignment horizontal="left" vertical="center"/>
    </xf>
    <xf numFmtId="0" fontId="12" fillId="63" borderId="69" xfId="4" applyFont="1" applyFill="1" applyBorder="1" applyAlignment="1">
      <alignment horizontal="left" vertical="center"/>
    </xf>
    <xf numFmtId="0" fontId="0" fillId="63" borderId="54" xfId="4" applyFont="1" applyFill="1" applyBorder="1" applyAlignment="1">
      <alignment horizontal="left" vertical="center" wrapText="1"/>
    </xf>
    <xf numFmtId="3" fontId="0" fillId="63" borderId="54" xfId="4" applyNumberFormat="1" applyFont="1" applyFill="1" applyBorder="1" applyAlignment="1">
      <alignment horizontal="center" vertical="center" wrapText="1"/>
    </xf>
    <xf numFmtId="0" fontId="12" fillId="0" borderId="70" xfId="75" applyFont="1" applyBorder="1" applyAlignment="1">
      <alignment horizontal="left" vertical="center"/>
    </xf>
    <xf numFmtId="0" fontId="12" fillId="0" borderId="69" xfId="75" applyFont="1" applyBorder="1" applyAlignment="1">
      <alignment horizontal="left" vertical="center"/>
    </xf>
    <xf numFmtId="0" fontId="12" fillId="63" borderId="54" xfId="620" applyFont="1" applyFill="1" applyBorder="1" applyAlignment="1">
      <alignment horizontal="left" vertical="center" wrapText="1"/>
    </xf>
    <xf numFmtId="174" fontId="10" fillId="63" borderId="54" xfId="75" applyNumberFormat="1" applyFill="1" applyBorder="1" applyAlignment="1">
      <alignment horizontal="center" vertical="center" wrapText="1"/>
    </xf>
    <xf numFmtId="0" fontId="12" fillId="0" borderId="54" xfId="75" applyFont="1" applyBorder="1" applyAlignment="1">
      <alignment horizontal="center" vertical="center" wrapText="1"/>
    </xf>
    <xf numFmtId="9" fontId="10" fillId="0" borderId="54" xfId="75" applyNumberFormat="1" applyBorder="1" applyAlignment="1">
      <alignment horizontal="center" vertical="center" wrapText="1"/>
    </xf>
    <xf numFmtId="182" fontId="10" fillId="63" borderId="54" xfId="75" applyNumberFormat="1" applyFill="1" applyBorder="1" applyAlignment="1">
      <alignment horizontal="center" vertical="center" wrapText="1"/>
    </xf>
    <xf numFmtId="185" fontId="10" fillId="63" borderId="54" xfId="75" applyNumberFormat="1" applyFill="1" applyBorder="1" applyAlignment="1">
      <alignment horizontal="center" vertical="center" wrapText="1"/>
    </xf>
    <xf numFmtId="171" fontId="10" fillId="63" borderId="54" xfId="2" applyNumberFormat="1" applyFont="1" applyFill="1" applyBorder="1" applyAlignment="1">
      <alignment horizontal="center" vertical="center"/>
    </xf>
    <xf numFmtId="0" fontId="10" fillId="63" borderId="70" xfId="75" applyFill="1" applyBorder="1" applyAlignment="1">
      <alignment vertical="center"/>
    </xf>
    <xf numFmtId="171" fontId="10" fillId="63" borderId="69" xfId="2" applyNumberFormat="1" applyFont="1" applyFill="1" applyBorder="1" applyAlignment="1">
      <alignment horizontal="center" vertical="center"/>
    </xf>
    <xf numFmtId="0" fontId="12" fillId="63" borderId="54" xfId="75" applyFont="1" applyFill="1" applyBorder="1" applyAlignment="1">
      <alignment horizontal="left" vertical="center"/>
    </xf>
    <xf numFmtId="186" fontId="12" fillId="63" borderId="54" xfId="75" applyNumberFormat="1" applyFont="1" applyFill="1" applyBorder="1" applyAlignment="1">
      <alignment horizontal="center" vertical="center" wrapText="1"/>
    </xf>
    <xf numFmtId="184" fontId="10" fillId="63" borderId="54" xfId="75" applyNumberFormat="1" applyFill="1" applyBorder="1" applyAlignment="1">
      <alignment horizontal="center" vertical="center" wrapText="1"/>
    </xf>
    <xf numFmtId="0" fontId="12" fillId="63" borderId="54" xfId="75" applyFont="1" applyFill="1" applyBorder="1" applyAlignment="1">
      <alignment vertical="center"/>
    </xf>
    <xf numFmtId="184" fontId="12" fillId="63" borderId="54" xfId="1532" applyNumberFormat="1" applyFont="1" applyFill="1" applyBorder="1" applyAlignment="1">
      <alignment horizontal="center" vertical="center"/>
    </xf>
    <xf numFmtId="0" fontId="10" fillId="63" borderId="54" xfId="75" applyFill="1" applyBorder="1" applyAlignment="1">
      <alignment vertical="center"/>
    </xf>
    <xf numFmtId="169" fontId="10" fillId="63" borderId="54" xfId="75" applyNumberFormat="1" applyFill="1" applyBorder="1" applyAlignment="1">
      <alignment horizontal="center" vertical="center"/>
    </xf>
    <xf numFmtId="3" fontId="12" fillId="63" borderId="70" xfId="0" applyNumberFormat="1" applyFont="1" applyFill="1" applyBorder="1" applyAlignment="1">
      <alignment horizontal="left"/>
    </xf>
    <xf numFmtId="3" fontId="12" fillId="63" borderId="69" xfId="0" applyNumberFormat="1" applyFont="1" applyFill="1" applyBorder="1" applyAlignment="1">
      <alignment horizontal="left"/>
    </xf>
    <xf numFmtId="3" fontId="10" fillId="63" borderId="54" xfId="75" applyNumberFormat="1" applyFill="1" applyBorder="1" applyAlignment="1">
      <alignment horizontal="left" vertical="center"/>
    </xf>
    <xf numFmtId="0" fontId="12" fillId="70" borderId="54" xfId="620" applyFont="1" applyFill="1" applyBorder="1" applyAlignment="1">
      <alignment horizontal="center" vertical="center" wrapText="1"/>
    </xf>
    <xf numFmtId="0" fontId="10" fillId="63" borderId="54" xfId="620" applyFill="1" applyBorder="1" applyAlignment="1">
      <alignment horizontal="right"/>
    </xf>
    <xf numFmtId="172" fontId="10" fillId="63" borderId="54" xfId="1" applyNumberFormat="1" applyFont="1" applyFill="1" applyBorder="1"/>
    <xf numFmtId="172" fontId="10" fillId="63" borderId="54" xfId="1" applyNumberFormat="1" applyFill="1" applyBorder="1"/>
    <xf numFmtId="167" fontId="10" fillId="63" borderId="54" xfId="2" applyNumberFormat="1" applyFill="1" applyBorder="1"/>
    <xf numFmtId="0" fontId="12" fillId="70" borderId="54" xfId="620" applyFont="1" applyFill="1" applyBorder="1" applyAlignment="1">
      <alignment horizontal="center" vertical="center"/>
    </xf>
    <xf numFmtId="0" fontId="10" fillId="63" borderId="54" xfId="620" applyFill="1" applyBorder="1" applyAlignment="1">
      <alignment horizontal="center" vertical="center"/>
    </xf>
    <xf numFmtId="188" fontId="10" fillId="63" borderId="54" xfId="620" applyNumberFormat="1" applyFill="1" applyBorder="1"/>
    <xf numFmtId="3" fontId="10" fillId="63" borderId="54" xfId="620" applyNumberFormat="1" applyFill="1" applyBorder="1"/>
    <xf numFmtId="0" fontId="12" fillId="70" borderId="54" xfId="620" applyFont="1" applyFill="1" applyBorder="1"/>
    <xf numFmtId="0" fontId="12" fillId="70" borderId="54" xfId="620" applyFont="1" applyFill="1" applyBorder="1" applyAlignment="1">
      <alignment horizontal="center" vertical="center"/>
    </xf>
    <xf numFmtId="0" fontId="10" fillId="70" borderId="54" xfId="620" applyFill="1" applyBorder="1"/>
    <xf numFmtId="172" fontId="10" fillId="63" borderId="54" xfId="620" applyNumberFormat="1" applyFill="1" applyBorder="1" applyAlignment="1">
      <alignment horizontal="center" vertical="center"/>
    </xf>
    <xf numFmtId="167" fontId="10" fillId="63" borderId="54" xfId="2" applyNumberFormat="1" applyFill="1" applyBorder="1" applyAlignment="1">
      <alignment horizontal="right" vertical="center"/>
    </xf>
    <xf numFmtId="165" fontId="0" fillId="0" borderId="54" xfId="0" applyNumberFormat="1" applyBorder="1"/>
    <xf numFmtId="172" fontId="0" fillId="0" borderId="54" xfId="1" applyNumberFormat="1" applyFont="1" applyBorder="1"/>
    <xf numFmtId="172" fontId="10" fillId="4" borderId="54" xfId="1" applyNumberFormat="1" applyFont="1" applyFill="1" applyBorder="1"/>
    <xf numFmtId="172" fontId="0" fillId="4" borderId="54" xfId="1" applyNumberFormat="1" applyFont="1" applyFill="1" applyBorder="1"/>
    <xf numFmtId="0" fontId="83" fillId="67" borderId="54" xfId="1524" applyFont="1" applyFill="1" applyBorder="1" applyAlignment="1">
      <alignment horizontal="center" vertical="center"/>
    </xf>
    <xf numFmtId="0" fontId="12" fillId="69" borderId="54" xfId="736" applyFont="1" applyFill="1" applyBorder="1" applyAlignment="1">
      <alignment horizontal="center"/>
    </xf>
    <xf numFmtId="1" fontId="10" fillId="63" borderId="54" xfId="736" applyNumberFormat="1" applyFont="1" applyFill="1" applyBorder="1" applyAlignment="1">
      <alignment horizontal="center"/>
    </xf>
    <xf numFmtId="1" fontId="10" fillId="63" borderId="54" xfId="736" applyNumberFormat="1" applyFont="1" applyFill="1" applyBorder="1" applyAlignment="1">
      <alignment horizontal="center" wrapText="1"/>
    </xf>
    <xf numFmtId="0" fontId="83" fillId="67" borderId="54" xfId="1524" applyFont="1" applyFill="1" applyBorder="1" applyAlignment="1">
      <alignment horizontal="center" vertical="center" wrapText="1"/>
    </xf>
    <xf numFmtId="0" fontId="76" fillId="40" borderId="54" xfId="1524" applyFont="1" applyFill="1" applyBorder="1" applyAlignment="1">
      <alignment horizontal="center" vertical="center" wrapText="1"/>
    </xf>
    <xf numFmtId="0" fontId="10" fillId="0" borderId="54" xfId="1526" applyFont="1" applyBorder="1" applyAlignment="1">
      <alignment horizontal="center"/>
    </xf>
    <xf numFmtId="0" fontId="12" fillId="0" borderId="54" xfId="1526" applyFont="1" applyBorder="1" applyAlignment="1">
      <alignment horizontal="center"/>
    </xf>
    <xf numFmtId="17" fontId="10" fillId="0" borderId="54" xfId="1526" applyNumberFormat="1" applyFont="1" applyBorder="1" applyAlignment="1">
      <alignment horizontal="left"/>
    </xf>
    <xf numFmtId="1" fontId="10" fillId="64" borderId="69" xfId="1527" applyNumberFormat="1" applyFont="1" applyFill="1" applyBorder="1" applyAlignment="1">
      <alignment horizontal="center"/>
    </xf>
    <xf numFmtId="1" fontId="10" fillId="64" borderId="54" xfId="1526" applyNumberFormat="1" applyFont="1" applyFill="1" applyBorder="1" applyAlignment="1">
      <alignment horizontal="center"/>
    </xf>
    <xf numFmtId="1" fontId="10" fillId="64" borderId="54" xfId="1527" applyNumberFormat="1" applyFont="1" applyFill="1" applyBorder="1" applyAlignment="1">
      <alignment horizontal="center"/>
    </xf>
    <xf numFmtId="1" fontId="10" fillId="64" borderId="45" xfId="1526" applyNumberFormat="1" applyFont="1" applyFill="1" applyBorder="1" applyAlignment="1">
      <alignment horizontal="center"/>
    </xf>
    <xf numFmtId="1" fontId="10" fillId="65" borderId="69" xfId="1527" applyNumberFormat="1" applyFont="1" applyFill="1" applyBorder="1" applyAlignment="1">
      <alignment horizontal="center"/>
    </xf>
    <xf numFmtId="1" fontId="10" fillId="65" borderId="54" xfId="1526" applyNumberFormat="1" applyFont="1" applyFill="1" applyBorder="1" applyAlignment="1">
      <alignment horizontal="center"/>
    </xf>
    <xf numFmtId="1" fontId="10" fillId="65" borderId="54" xfId="1527" applyNumberFormat="1" applyFont="1" applyFill="1" applyBorder="1" applyAlignment="1">
      <alignment horizontal="center"/>
    </xf>
    <xf numFmtId="1" fontId="10" fillId="65" borderId="45" xfId="1526" applyNumberFormat="1" applyFont="1" applyFill="1" applyBorder="1" applyAlignment="1">
      <alignment horizontal="center"/>
    </xf>
    <xf numFmtId="0" fontId="12" fillId="71" borderId="54" xfId="1526" applyFont="1" applyFill="1" applyBorder="1" applyAlignment="1">
      <alignment horizontal="center"/>
    </xf>
    <xf numFmtId="17" fontId="10" fillId="71" borderId="54" xfId="1526" applyNumberFormat="1" applyFont="1" applyFill="1" applyBorder="1" applyAlignment="1">
      <alignment horizontal="left"/>
    </xf>
    <xf numFmtId="1" fontId="10" fillId="71" borderId="54" xfId="1526" applyNumberFormat="1" applyFont="1" applyFill="1" applyBorder="1" applyAlignment="1">
      <alignment horizontal="center"/>
    </xf>
    <xf numFmtId="1" fontId="10" fillId="71" borderId="54" xfId="1527" applyNumberFormat="1" applyFont="1" applyFill="1" applyBorder="1" applyAlignment="1">
      <alignment horizontal="center"/>
    </xf>
    <xf numFmtId="1" fontId="10" fillId="71" borderId="45" xfId="1526" applyNumberFormat="1" applyFont="1" applyFill="1" applyBorder="1" applyAlignment="1">
      <alignment horizontal="center"/>
    </xf>
    <xf numFmtId="0" fontId="0" fillId="0" borderId="54" xfId="0" applyBorder="1" applyAlignment="1">
      <alignment horizontal="center" vertical="center"/>
    </xf>
    <xf numFmtId="3" fontId="11" fillId="0" borderId="54" xfId="0" applyNumberFormat="1" applyFont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17" fontId="0" fillId="0" borderId="54" xfId="0" applyNumberFormat="1" applyBorder="1" applyAlignment="1">
      <alignment horizontal="left"/>
    </xf>
    <xf numFmtId="37" fontId="10" fillId="0" borderId="54" xfId="0" applyNumberFormat="1" applyFont="1" applyBorder="1" applyAlignment="1">
      <alignment horizontal="center"/>
    </xf>
    <xf numFmtId="37" fontId="10" fillId="70" borderId="54" xfId="0" applyNumberFormat="1" applyFont="1" applyFill="1" applyBorder="1" applyAlignment="1">
      <alignment horizontal="center"/>
    </xf>
    <xf numFmtId="167" fontId="10" fillId="0" borderId="0" xfId="0" applyNumberFormat="1" applyFont="1" applyAlignment="1">
      <alignment horizontal="center"/>
    </xf>
    <xf numFmtId="37" fontId="10" fillId="63" borderId="54" xfId="0" applyNumberFormat="1" applyFont="1" applyFill="1" applyBorder="1" applyAlignment="1">
      <alignment horizontal="center"/>
    </xf>
    <xf numFmtId="37" fontId="10" fillId="71" borderId="54" xfId="0" applyNumberFormat="1" applyFont="1" applyFill="1" applyBorder="1" applyAlignment="1">
      <alignment horizontal="center"/>
    </xf>
    <xf numFmtId="12" fontId="10" fillId="63" borderId="54" xfId="0" applyNumberFormat="1" applyFont="1" applyFill="1" applyBorder="1" applyAlignment="1">
      <alignment horizontal="center" vertical="center"/>
    </xf>
    <xf numFmtId="37" fontId="10" fillId="4" borderId="54" xfId="0" applyNumberFormat="1" applyFont="1" applyFill="1" applyBorder="1" applyAlignment="1">
      <alignment horizontal="center"/>
    </xf>
    <xf numFmtId="37" fontId="10" fillId="66" borderId="54" xfId="0" applyNumberFormat="1" applyFont="1" applyFill="1" applyBorder="1" applyAlignment="1">
      <alignment horizontal="center"/>
    </xf>
    <xf numFmtId="37" fontId="10" fillId="0" borderId="0" xfId="0" applyNumberFormat="1" applyFont="1" applyAlignment="1">
      <alignment horizontal="center"/>
    </xf>
    <xf numFmtId="12" fontId="10" fillId="0" borderId="0" xfId="0" applyNumberFormat="1" applyFont="1"/>
    <xf numFmtId="3" fontId="10" fillId="0" borderId="54" xfId="0" applyNumberFormat="1" applyFont="1" applyBorder="1" applyAlignment="1">
      <alignment horizontal="center"/>
    </xf>
    <xf numFmtId="3" fontId="0" fillId="0" borderId="54" xfId="0" applyNumberFormat="1" applyBorder="1" applyAlignment="1">
      <alignment horizontal="center"/>
    </xf>
    <xf numFmtId="3" fontId="10" fillId="3" borderId="0" xfId="0" applyNumberFormat="1" applyFont="1" applyFill="1" applyAlignment="1">
      <alignment horizontal="center"/>
    </xf>
    <xf numFmtId="3" fontId="10" fillId="4" borderId="54" xfId="0" applyNumberFormat="1" applyFont="1" applyFill="1" applyBorder="1" applyAlignment="1">
      <alignment horizontal="center"/>
    </xf>
    <xf numFmtId="3" fontId="0" fillId="0" borderId="54" xfId="0" applyNumberFormat="1" applyBorder="1" applyAlignment="1">
      <alignment horizontal="center"/>
    </xf>
    <xf numFmtId="3" fontId="0" fillId="71" borderId="54" xfId="0" applyNumberFormat="1" applyFill="1" applyBorder="1" applyAlignment="1">
      <alignment horizontal="center"/>
    </xf>
    <xf numFmtId="3" fontId="0" fillId="2" borderId="54" xfId="0" applyNumberFormat="1" applyFill="1" applyBorder="1" applyAlignment="1">
      <alignment horizontal="center"/>
    </xf>
    <xf numFmtId="17" fontId="10" fillId="0" borderId="45" xfId="0" applyNumberFormat="1" applyFont="1" applyBorder="1" applyAlignment="1">
      <alignment horizontal="right"/>
    </xf>
    <xf numFmtId="3" fontId="0" fillId="0" borderId="45" xfId="0" applyNumberFormat="1" applyBorder="1" applyAlignment="1">
      <alignment horizontal="center" vertical="center"/>
    </xf>
    <xf numFmtId="0" fontId="0" fillId="0" borderId="54" xfId="0" applyBorder="1" applyAlignment="1">
      <alignment horizontal="right"/>
    </xf>
    <xf numFmtId="3" fontId="10" fillId="2" borderId="54" xfId="0" applyNumberFormat="1" applyFont="1" applyFill="1" applyBorder="1" applyAlignment="1">
      <alignment horizontal="center"/>
    </xf>
    <xf numFmtId="171" fontId="0" fillId="0" borderId="54" xfId="0" applyNumberFormat="1" applyBorder="1" applyAlignment="1">
      <alignment horizontal="center"/>
    </xf>
  </cellXfs>
  <cellStyles count="1667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2 2" xfId="1587" xr:uid="{7089DDAD-30FE-43D1-A6B6-6696F1921C22}"/>
    <cellStyle name="20% - Accent1 2 3" xfId="110" xr:uid="{4A647E3F-96F3-4D22-89D1-F5D064BBDC62}"/>
    <cellStyle name="20% - Accent1 2 3 2" xfId="1620" xr:uid="{54F2DDC7-871E-4AAE-A9C8-03C7FEFF7255}"/>
    <cellStyle name="20% - Accent1 2 4" xfId="1551" xr:uid="{6498D3B7-D895-4F43-ACAE-CBC25968B0C0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2 2" xfId="1589" xr:uid="{A07D000B-63F8-4381-8F55-D2158DEAC585}"/>
    <cellStyle name="20% - Accent2 2 3" xfId="124" xr:uid="{9A2CCDBD-6CEB-439D-8ED1-7C033D7D4909}"/>
    <cellStyle name="20% - Accent2 2 3 2" xfId="1622" xr:uid="{76DE2459-9BEA-46E7-BF77-DBCF127487BC}"/>
    <cellStyle name="20% - Accent2 2 4" xfId="1553" xr:uid="{E01A7A15-6DB9-43B1-8D8A-36D88C34E8CA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2 2" xfId="1591" xr:uid="{08C4068D-4012-4C4F-A4FE-0129FE1B9182}"/>
    <cellStyle name="20% - Accent3 2 3" xfId="138" xr:uid="{0A9F25B4-70CA-4082-AB6C-473346FA893F}"/>
    <cellStyle name="20% - Accent3 2 3 2" xfId="1624" xr:uid="{6D9E4497-9EB6-4B97-91BE-D818E8C0AFF1}"/>
    <cellStyle name="20% - Accent3 2 4" xfId="1555" xr:uid="{DA771738-C36E-41D2-A2E4-894437A3D247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2 2" xfId="1593" xr:uid="{BABAB920-5CE9-4824-B9B7-8C254707DBA8}"/>
    <cellStyle name="20% - Accent4 2 3" xfId="152" xr:uid="{628FC5C7-725D-4262-97F4-6C2D4880CC12}"/>
    <cellStyle name="20% - Accent4 2 3 2" xfId="1626" xr:uid="{1F438915-B1D6-4253-A49A-73B79C77A3E6}"/>
    <cellStyle name="20% - Accent4 2 4" xfId="1557" xr:uid="{89CF9E7C-B510-4722-919E-C2D754DA4997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2 2" xfId="1595" xr:uid="{4AE6DEF4-F3EC-425B-8CDA-F19E7D3532C2}"/>
    <cellStyle name="20% - Accent5 2 3" xfId="166" xr:uid="{23D49ADB-2FF4-4148-9B22-B3C738EA11E9}"/>
    <cellStyle name="20% - Accent5 2 3 2" xfId="1628" xr:uid="{BD299D98-DE77-4417-8E64-941CAEE74941}"/>
    <cellStyle name="20% - Accent5 2 4" xfId="1560" xr:uid="{7F06C8FB-B421-4555-BD2B-9E1A2A0046C0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2 2" xfId="1597" xr:uid="{3075ADD5-0903-4333-B0D3-9D0A3F295BD3}"/>
    <cellStyle name="20% - Accent6 2 3" xfId="180" xr:uid="{23858E14-2CB1-44A7-B23D-E19C6229B1E9}"/>
    <cellStyle name="20% - Accent6 2 3 2" xfId="1630" xr:uid="{B0CF4784-D695-4E5F-9DB8-004F80EE0D0F}"/>
    <cellStyle name="20% - Accent6 2 4" xfId="1562" xr:uid="{704C47E1-284A-4BB6-BEBE-CAAE08985FEB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2 2" xfId="1588" xr:uid="{FDFCD76F-69D7-4CCF-8E96-F74921059EAF}"/>
    <cellStyle name="40% - Accent1 2 3" xfId="194" xr:uid="{452896B4-C918-4AB8-BF14-9E16F99BDB5A}"/>
    <cellStyle name="40% - Accent1 2 3 2" xfId="1621" xr:uid="{49E61076-1FAB-43BD-BDBC-ADD837D50EEF}"/>
    <cellStyle name="40% - Accent1 2 4" xfId="1552" xr:uid="{8A17BEDC-C7CC-45C2-A6C8-08155751422E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2 2" xfId="1590" xr:uid="{188FA989-C024-4A9A-8007-A4C2294F2D65}"/>
    <cellStyle name="40% - Accent2 2 3" xfId="208" xr:uid="{AE931783-BF8A-406C-9218-F3BDF4370B32}"/>
    <cellStyle name="40% - Accent2 2 3 2" xfId="1623" xr:uid="{7432BC28-DB2D-42BF-BE7F-02BAE911AAEE}"/>
    <cellStyle name="40% - Accent2 2 4" xfId="1554" xr:uid="{D499B9C5-DE17-44A5-83B0-047E3D21F36B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2 2" xfId="1592" xr:uid="{DE6EA67E-539E-4BFE-B115-3CAF6927CF67}"/>
    <cellStyle name="40% - Accent3 2 3" xfId="222" xr:uid="{CA5F1453-1410-43C5-A45C-F86291F2E44F}"/>
    <cellStyle name="40% - Accent3 2 3 2" xfId="1625" xr:uid="{3C60E394-618C-4F51-A5AC-31F4FDAF3678}"/>
    <cellStyle name="40% - Accent3 2 4" xfId="1556" xr:uid="{FF22FCF6-3DFD-469F-A56C-D7B00378EFF6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2 2" xfId="1594" xr:uid="{8E8CEB07-B999-4ABE-A31A-BA8F1D368004}"/>
    <cellStyle name="40% - Accent4 2 3" xfId="236" xr:uid="{5FB646AB-A516-4BDF-BFE6-9741474BEB55}"/>
    <cellStyle name="40% - Accent4 2 3 2" xfId="1627" xr:uid="{303559DD-BB15-4F0D-9F93-71F277BF63D0}"/>
    <cellStyle name="40% - Accent4 2 4" xfId="1558" xr:uid="{5F637F9F-4AC8-48B4-9B58-68E4B0E18EC9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2 2" xfId="1596" xr:uid="{7FF59556-460A-4210-94B8-13AE8C7EA909}"/>
    <cellStyle name="40% - Accent5 2 3" xfId="250" xr:uid="{F82C0BC5-6E74-4D55-9F8B-18ADB943D5E2}"/>
    <cellStyle name="40% - Accent5 2 3 2" xfId="1629" xr:uid="{CD8D4BD0-6AB3-4F96-BDA4-3DF56BB6BDE6}"/>
    <cellStyle name="40% - Accent5 2 4" xfId="1561" xr:uid="{23DDFA9C-3BAD-4889-81B1-1ADB24ACB357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2 2" xfId="1598" xr:uid="{C49DF089-6320-497B-8554-472A9BDCE42F}"/>
    <cellStyle name="40% - Accent6 2 3" xfId="264" xr:uid="{66A8F444-729A-480D-91B8-2A2A0AEADE80}"/>
    <cellStyle name="40% - Accent6 2 3 2" xfId="1631" xr:uid="{068EBA13-23E2-42BC-B850-48EE2CA1B17F}"/>
    <cellStyle name="40% - Accent6 2 4" xfId="1563" xr:uid="{94B5F9E4-8293-4E34-BF06-542E69FD43F8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17" xfId="1538" xr:uid="{2EDE4944-FD14-46AE-8D88-08C84DBAA993}"/>
    <cellStyle name="Calculation 18" xfId="1541" xr:uid="{B43EC870-A144-4BBF-BFA9-B9480390D328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2" xfId="5" xr:uid="{00000000-0005-0000-0000-000025000000}"/>
    <cellStyle name="Comma 2 10" xfId="1527" xr:uid="{0BC537A4-BE34-44C8-AA9F-9D29E2B272D0}"/>
    <cellStyle name="Comma 2 2" xfId="696" xr:uid="{5C884EC2-A2E8-4501-80D2-1AD62416BE05}"/>
    <cellStyle name="Comma 2 2 2" xfId="695" xr:uid="{45356556-BBB8-4BAC-AD32-6D82C625287D}"/>
    <cellStyle name="Comma 2 2 3" xfId="1600" xr:uid="{6B31B1F2-0BE4-40C6-9AA7-6AC72AA3B3EE}"/>
    <cellStyle name="Comma 2 3" xfId="734" xr:uid="{27F51AD3-0C7D-4B0F-B4B0-08BB7C60AE6D}"/>
    <cellStyle name="Comma 2 3 2" xfId="1633" xr:uid="{97BACC60-7486-4E1C-9DEF-041ACF924BB4}"/>
    <cellStyle name="Comma 2 4" xfId="839" xr:uid="{51C41699-2F14-4740-B30A-17757AFCA611}"/>
    <cellStyle name="Comma 2 5" xfId="1529" xr:uid="{D042C698-5BF5-4C4E-A832-9FA411884923}"/>
    <cellStyle name="Comma 2 6" xfId="1565" xr:uid="{711DB856-27D7-4708-B216-B536633DE10D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2 2" xfId="1613" xr:uid="{9D697535-BF40-42F1-B8DA-2257CEB21307}"/>
    <cellStyle name="Comma 3 2 3" xfId="697" xr:uid="{2385347A-A18A-44FB-B93F-BA54E6114382}"/>
    <cellStyle name="Comma 3 2 3 2" xfId="1643" xr:uid="{768B1C9F-FA1F-4427-A789-A0C74DA40ECD}"/>
    <cellStyle name="Comma 3 2 4" xfId="1578" xr:uid="{3138837E-8DD2-4EA7-9C15-583C8E21D09D}"/>
    <cellStyle name="Comma 3 2 5" xfId="98" xr:uid="{00000000-0005-0000-0000-000028000000}"/>
    <cellStyle name="Comma 3 3" xfId="841" xr:uid="{6F3B3E26-3FC8-4A18-8614-A92B20C5AF9B}"/>
    <cellStyle name="Comma 3 3 2" xfId="1603" xr:uid="{AA3C8A3C-D478-4AA2-8E24-619BEA3F7829}"/>
    <cellStyle name="Comma 3 4" xfId="1013" xr:uid="{93DBB256-1BC0-48FF-9C75-641FCC229582}"/>
    <cellStyle name="Comma 3 4 2" xfId="1636" xr:uid="{C034EDFB-859B-4BB2-BD5F-1B572BB2EDDF}"/>
    <cellStyle name="Comma 3 5" xfId="483" xr:uid="{F7718869-6A96-4AF3-81D7-69A99B2C7D27}"/>
    <cellStyle name="Comma 3 6" xfId="1568" xr:uid="{0341A5C9-6337-4E00-8AD0-91A483843BFF}"/>
    <cellStyle name="Comma 4" xfId="13" xr:uid="{00000000-0005-0000-0000-000029000000}"/>
    <cellStyle name="Comma 4 10" xfId="1573" xr:uid="{59A05CAD-A77A-404C-9BCA-17D6F7F90762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2 7" xfId="1609" xr:uid="{4E30939D-2574-440C-8B14-B830349B47A9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3 7" xfId="1641" xr:uid="{161C6614-5553-4531-A455-85DD98A38AB3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7 4" xfId="1528" xr:uid="{9114E8B8-6A58-43C1-A5B1-35829673A44E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2 2" xfId="1608" xr:uid="{208E9C23-43B5-4F69-8B65-01537819225E}"/>
    <cellStyle name="Currency 2 3" xfId="690" xr:uid="{9C4D7435-CAEA-4E1C-AF51-D7C33A5A362E}"/>
    <cellStyle name="Currency 2 3 2" xfId="1640" xr:uid="{69C8B5FF-9F26-4822-879B-C9763D573929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2 7" xfId="1572" xr:uid="{F70DAD11-0C4F-4AEC-8C4F-9D99939DBE4C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5" xfId="485" xr:uid="{C7B28150-23F3-45C8-963D-555E5B2F35A2}"/>
    <cellStyle name="Currency0" xfId="8" xr:uid="{00000000-0005-0000-0000-000032000000}"/>
    <cellStyle name="Currency0 2" xfId="1574" xr:uid="{A67DA7F1-FDCC-4193-82F7-5AAABD13B541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Hyperlink 5" xfId="1530" xr:uid="{91A199C1-5D5B-498A-9C86-73CB2DB0B42E}"/>
    <cellStyle name="Input [yellow]" xfId="63" xr:uid="{00000000-0005-0000-0000-00003D000000}"/>
    <cellStyle name="Input [yellow] 2" xfId="64" xr:uid="{00000000-0005-0000-0000-00003E000000}"/>
    <cellStyle name="Input [yellow] 3" xfId="1575" xr:uid="{D16E7B25-5563-4B06-ACDF-0D7B628DC97A}"/>
    <cellStyle name="Input [yellow] 4" xfId="1646" xr:uid="{35359276-7EED-4A9F-A48F-A426D1C05BF9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21" xfId="1542" xr:uid="{48F8FE0A-D177-44BC-AC5D-C6B1B009C84D}"/>
    <cellStyle name="Input 22" xfId="1540" xr:uid="{7AC07D71-37BC-48AF-95B4-5171B3D34CD9}"/>
    <cellStyle name="Input 23" xfId="1648" xr:uid="{C4E14F13-BFA4-45FE-9BC7-1AE1E056399D}"/>
    <cellStyle name="Input 24" xfId="1645" xr:uid="{1842796D-12E1-43C2-8712-D61AC4CD2DEA}"/>
    <cellStyle name="Input 25" xfId="1548" xr:uid="{6DFEB0B4-0CAA-48EE-B83F-B3AD170702E4}"/>
    <cellStyle name="Input 26" xfId="1559" xr:uid="{3FA2D9F5-E587-4AEA-9A78-8B0C129D5290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0 2" xfId="1616" xr:uid="{9FDA585C-C9A8-49A2-ACEA-42CFE0957DE8}"/>
    <cellStyle name="Normal 11" xfId="613" xr:uid="{893E931D-4E9C-4905-A23B-BFF0440FB9E0}"/>
    <cellStyle name="Normal 11 2" xfId="1611" xr:uid="{DE524E45-84B4-466E-9A9E-98FAF53DA18C}"/>
    <cellStyle name="Normal 12" xfId="614" xr:uid="{8AE0198E-883C-4F6F-97E3-9C75B3AE60CE}"/>
    <cellStyle name="Normal 12 2" xfId="1615" xr:uid="{5B537B38-FD59-4F6C-B84A-A1E356E858B8}"/>
    <cellStyle name="Normal 13" xfId="615" xr:uid="{643DD5FB-F07D-4293-A038-42E059C88DDB}"/>
    <cellStyle name="Normal 13 2" xfId="1610" xr:uid="{BC588223-551B-491E-B4FF-F4EDD1F4A6AB}"/>
    <cellStyle name="Normal 14" xfId="616" xr:uid="{985BC5CD-E9C0-45ED-A7A9-F3178E7A8ACE}"/>
    <cellStyle name="Normal 14 2" xfId="1581" xr:uid="{00C23F26-461F-45C3-ACBC-06EEDF191C88}"/>
    <cellStyle name="Normal 15" xfId="617" xr:uid="{746CEED5-D31C-4B5E-B01C-999F254D400E}"/>
    <cellStyle name="Normal 15 2" xfId="1580" xr:uid="{E4793A64-8823-4FC0-806B-9DBBD0F66E99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12" xfId="1525" xr:uid="{A8C1394D-571A-4DF2-9A7A-F3A896CB1989}"/>
    <cellStyle name="Normal 16 13" xfId="1605" xr:uid="{7393DD1E-A530-4689-AEE2-1C96D163242C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12" xfId="1617" xr:uid="{94E3AD69-6DC5-4B2F-A52C-BADDE5888D4E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11" xfId="1526" xr:uid="{57271AA0-5F05-42AE-B8D2-D414B40CCC90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2" xfId="707" xr:uid="{D65206B1-1563-4F4F-BEFA-71E190E67CD7}"/>
    <cellStyle name="Normal 3 2 2" xfId="1585" xr:uid="{43BC6A37-160F-4BD3-98F8-B4D62D851E8F}"/>
    <cellStyle name="Normal 3 3" xfId="708" xr:uid="{9864E9AE-E37B-4FF2-A146-6D85B6CDD8FE}"/>
    <cellStyle name="Normal 3 3 2" xfId="701" xr:uid="{1D66177E-6151-41F7-B2EE-7C5EDFE1CB71}"/>
    <cellStyle name="Normal 3 3 3" xfId="1618" xr:uid="{5CF45649-4C77-457D-B31A-7562F865F1E5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 8" xfId="1547" xr:uid="{BB944EB7-6483-49E9-85DA-D9C3F57A3E78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2 2" xfId="1599" xr:uid="{3D9CD546-22F8-46AE-906A-A052E50C9D65}"/>
    <cellStyle name="Normal 4 3" xfId="838" xr:uid="{F8577DCA-F3CC-455B-9CE2-FD746A551677}"/>
    <cellStyle name="Normal 4 3 2" xfId="1632" xr:uid="{59696BD0-08BF-4A00-9DE8-DAA3A1EE4D44}"/>
    <cellStyle name="Normal 4 4" xfId="625" xr:uid="{8D21A86B-11FF-4EC6-BA39-8F59D63C9E59}"/>
    <cellStyle name="Normal 4 5" xfId="1533" xr:uid="{31923F63-10F6-4C0A-AD6B-45FE62E25968}"/>
    <cellStyle name="Normal 4 6" xfId="1564" xr:uid="{3E8CC19A-597F-4F2C-A14C-222ED5FED6F2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48" xfId="1524" xr:uid="{0CF4069A-DC85-425D-9C92-AEC24AB13F57}"/>
    <cellStyle name="Normal 49" xfId="1535" xr:uid="{C9EAF9DB-3F77-4EE8-A0F3-CB71506A42D0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2 2" xfId="1612" xr:uid="{0B6A2321-A1FC-4A78-BCD5-BD5A0CE7EB51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3 3 2" xfId="1534" xr:uid="{EDE8BB89-AB18-479F-A06D-10BB1D3F4B85}"/>
    <cellStyle name="Normal 5 2 3 4" xfId="1642" xr:uid="{2E54A4A0-3ED7-4892-9BC9-153D4262FD89}"/>
    <cellStyle name="Normal 5 2 4" xfId="844" xr:uid="{E5ED4AF3-FB2C-445E-AD98-836387592AA0}"/>
    <cellStyle name="Normal 5 2 5" xfId="1577" xr:uid="{342AFFB9-C072-4776-8B05-33A2D52D4255}"/>
    <cellStyle name="Normal 5 3" xfId="840" xr:uid="{6F900A40-2CC6-4DF6-9E52-39DACFBB9333}"/>
    <cellStyle name="Normal 5 3 2" xfId="1602" xr:uid="{016B417D-6BE7-42EE-AB41-64CF17C581FC}"/>
    <cellStyle name="Normal 5 4" xfId="626" xr:uid="{1FAB166A-B1F1-49B7-9742-8EEB87263E54}"/>
    <cellStyle name="Normal 5 4 2" xfId="1635" xr:uid="{1AEFD97D-EB08-4369-87C3-D361F9435454}"/>
    <cellStyle name="Normal 5 5" xfId="1567" xr:uid="{62BBE788-3710-4EB5-8310-379D4C8E96D6}"/>
    <cellStyle name="Normal 50" xfId="1546" xr:uid="{7A973A52-FCB0-4512-B9DE-39384F1B1582}"/>
    <cellStyle name="Normal 51" xfId="1536" xr:uid="{971FB22C-377F-4E25-A099-3FC4D9A3E693}"/>
    <cellStyle name="Normal 52" xfId="1647" xr:uid="{C8DF7F4F-3DE3-44FA-98D5-0ABB0D889318}"/>
    <cellStyle name="Normal 53" xfId="1576" xr:uid="{9C6B2AEF-42CA-44CB-A0D1-6FBFAFB60886}"/>
    <cellStyle name="Normal 54" xfId="1650" xr:uid="{B323E6AB-6F97-433F-AEB2-47F72AEB8590}"/>
    <cellStyle name="Normal 55" xfId="1651" xr:uid="{1B236664-B559-4795-BC6D-C8D685ADA09B}"/>
    <cellStyle name="Normal 56" xfId="1652" xr:uid="{EFC9EC7A-5484-41D3-BB49-CFBEA68B67A6}"/>
    <cellStyle name="Normal 57" xfId="1653" xr:uid="{CF0C9AFE-9DDC-43F2-B05C-6AB28B6D3FBB}"/>
    <cellStyle name="Normal 58" xfId="1654" xr:uid="{24C8CC57-4E25-4C5C-81D3-DB8798424E33}"/>
    <cellStyle name="Normal 59" xfId="1655" xr:uid="{86101420-146B-4C4B-8521-F5F98276DB32}"/>
    <cellStyle name="Normal 6" xfId="80" xr:uid="{00000000-0005-0000-0000-000053000000}"/>
    <cellStyle name="Normal 6 2" xfId="843" xr:uid="{213AA290-D736-4DDA-A4D4-2EF27A647389}"/>
    <cellStyle name="Normal 6 2 2" xfId="1606" xr:uid="{981C84C6-DE44-4C20-92CF-FB2392451696}"/>
    <cellStyle name="Normal 6 3" xfId="627" xr:uid="{4A26A58B-7FCB-41A0-981C-8E1A21369BCB}"/>
    <cellStyle name="Normal 6 3 2" xfId="1638" xr:uid="{BBBB43E1-0D6C-404F-AE2D-BEB135A28257}"/>
    <cellStyle name="Normal 6 4" xfId="1570" xr:uid="{55488A95-04F8-42C5-A919-531BF6ADDF6F}"/>
    <cellStyle name="Normal 60" xfId="1656" xr:uid="{2A1C58AD-0934-498E-8F28-41AB7FEF2519}"/>
    <cellStyle name="Normal 61" xfId="1657" xr:uid="{E76CD1C4-9B25-473B-8A05-E57B8F9CDBD7}"/>
    <cellStyle name="Normal 62" xfId="1658" xr:uid="{AC36DDA0-F784-4766-8151-D17F5B010FFB}"/>
    <cellStyle name="Normal 63" xfId="1659" xr:uid="{1E05A1C5-359F-4AE4-93BB-226A4C5DD316}"/>
    <cellStyle name="Normal 64" xfId="1660" xr:uid="{31448D0E-DFAF-44C0-A967-EAD8C60BCFE8}"/>
    <cellStyle name="Normal 65" xfId="1661" xr:uid="{BE9DABD7-A1C6-4ED4-8E76-9AE28B4B8F7B}"/>
    <cellStyle name="Normal 66" xfId="1662" xr:uid="{3E66B7EE-59D7-4EA8-84F1-478354951A6F}"/>
    <cellStyle name="Normal 67" xfId="1663" xr:uid="{4923DE08-0EAD-40D1-9D96-C408B194F2B8}"/>
    <cellStyle name="Normal 68" xfId="1664" xr:uid="{F231703C-4C61-42AC-B466-50D43D1F8EA7}"/>
    <cellStyle name="Normal 69" xfId="1665" xr:uid="{B9EA9929-F803-4CF9-AECA-93A87359C2A5}"/>
    <cellStyle name="Normal 7" xfId="81" xr:uid="{00000000-0005-0000-0000-000054000000}"/>
    <cellStyle name="Normal 7 2" xfId="628" xr:uid="{13E091AF-29C3-4863-8FB8-0E8A765159CD}"/>
    <cellStyle name="Normal 70" xfId="1666" xr:uid="{88C0818F-BD3D-4ABD-B7D0-A64661457E87}"/>
    <cellStyle name="Normal 8" xfId="101" xr:uid="{947A62E7-9B13-4125-8F42-56423315674A}"/>
    <cellStyle name="Normal 8 2" xfId="629" xr:uid="{6582A769-8B2B-4D65-B887-379AD44BDFA1}"/>
    <cellStyle name="Normal 8 3" xfId="1584" xr:uid="{73F06497-77A8-4349-9DEC-CF3147FE8E4B}"/>
    <cellStyle name="Normal 9" xfId="630" xr:uid="{1308C8C4-F275-4DBD-A9E8-E228AB03DA1C}"/>
    <cellStyle name="Normal 9 2" xfId="1582" xr:uid="{A92C3FE1-8FE0-4539-A9E7-A59774DD92C3}"/>
    <cellStyle name="Normal_OEB Trial Balance - Regulatory-July24-07" xfId="1532" xr:uid="{B1C094EE-7CC0-45F9-BC8D-EC6A7C6391A3}"/>
    <cellStyle name="Normal_Sheet2" xfId="1531" xr:uid="{A8E5E958-6B7A-43CF-A86F-E29608D46716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17" xfId="1543" xr:uid="{E1653CB8-264D-4A32-8DCE-5DF1C782DAE8}"/>
    <cellStyle name="Note 18" xfId="1549" xr:uid="{DEA9A86E-F245-43FF-81DB-721FD600E8AB}"/>
    <cellStyle name="Note 2" xfId="82" xr:uid="{00000000-0005-0000-0000-000055000000}"/>
    <cellStyle name="Note 2 2" xfId="811" xr:uid="{88EE9475-8459-4E92-B64E-E25ACC6A51C7}"/>
    <cellStyle name="Note 2 2 2" xfId="1586" xr:uid="{1F85A3D8-AD6E-4049-AA4B-E30F2D26ED10}"/>
    <cellStyle name="Note 2 3" xfId="637" xr:uid="{CF50727E-2C77-407C-AC31-2D4DB5D30CFE}"/>
    <cellStyle name="Note 2 3 2" xfId="1619" xr:uid="{358680A1-CE85-4911-AF8D-F2668E0509D9}"/>
    <cellStyle name="Note 2 4" xfId="1550" xr:uid="{C93E4656-5D6E-461E-9195-344D5ED1B639}"/>
    <cellStyle name="Note 3" xfId="638" xr:uid="{19CEE5A5-BE22-42FF-910F-F069B3250C44}"/>
    <cellStyle name="Note 3 2" xfId="1583" xr:uid="{9E9807CA-B7C2-43A0-A5FA-A97763CD76DE}"/>
    <cellStyle name="Note 3 3" xfId="1649" xr:uid="{E633B5F4-851F-4DFA-94F4-BB0394006E03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17" xfId="1544" xr:uid="{64AB2EF3-E341-4D11-9281-8032EB7008D0}"/>
    <cellStyle name="Output 18" xfId="1539" xr:uid="{C9E53BC3-C0FE-4A2A-82A1-60E937FF9C47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2 9" xfId="1601" xr:uid="{11076CA7-C845-40CF-A3DC-D75A2058016F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3 9" xfId="1634" xr:uid="{328C826B-3EE9-4765-A4C9-86C8DA2B2B26}"/>
    <cellStyle name="Percent 2 4" xfId="1491" xr:uid="{63A4295F-CB30-4A18-B766-1E2FF7F4C0D1}"/>
    <cellStyle name="Percent 2 5" xfId="660" xr:uid="{4942AEF8-1E46-4CCB-B071-0521E2369A69}"/>
    <cellStyle name="Percent 2 6" xfId="1566" xr:uid="{ED940744-9E62-4A76-A09E-3BCDC8013F72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2 2" xfId="1614" xr:uid="{CE8721E5-7D04-4B51-A390-52D49BD5D2E9}"/>
    <cellStyle name="Percent 3 2 3" xfId="99" xr:uid="{00000000-0005-0000-0000-00005C000000}"/>
    <cellStyle name="Percent 3 2 3 2" xfId="1644" xr:uid="{C7B43141-A610-4E55-81D9-4A9C57B8E057}"/>
    <cellStyle name="Percent 3 2 4" xfId="711" xr:uid="{CFAB68E3-4DA1-4B36-806A-2EF59B608AF7}"/>
    <cellStyle name="Percent 3 2 5" xfId="1579" xr:uid="{9662C7D4-AD5C-4DD7-B4E7-A0AB5F3E568A}"/>
    <cellStyle name="Percent 3 3" xfId="735" xr:uid="{B1055DFC-E471-4EEA-9D50-1A88F26CD4BA}"/>
    <cellStyle name="Percent 3 3 2" xfId="1604" xr:uid="{57305F4D-EDB2-4D36-8225-FA5A165900D4}"/>
    <cellStyle name="Percent 3 4" xfId="842" xr:uid="{18429C23-B04A-4925-B20D-809EF7B2CD13}"/>
    <cellStyle name="Percent 3 4 2" xfId="1637" xr:uid="{1DDF8FEE-45D4-4CB0-AB31-1185FCC7F460}"/>
    <cellStyle name="Percent 3 5" xfId="661" xr:uid="{4A961E52-7858-4D07-90B6-5933D4465ABC}"/>
    <cellStyle name="Percent 3 6" xfId="1569" xr:uid="{70458123-3BD2-4E89-975D-DB9530A3D3BE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2 2" xfId="1607" xr:uid="{FC82A935-AE04-4B1B-B96C-D26214972BFC}"/>
    <cellStyle name="Percent 4 3" xfId="712" xr:uid="{55D2CD74-19FC-40BE-B10B-80E3CC32F985}"/>
    <cellStyle name="Percent 4 3 2" xfId="1639" xr:uid="{E466A553-F57C-4915-B33E-AC2031F53E0C}"/>
    <cellStyle name="Percent 4 4" xfId="1571" xr:uid="{8C18DBF0-E732-42B7-98C6-0B0E42ADB1FD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17" xfId="1545" xr:uid="{3EC4D3CD-718E-41FA-9386-6749F39F03AD}"/>
    <cellStyle name="Total 18" xfId="1537" xr:uid="{CF971472-34CA-4B8A-B909-EA590493A870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mmaw/Local%20Settings/Temporary%20Internet%20Files/OLKBC/Exhibit%203%20Distribution%20Revenue%20Throughputs%20-%20Blank.xls?720EB111" TargetMode="External"/><Relationship Id="rId1" Type="http://schemas.openxmlformats.org/officeDocument/2006/relationships/externalLinkPath" Target="file:///\\720EB111\Exhibit%203%20Distribution%20Revenue%20Throughputs%20-%20Blank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a/Documents/TANDEM%20ENERGY%20SERVICES%20INC/CODES%20&amp;%20POLICIES/Minimum%20Filing%20Requirements/2014%20Minimum%20Filing%20Requirement/Filing_Requirements_Chapter2_Appendices_for%202014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FLEX_HOME\GoFlex%20Home%20Personal\2.%20TESI%20CODES%20&amp;%20POLICIES\Minimum%20Filing%20Requirements\2015%20Minimum%20Filing%20Requirements\2015_Filing_Requirements_Chapter2_Appendice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5.%20TESI%20UTILITIES/Hearst%20Power/2021%20Cost%20of%20Service/Models/about:blank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phurley/Desktop/Lakeland%20Rate%20App/LPDL_2009%20Revenue%20Requirement.xls?FC9E3556" TargetMode="External"/><Relationship Id="rId1" Type="http://schemas.openxmlformats.org/officeDocument/2006/relationships/externalLinkPath" Target="file:///\\FC9E3556\LPDL_2009%20Revenue%20Requiremen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CCalhoun/Local%20Settings/Temporary%20Internet%20Files/Content.Outlook/EIW673TU/Documents%20and%20Settings/dferraro/Local%20Settings/Temporary%20Internet%20Files/OLKB/Dummy%20File.xls?493A1EED" TargetMode="External"/><Relationship Id="rId1" Type="http://schemas.openxmlformats.org/officeDocument/2006/relationships/externalLinkPath" Target="file:///\\493A1EED\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LDC%20FTY%20-%20LF\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I/TESI%20Client/Hearst/2015%20Cost%20of%20Service/Hearst_2015%20Rate%20Design%20Model%20May%205.xlsm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M:\Documents%20and%20Settings\bbacon\My%20Documents\Orillia\2010%20Rates\2010%20Rate%20File%20-%20July%202,%202009\Documents%20and%20Settings\mmaw\Local%20Settings\Temporary%20Internet%20Files\OLKBC\Exhibit%203%20Distribution%20Revenue%20Throughputs%20-%20Blank.xls?4EA2CB8F" TargetMode="External"/><Relationship Id="rId1" Type="http://schemas.openxmlformats.org/officeDocument/2006/relationships/externalLinkPath" Target="file:///\\4EA2CB8F\Exhibit%203%20Distribution%20Revenue%20Throughputs%20-%20Bla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NewCGAAP_DepExp_2012"/>
      <sheetName val="App.2-CC_NewCGAAP_DepExp_2013"/>
      <sheetName val="App.2-CD_MIFRS_DepExp_2014"/>
      <sheetName val="App.2-CE_MIFRS_DepExp_2015"/>
      <sheetName val="App.2-CF_OldCGAAP_DepExp_2013"/>
      <sheetName val="App.2-CG_NewCGAAP_DepExp_2013"/>
      <sheetName val="App.2-CH_MIFRS_DepExp_2014"/>
      <sheetName val="App.2-CI MIFRS_DepExp_2015"/>
      <sheetName val="App.2-D_Overhead"/>
      <sheetName val="App.2-EA_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FA Proposed REG Inves (2"/>
      <sheetName val="App.2-FB Calc of REG Improv (2"/>
      <sheetName val="App.2-FC Calc of REG Expans (2"/>
      <sheetName val="App.2-G SQI"/>
      <sheetName val="App.2-H_Other_Oper_Rev"/>
      <sheetName val="App.2-I LF_CDM_WF_OLD"/>
      <sheetName val="App.2-I LF_CDM_WF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_MIFRS Summary Impacts"/>
      <sheetName val="App. 2-Z_Tariff"/>
      <sheetName val="lists"/>
      <sheetName val="lists2"/>
      <sheetName val="Sheet19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P0.Admin"/>
      <sheetName val="P1.UCC"/>
      <sheetName val="P2.CEC"/>
      <sheetName val="P3.Interest"/>
      <sheetName val="P4.LCF"/>
      <sheetName val="P5.Reserves"/>
      <sheetName val="P6.TxblIncome"/>
      <sheetName val="P7.CapitalTax"/>
      <sheetName val="P8.TotalPILs"/>
      <sheetName val="Y1.TaxRates"/>
      <sheetName val="Y2.CCA"/>
      <sheetName val="Z1.ModelVariables"/>
      <sheetName val="Z0.Disclaimer"/>
      <sheetName val="Table of Content"/>
      <sheetName val="0.1 LDC Info"/>
      <sheetName val="Table of Contents"/>
      <sheetName val="0.2 Customer Classes"/>
      <sheetName val="Exhibit 1 -&gt;"/>
      <sheetName val="1.1 Trial Balance Summary"/>
      <sheetName val="1.2 TB Historical Balances"/>
      <sheetName val="1.3 TB Projected Balances"/>
      <sheetName val="1.4 TB Var Analysis"/>
      <sheetName val="Exhibit 2 -&gt;"/>
      <sheetName val="2.1. Rate Base Trend "/>
      <sheetName val="2.2 RateBase VarAnalysis"/>
      <sheetName val="2.3 Summary of Capital Projects"/>
      <sheetName val="FIXED ASSET CONTINUITY STMT -&gt;"/>
      <sheetName val="2.5 Service Life Comp"/>
      <sheetName val="2.6 Fixed Asset Cont Stmt"/>
      <sheetName val="2.7 Overhead"/>
      <sheetName val="DEPRECIATION EXPENSES -&gt;"/>
      <sheetName val="2.9 Depreciation Expenses"/>
      <sheetName val="2.10 DeprExp Bridge NewGAAP"/>
      <sheetName val="2.11 DeprExp Test NewGAAP"/>
      <sheetName val="2.12 Proposed REG Invest."/>
      <sheetName val="2.13 SQI"/>
      <sheetName val="Exhibit 3 -&gt;"/>
      <sheetName val="OPERATING REVENUES -&gt;"/>
      <sheetName val="3.2 Other_Oper_Rev Sum"/>
      <sheetName val="PILs -&gt;"/>
      <sheetName val="3.3 PILs.TaxRate"/>
      <sheetName val="3.4 PILs.Sch 8 UCC"/>
      <sheetName val="3.5 PILs.Sch 10 CEC"/>
      <sheetName val="3.6 PILs Sch 7 LCF"/>
      <sheetName val="3.7 PILs.Reserves"/>
      <sheetName val="3.8 PILs.TxblIncome"/>
      <sheetName val="3.9 PILs.Final PILs"/>
      <sheetName val="LOAD FORECAST -&gt;"/>
      <sheetName val="3.10 Load Forecast Inputs"/>
      <sheetName val="3.11 LoadForecast"/>
      <sheetName val="Exhibit 4 -&gt;"/>
      <sheetName val="OM&amp;A -&gt;"/>
      <sheetName val="4.1 OM&amp;A_Detailed_Analysis"/>
      <sheetName val="4.2 OM&amp;A_Summary_Analys"/>
      <sheetName val="4.3 OMA Programs"/>
      <sheetName val="4.4 OM&amp;A_Cost _Drivers"/>
      <sheetName val="4.5 Monthly Staff Lvl"/>
      <sheetName val="4.7 Employee Costs"/>
      <sheetName val="4.8 Charitable Donations"/>
      <sheetName val="4.9 OM&amp;A_per_Cust_FTEE"/>
      <sheetName val="4.10 Regulatory_Costs"/>
      <sheetName val="4.11 Supplier Purchases"/>
      <sheetName val="4.12 PowerSupplExp"/>
      <sheetName val="4.13 Corp_Cost_Allocation"/>
      <sheetName val="Exhibit 5 -&gt;"/>
      <sheetName val="5.1 Capital Structure"/>
      <sheetName val="5.2 Debt Instruments"/>
      <sheetName val="Exhibit 6 -&gt;"/>
      <sheetName val="6.1 Revenue Requirement"/>
      <sheetName val="6.2 Chg in RevReq"/>
      <sheetName val="6.3 Rev Deficiency Sufficie "/>
      <sheetName val="6.4 ROE"/>
      <sheetName val="6.5 OEB Input Appendices"/>
      <sheetName val="6.6 OEB ROE Summary"/>
      <sheetName val="6.7 Scorecard"/>
      <sheetName val="Exhibit 8 -&gt;"/>
      <sheetName val="8.1 Loss Factors"/>
      <sheetName val="8.2 IFRS Transition Costs"/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  <sheetName val="1. Info"/>
      <sheetName val="2. Applicable Worksheets"/>
      <sheetName val="3. Rate Classes"/>
      <sheetName val="hidden1"/>
      <sheetName val="4. Most Recent Tariff"/>
      <sheetName val="LDC Info"/>
      <sheetName val="CurrentTariff"/>
      <sheetName val="Revenues at Curr Rates"/>
      <sheetName val="RATEBASE &amp; REV REQ -&gt;"/>
      <sheetName val="Rate Base"/>
      <sheetName val="Revenue Requirement"/>
      <sheetName val="COST ALLOC. &amp; RATE DESIGN -&gt;"/>
      <sheetName val="Cost Allocation &amp; RevAllocation"/>
      <sheetName val="RateDesign"/>
      <sheetName val="Loss Factor"/>
      <sheetName val="Rev_Reconciliation"/>
      <sheetName val="RATE RIDERS -&gt;"/>
      <sheetName val="SMRR"/>
      <sheetName val="DVA"/>
      <sheetName val="Summary of Tariffs"/>
      <sheetName val="RRWF -&gt;"/>
      <sheetName val="RRWF_Data_Input_Sheet"/>
      <sheetName val="RRWF_Rate_Base"/>
      <sheetName val="RRWF_Utility Income"/>
      <sheetName val="RRWF_Taxes_PILs"/>
      <sheetName val="RRWF_Cost_of_Capital"/>
      <sheetName val="RRWF_Rev_Def_Suff"/>
      <sheetName val=" RRWF_Rev_Reqt"/>
      <sheetName val="Update to COS Application"/>
      <sheetName val="CHEC_Rate Design Model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2.Model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/>
      <sheetData sheetId="110"/>
      <sheetData sheetId="111" refreshError="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LDC Info"/>
      <sheetName val="2. COS Flowchart"/>
      <sheetName val="3. CustomerClass"/>
      <sheetName val="4. CurrentTariff"/>
      <sheetName val="5. Revenues at Curr Rates"/>
      <sheetName val="6. TB Summary"/>
      <sheetName val="7. TB Historical"/>
      <sheetName val="8. TB Projected Balances"/>
      <sheetName val="9. Capital Projects"/>
      <sheetName val="10.Var of Capital Expenditures"/>
      <sheetName val="11.Fixed Asset Continuity Stmts"/>
      <sheetName val="12. Service Life Comp"/>
      <sheetName val="Instruction for App. 2-C MIFRS"/>
      <sheetName val="Instruction for App. 2-C CGAAP"/>
      <sheetName val="13. Depreciation Expense Calcs"/>
      <sheetName val="14. _NewCGAAP_DepExp_2014"/>
      <sheetName val="15. _NewCGAAP_DepExp_2015"/>
      <sheetName val="16. _Overhead"/>
      <sheetName val="17.PP&amp;E Deferral Account"/>
      <sheetName val="18. PP&amp;E Deferral Account"/>
      <sheetName val="19. Account 1576 (2012)"/>
      <sheetName val="20. SQI"/>
      <sheetName val="21. Other_Oper_Rev"/>
      <sheetName val="22. LF_CDM_WF"/>
      <sheetName val="23. OM&amp;A Details"/>
      <sheetName val="24. OM&amp;A_Summary_Analys"/>
      <sheetName val="25. OM&amp;A_Cost _Drivers"/>
      <sheetName val="App.2-JC_OMA Programs"/>
      <sheetName val="26. Employee Costs"/>
      <sheetName val="27. OM&amp;A_per_Cust_FTEE"/>
      <sheetName val="28. Regulatory_Costs"/>
      <sheetName val="29. Corp_Cost_Allocation"/>
      <sheetName val="30. CDM Adj &amp; LRAM"/>
      <sheetName val="31. LoadForecast"/>
      <sheetName val="32. PowerSupplExp"/>
      <sheetName val="33. Rate Base"/>
      <sheetName val="34. Capital Structure"/>
      <sheetName val="35. Debt Instruments"/>
      <sheetName val="36. Revenue Requirement"/>
      <sheetName val="37. Cost_Allocation"/>
      <sheetName val="38. CostAlloc &amp; RevAlloc"/>
      <sheetName val="39. RateDesign"/>
      <sheetName val="40. Cost of Serv. Emb. Dx"/>
      <sheetName val="41. Loss Factors"/>
      <sheetName val="42. Stranded Meters"/>
      <sheetName val="43. 592_Tax_Variance"/>
      <sheetName val="44. 1592_HST-OVAT"/>
      <sheetName val="45. IFRS Transition Costs"/>
      <sheetName val="46. Rev_Reconciliation"/>
      <sheetName val="48. Bill Impacts"/>
      <sheetName val="49. MIFRS Summary Impacts"/>
      <sheetName val="50. CGAAP Summary Impacts"/>
      <sheetName val="App. 2-Z_Tariff"/>
      <sheetName val="lists"/>
      <sheetName val="Net Income Trend"/>
      <sheetName val="RateBase Trend"/>
      <sheetName val="RRR Variance Analysis"/>
      <sheetName val="Capex VarAnalysis"/>
      <sheetName val="Opex VarAnalysi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E48C7-0D84-45B0-AD93-DD34214F110A}">
  <dimension ref="A2:XEW639"/>
  <sheetViews>
    <sheetView topLeftCell="A231" zoomScaleNormal="100" workbookViewId="0">
      <selection activeCell="K232" sqref="K232:K270"/>
    </sheetView>
  </sheetViews>
  <sheetFormatPr defaultRowHeight="12.75"/>
  <cols>
    <col min="1" max="1" width="28.5703125" style="113" customWidth="1"/>
    <col min="2" max="12" width="12" style="113" customWidth="1"/>
    <col min="13" max="15" width="14.85546875" style="113" customWidth="1"/>
    <col min="16" max="16" width="37.5703125" style="113" customWidth="1"/>
    <col min="17" max="26" width="12.42578125" style="113" customWidth="1"/>
    <col min="27" max="27" width="30.85546875" style="113" customWidth="1"/>
    <col min="28" max="29" width="9.140625" style="113"/>
    <col min="30" max="30" width="6.140625" style="113" customWidth="1"/>
    <col min="31" max="31" width="11.28515625" style="113" customWidth="1"/>
    <col min="32" max="34" width="11.140625" style="113" bestFit="1" customWidth="1"/>
    <col min="35" max="35" width="9.5703125" style="113" customWidth="1"/>
    <col min="36" max="38" width="9" style="113" bestFit="1" customWidth="1"/>
    <col min="39" max="255" width="9.140625" style="113"/>
    <col min="256" max="256" width="26.85546875" style="113" customWidth="1"/>
    <col min="257" max="257" width="0" style="113" hidden="1" customWidth="1"/>
    <col min="258" max="258" width="12.42578125" style="113" customWidth="1"/>
    <col min="259" max="260" width="11.140625" style="113" customWidth="1"/>
    <col min="261" max="261" width="12.140625" style="113" customWidth="1"/>
    <col min="262" max="262" width="14" style="113" customWidth="1"/>
    <col min="263" max="263" width="12.5703125" style="113" customWidth="1"/>
    <col min="264" max="265" width="13.140625" style="113" customWidth="1"/>
    <col min="266" max="267" width="9.140625" style="113"/>
    <col min="268" max="268" width="11" style="113" customWidth="1"/>
    <col min="269" max="511" width="9.140625" style="113"/>
    <col min="512" max="512" width="26.85546875" style="113" customWidth="1"/>
    <col min="513" max="513" width="0" style="113" hidden="1" customWidth="1"/>
    <col min="514" max="514" width="12.42578125" style="113" customWidth="1"/>
    <col min="515" max="516" width="11.140625" style="113" customWidth="1"/>
    <col min="517" max="517" width="12.140625" style="113" customWidth="1"/>
    <col min="518" max="518" width="14" style="113" customWidth="1"/>
    <col min="519" max="519" width="12.5703125" style="113" customWidth="1"/>
    <col min="520" max="521" width="13.140625" style="113" customWidth="1"/>
    <col min="522" max="523" width="9.140625" style="113"/>
    <col min="524" max="524" width="11" style="113" customWidth="1"/>
    <col min="525" max="767" width="9.140625" style="113"/>
    <col min="768" max="768" width="26.85546875" style="113" customWidth="1"/>
    <col min="769" max="769" width="0" style="113" hidden="1" customWidth="1"/>
    <col min="770" max="770" width="12.42578125" style="113" customWidth="1"/>
    <col min="771" max="772" width="11.140625" style="113" customWidth="1"/>
    <col min="773" max="773" width="12.140625" style="113" customWidth="1"/>
    <col min="774" max="774" width="14" style="113" customWidth="1"/>
    <col min="775" max="775" width="12.5703125" style="113" customWidth="1"/>
    <col min="776" max="777" width="13.140625" style="113" customWidth="1"/>
    <col min="778" max="779" width="9.140625" style="113"/>
    <col min="780" max="780" width="11" style="113" customWidth="1"/>
    <col min="781" max="1023" width="9.140625" style="113"/>
    <col min="1024" max="1024" width="26.85546875" style="113" customWidth="1"/>
    <col min="1025" max="1025" width="0" style="113" hidden="1" customWidth="1"/>
    <col min="1026" max="1026" width="12.42578125" style="113" customWidth="1"/>
    <col min="1027" max="1028" width="11.140625" style="113" customWidth="1"/>
    <col min="1029" max="1029" width="12.140625" style="113" customWidth="1"/>
    <col min="1030" max="1030" width="14" style="113" customWidth="1"/>
    <col min="1031" max="1031" width="12.5703125" style="113" customWidth="1"/>
    <col min="1032" max="1033" width="13.140625" style="113" customWidth="1"/>
    <col min="1034" max="1035" width="9.140625" style="113"/>
    <col min="1036" max="1036" width="11" style="113" customWidth="1"/>
    <col min="1037" max="1279" width="9.140625" style="113"/>
    <col min="1280" max="1280" width="26.85546875" style="113" customWidth="1"/>
    <col min="1281" max="1281" width="0" style="113" hidden="1" customWidth="1"/>
    <col min="1282" max="1282" width="12.42578125" style="113" customWidth="1"/>
    <col min="1283" max="1284" width="11.140625" style="113" customWidth="1"/>
    <col min="1285" max="1285" width="12.140625" style="113" customWidth="1"/>
    <col min="1286" max="1286" width="14" style="113" customWidth="1"/>
    <col min="1287" max="1287" width="12.5703125" style="113" customWidth="1"/>
    <col min="1288" max="1289" width="13.140625" style="113" customWidth="1"/>
    <col min="1290" max="1291" width="9.140625" style="113"/>
    <col min="1292" max="1292" width="11" style="113" customWidth="1"/>
    <col min="1293" max="1535" width="9.140625" style="113"/>
    <col min="1536" max="1536" width="26.85546875" style="113" customWidth="1"/>
    <col min="1537" max="1537" width="0" style="113" hidden="1" customWidth="1"/>
    <col min="1538" max="1538" width="12.42578125" style="113" customWidth="1"/>
    <col min="1539" max="1540" width="11.140625" style="113" customWidth="1"/>
    <col min="1541" max="1541" width="12.140625" style="113" customWidth="1"/>
    <col min="1542" max="1542" width="14" style="113" customWidth="1"/>
    <col min="1543" max="1543" width="12.5703125" style="113" customWidth="1"/>
    <col min="1544" max="1545" width="13.140625" style="113" customWidth="1"/>
    <col min="1546" max="1547" width="9.140625" style="113"/>
    <col min="1548" max="1548" width="11" style="113" customWidth="1"/>
    <col min="1549" max="1791" width="9.140625" style="113"/>
    <col min="1792" max="1792" width="26.85546875" style="113" customWidth="1"/>
    <col min="1793" max="1793" width="0" style="113" hidden="1" customWidth="1"/>
    <col min="1794" max="1794" width="12.42578125" style="113" customWidth="1"/>
    <col min="1795" max="1796" width="11.140625" style="113" customWidth="1"/>
    <col min="1797" max="1797" width="12.140625" style="113" customWidth="1"/>
    <col min="1798" max="1798" width="14" style="113" customWidth="1"/>
    <col min="1799" max="1799" width="12.5703125" style="113" customWidth="1"/>
    <col min="1800" max="1801" width="13.140625" style="113" customWidth="1"/>
    <col min="1802" max="1803" width="9.140625" style="113"/>
    <col min="1804" max="1804" width="11" style="113" customWidth="1"/>
    <col min="1805" max="2047" width="9.140625" style="113"/>
    <col min="2048" max="2048" width="26.85546875" style="113" customWidth="1"/>
    <col min="2049" max="2049" width="0" style="113" hidden="1" customWidth="1"/>
    <col min="2050" max="2050" width="12.42578125" style="113" customWidth="1"/>
    <col min="2051" max="2052" width="11.140625" style="113" customWidth="1"/>
    <col min="2053" max="2053" width="12.140625" style="113" customWidth="1"/>
    <col min="2054" max="2054" width="14" style="113" customWidth="1"/>
    <col min="2055" max="2055" width="12.5703125" style="113" customWidth="1"/>
    <col min="2056" max="2057" width="13.140625" style="113" customWidth="1"/>
    <col min="2058" max="2059" width="9.140625" style="113"/>
    <col min="2060" max="2060" width="11" style="113" customWidth="1"/>
    <col min="2061" max="2303" width="9.140625" style="113"/>
    <col min="2304" max="2304" width="26.85546875" style="113" customWidth="1"/>
    <col min="2305" max="2305" width="0" style="113" hidden="1" customWidth="1"/>
    <col min="2306" max="2306" width="12.42578125" style="113" customWidth="1"/>
    <col min="2307" max="2308" width="11.140625" style="113" customWidth="1"/>
    <col min="2309" max="2309" width="12.140625" style="113" customWidth="1"/>
    <col min="2310" max="2310" width="14" style="113" customWidth="1"/>
    <col min="2311" max="2311" width="12.5703125" style="113" customWidth="1"/>
    <col min="2312" max="2313" width="13.140625" style="113" customWidth="1"/>
    <col min="2314" max="2315" width="9.140625" style="113"/>
    <col min="2316" max="2316" width="11" style="113" customWidth="1"/>
    <col min="2317" max="2559" width="9.140625" style="113"/>
    <col min="2560" max="2560" width="26.85546875" style="113" customWidth="1"/>
    <col min="2561" max="2561" width="0" style="113" hidden="1" customWidth="1"/>
    <col min="2562" max="2562" width="12.42578125" style="113" customWidth="1"/>
    <col min="2563" max="2564" width="11.140625" style="113" customWidth="1"/>
    <col min="2565" max="2565" width="12.140625" style="113" customWidth="1"/>
    <col min="2566" max="2566" width="14" style="113" customWidth="1"/>
    <col min="2567" max="2567" width="12.5703125" style="113" customWidth="1"/>
    <col min="2568" max="2569" width="13.140625" style="113" customWidth="1"/>
    <col min="2570" max="2571" width="9.140625" style="113"/>
    <col min="2572" max="2572" width="11" style="113" customWidth="1"/>
    <col min="2573" max="2815" width="9.140625" style="113"/>
    <col min="2816" max="2816" width="26.85546875" style="113" customWidth="1"/>
    <col min="2817" max="2817" width="0" style="113" hidden="1" customWidth="1"/>
    <col min="2818" max="2818" width="12.42578125" style="113" customWidth="1"/>
    <col min="2819" max="2820" width="11.140625" style="113" customWidth="1"/>
    <col min="2821" max="2821" width="12.140625" style="113" customWidth="1"/>
    <col min="2822" max="2822" width="14" style="113" customWidth="1"/>
    <col min="2823" max="2823" width="12.5703125" style="113" customWidth="1"/>
    <col min="2824" max="2825" width="13.140625" style="113" customWidth="1"/>
    <col min="2826" max="2827" width="9.140625" style="113"/>
    <col min="2828" max="2828" width="11" style="113" customWidth="1"/>
    <col min="2829" max="3071" width="9.140625" style="113"/>
    <col min="3072" max="3072" width="26.85546875" style="113" customWidth="1"/>
    <col min="3073" max="3073" width="0" style="113" hidden="1" customWidth="1"/>
    <col min="3074" max="3074" width="12.42578125" style="113" customWidth="1"/>
    <col min="3075" max="3076" width="11.140625" style="113" customWidth="1"/>
    <col min="3077" max="3077" width="12.140625" style="113" customWidth="1"/>
    <col min="3078" max="3078" width="14" style="113" customWidth="1"/>
    <col min="3079" max="3079" width="12.5703125" style="113" customWidth="1"/>
    <col min="3080" max="3081" width="13.140625" style="113" customWidth="1"/>
    <col min="3082" max="3083" width="9.140625" style="113"/>
    <col min="3084" max="3084" width="11" style="113" customWidth="1"/>
    <col min="3085" max="3327" width="9.140625" style="113"/>
    <col min="3328" max="3328" width="26.85546875" style="113" customWidth="1"/>
    <col min="3329" max="3329" width="0" style="113" hidden="1" customWidth="1"/>
    <col min="3330" max="3330" width="12.42578125" style="113" customWidth="1"/>
    <col min="3331" max="3332" width="11.140625" style="113" customWidth="1"/>
    <col min="3333" max="3333" width="12.140625" style="113" customWidth="1"/>
    <col min="3334" max="3334" width="14" style="113" customWidth="1"/>
    <col min="3335" max="3335" width="12.5703125" style="113" customWidth="1"/>
    <col min="3336" max="3337" width="13.140625" style="113" customWidth="1"/>
    <col min="3338" max="3339" width="9.140625" style="113"/>
    <col min="3340" max="3340" width="11" style="113" customWidth="1"/>
    <col min="3341" max="3583" width="9.140625" style="113"/>
    <col min="3584" max="3584" width="26.85546875" style="113" customWidth="1"/>
    <col min="3585" max="3585" width="0" style="113" hidden="1" customWidth="1"/>
    <col min="3586" max="3586" width="12.42578125" style="113" customWidth="1"/>
    <col min="3587" max="3588" width="11.140625" style="113" customWidth="1"/>
    <col min="3589" max="3589" width="12.140625" style="113" customWidth="1"/>
    <col min="3590" max="3590" width="14" style="113" customWidth="1"/>
    <col min="3591" max="3591" width="12.5703125" style="113" customWidth="1"/>
    <col min="3592" max="3593" width="13.140625" style="113" customWidth="1"/>
    <col min="3594" max="3595" width="9.140625" style="113"/>
    <col min="3596" max="3596" width="11" style="113" customWidth="1"/>
    <col min="3597" max="3839" width="9.140625" style="113"/>
    <col min="3840" max="3840" width="26.85546875" style="113" customWidth="1"/>
    <col min="3841" max="3841" width="0" style="113" hidden="1" customWidth="1"/>
    <col min="3842" max="3842" width="12.42578125" style="113" customWidth="1"/>
    <col min="3843" max="3844" width="11.140625" style="113" customWidth="1"/>
    <col min="3845" max="3845" width="12.140625" style="113" customWidth="1"/>
    <col min="3846" max="3846" width="14" style="113" customWidth="1"/>
    <col min="3847" max="3847" width="12.5703125" style="113" customWidth="1"/>
    <col min="3848" max="3849" width="13.140625" style="113" customWidth="1"/>
    <col min="3850" max="3851" width="9.140625" style="113"/>
    <col min="3852" max="3852" width="11" style="113" customWidth="1"/>
    <col min="3853" max="4095" width="9.140625" style="113"/>
    <col min="4096" max="4096" width="26.85546875" style="113" customWidth="1"/>
    <col min="4097" max="4097" width="0" style="113" hidden="1" customWidth="1"/>
    <col min="4098" max="4098" width="12.42578125" style="113" customWidth="1"/>
    <col min="4099" max="4100" width="11.140625" style="113" customWidth="1"/>
    <col min="4101" max="4101" width="12.140625" style="113" customWidth="1"/>
    <col min="4102" max="4102" width="14" style="113" customWidth="1"/>
    <col min="4103" max="4103" width="12.5703125" style="113" customWidth="1"/>
    <col min="4104" max="4105" width="13.140625" style="113" customWidth="1"/>
    <col min="4106" max="4107" width="9.140625" style="113"/>
    <col min="4108" max="4108" width="11" style="113" customWidth="1"/>
    <col min="4109" max="4351" width="9.140625" style="113"/>
    <col min="4352" max="4352" width="26.85546875" style="113" customWidth="1"/>
    <col min="4353" max="4353" width="0" style="113" hidden="1" customWidth="1"/>
    <col min="4354" max="4354" width="12.42578125" style="113" customWidth="1"/>
    <col min="4355" max="4356" width="11.140625" style="113" customWidth="1"/>
    <col min="4357" max="4357" width="12.140625" style="113" customWidth="1"/>
    <col min="4358" max="4358" width="14" style="113" customWidth="1"/>
    <col min="4359" max="4359" width="12.5703125" style="113" customWidth="1"/>
    <col min="4360" max="4361" width="13.140625" style="113" customWidth="1"/>
    <col min="4362" max="4363" width="9.140625" style="113"/>
    <col min="4364" max="4364" width="11" style="113" customWidth="1"/>
    <col min="4365" max="4607" width="9.140625" style="113"/>
    <col min="4608" max="4608" width="26.85546875" style="113" customWidth="1"/>
    <col min="4609" max="4609" width="0" style="113" hidden="1" customWidth="1"/>
    <col min="4610" max="4610" width="12.42578125" style="113" customWidth="1"/>
    <col min="4611" max="4612" width="11.140625" style="113" customWidth="1"/>
    <col min="4613" max="4613" width="12.140625" style="113" customWidth="1"/>
    <col min="4614" max="4614" width="14" style="113" customWidth="1"/>
    <col min="4615" max="4615" width="12.5703125" style="113" customWidth="1"/>
    <col min="4616" max="4617" width="13.140625" style="113" customWidth="1"/>
    <col min="4618" max="4619" width="9.140625" style="113"/>
    <col min="4620" max="4620" width="11" style="113" customWidth="1"/>
    <col min="4621" max="4863" width="9.140625" style="113"/>
    <col min="4864" max="4864" width="26.85546875" style="113" customWidth="1"/>
    <col min="4865" max="4865" width="0" style="113" hidden="1" customWidth="1"/>
    <col min="4866" max="4866" width="12.42578125" style="113" customWidth="1"/>
    <col min="4867" max="4868" width="11.140625" style="113" customWidth="1"/>
    <col min="4869" max="4869" width="12.140625" style="113" customWidth="1"/>
    <col min="4870" max="4870" width="14" style="113" customWidth="1"/>
    <col min="4871" max="4871" width="12.5703125" style="113" customWidth="1"/>
    <col min="4872" max="4873" width="13.140625" style="113" customWidth="1"/>
    <col min="4874" max="4875" width="9.140625" style="113"/>
    <col min="4876" max="4876" width="11" style="113" customWidth="1"/>
    <col min="4877" max="5119" width="9.140625" style="113"/>
    <col min="5120" max="5120" width="26.85546875" style="113" customWidth="1"/>
    <col min="5121" max="5121" width="0" style="113" hidden="1" customWidth="1"/>
    <col min="5122" max="5122" width="12.42578125" style="113" customWidth="1"/>
    <col min="5123" max="5124" width="11.140625" style="113" customWidth="1"/>
    <col min="5125" max="5125" width="12.140625" style="113" customWidth="1"/>
    <col min="5126" max="5126" width="14" style="113" customWidth="1"/>
    <col min="5127" max="5127" width="12.5703125" style="113" customWidth="1"/>
    <col min="5128" max="5129" width="13.140625" style="113" customWidth="1"/>
    <col min="5130" max="5131" width="9.140625" style="113"/>
    <col min="5132" max="5132" width="11" style="113" customWidth="1"/>
    <col min="5133" max="5375" width="9.140625" style="113"/>
    <col min="5376" max="5376" width="26.85546875" style="113" customWidth="1"/>
    <col min="5377" max="5377" width="0" style="113" hidden="1" customWidth="1"/>
    <col min="5378" max="5378" width="12.42578125" style="113" customWidth="1"/>
    <col min="5379" max="5380" width="11.140625" style="113" customWidth="1"/>
    <col min="5381" max="5381" width="12.140625" style="113" customWidth="1"/>
    <col min="5382" max="5382" width="14" style="113" customWidth="1"/>
    <col min="5383" max="5383" width="12.5703125" style="113" customWidth="1"/>
    <col min="5384" max="5385" width="13.140625" style="113" customWidth="1"/>
    <col min="5386" max="5387" width="9.140625" style="113"/>
    <col min="5388" max="5388" width="11" style="113" customWidth="1"/>
    <col min="5389" max="5631" width="9.140625" style="113"/>
    <col min="5632" max="5632" width="26.85546875" style="113" customWidth="1"/>
    <col min="5633" max="5633" width="0" style="113" hidden="1" customWidth="1"/>
    <col min="5634" max="5634" width="12.42578125" style="113" customWidth="1"/>
    <col min="5635" max="5636" width="11.140625" style="113" customWidth="1"/>
    <col min="5637" max="5637" width="12.140625" style="113" customWidth="1"/>
    <col min="5638" max="5638" width="14" style="113" customWidth="1"/>
    <col min="5639" max="5639" width="12.5703125" style="113" customWidth="1"/>
    <col min="5640" max="5641" width="13.140625" style="113" customWidth="1"/>
    <col min="5642" max="5643" width="9.140625" style="113"/>
    <col min="5644" max="5644" width="11" style="113" customWidth="1"/>
    <col min="5645" max="5887" width="9.140625" style="113"/>
    <col min="5888" max="5888" width="26.85546875" style="113" customWidth="1"/>
    <col min="5889" max="5889" width="0" style="113" hidden="1" customWidth="1"/>
    <col min="5890" max="5890" width="12.42578125" style="113" customWidth="1"/>
    <col min="5891" max="5892" width="11.140625" style="113" customWidth="1"/>
    <col min="5893" max="5893" width="12.140625" style="113" customWidth="1"/>
    <col min="5894" max="5894" width="14" style="113" customWidth="1"/>
    <col min="5895" max="5895" width="12.5703125" style="113" customWidth="1"/>
    <col min="5896" max="5897" width="13.140625" style="113" customWidth="1"/>
    <col min="5898" max="5899" width="9.140625" style="113"/>
    <col min="5900" max="5900" width="11" style="113" customWidth="1"/>
    <col min="5901" max="6143" width="9.140625" style="113"/>
    <col min="6144" max="6144" width="26.85546875" style="113" customWidth="1"/>
    <col min="6145" max="6145" width="0" style="113" hidden="1" customWidth="1"/>
    <col min="6146" max="6146" width="12.42578125" style="113" customWidth="1"/>
    <col min="6147" max="6148" width="11.140625" style="113" customWidth="1"/>
    <col min="6149" max="6149" width="12.140625" style="113" customWidth="1"/>
    <col min="6150" max="6150" width="14" style="113" customWidth="1"/>
    <col min="6151" max="6151" width="12.5703125" style="113" customWidth="1"/>
    <col min="6152" max="6153" width="13.140625" style="113" customWidth="1"/>
    <col min="6154" max="6155" width="9.140625" style="113"/>
    <col min="6156" max="6156" width="11" style="113" customWidth="1"/>
    <col min="6157" max="6399" width="9.140625" style="113"/>
    <col min="6400" max="6400" width="26.85546875" style="113" customWidth="1"/>
    <col min="6401" max="6401" width="0" style="113" hidden="1" customWidth="1"/>
    <col min="6402" max="6402" width="12.42578125" style="113" customWidth="1"/>
    <col min="6403" max="6404" width="11.140625" style="113" customWidth="1"/>
    <col min="6405" max="6405" width="12.140625" style="113" customWidth="1"/>
    <col min="6406" max="6406" width="14" style="113" customWidth="1"/>
    <col min="6407" max="6407" width="12.5703125" style="113" customWidth="1"/>
    <col min="6408" max="6409" width="13.140625" style="113" customWidth="1"/>
    <col min="6410" max="6411" width="9.140625" style="113"/>
    <col min="6412" max="6412" width="11" style="113" customWidth="1"/>
    <col min="6413" max="6655" width="9.140625" style="113"/>
    <col min="6656" max="6656" width="26.85546875" style="113" customWidth="1"/>
    <col min="6657" max="6657" width="0" style="113" hidden="1" customWidth="1"/>
    <col min="6658" max="6658" width="12.42578125" style="113" customWidth="1"/>
    <col min="6659" max="6660" width="11.140625" style="113" customWidth="1"/>
    <col min="6661" max="6661" width="12.140625" style="113" customWidth="1"/>
    <col min="6662" max="6662" width="14" style="113" customWidth="1"/>
    <col min="6663" max="6663" width="12.5703125" style="113" customWidth="1"/>
    <col min="6664" max="6665" width="13.140625" style="113" customWidth="1"/>
    <col min="6666" max="6667" width="9.140625" style="113"/>
    <col min="6668" max="6668" width="11" style="113" customWidth="1"/>
    <col min="6669" max="6911" width="9.140625" style="113"/>
    <col min="6912" max="6912" width="26.85546875" style="113" customWidth="1"/>
    <col min="6913" max="6913" width="0" style="113" hidden="1" customWidth="1"/>
    <col min="6914" max="6914" width="12.42578125" style="113" customWidth="1"/>
    <col min="6915" max="6916" width="11.140625" style="113" customWidth="1"/>
    <col min="6917" max="6917" width="12.140625" style="113" customWidth="1"/>
    <col min="6918" max="6918" width="14" style="113" customWidth="1"/>
    <col min="6919" max="6919" width="12.5703125" style="113" customWidth="1"/>
    <col min="6920" max="6921" width="13.140625" style="113" customWidth="1"/>
    <col min="6922" max="6923" width="9.140625" style="113"/>
    <col min="6924" max="6924" width="11" style="113" customWidth="1"/>
    <col min="6925" max="7167" width="9.140625" style="113"/>
    <col min="7168" max="7168" width="26.85546875" style="113" customWidth="1"/>
    <col min="7169" max="7169" width="0" style="113" hidden="1" customWidth="1"/>
    <col min="7170" max="7170" width="12.42578125" style="113" customWidth="1"/>
    <col min="7171" max="7172" width="11.140625" style="113" customWidth="1"/>
    <col min="7173" max="7173" width="12.140625" style="113" customWidth="1"/>
    <col min="7174" max="7174" width="14" style="113" customWidth="1"/>
    <col min="7175" max="7175" width="12.5703125" style="113" customWidth="1"/>
    <col min="7176" max="7177" width="13.140625" style="113" customWidth="1"/>
    <col min="7178" max="7179" width="9.140625" style="113"/>
    <col min="7180" max="7180" width="11" style="113" customWidth="1"/>
    <col min="7181" max="7423" width="9.140625" style="113"/>
    <col min="7424" max="7424" width="26.85546875" style="113" customWidth="1"/>
    <col min="7425" max="7425" width="0" style="113" hidden="1" customWidth="1"/>
    <col min="7426" max="7426" width="12.42578125" style="113" customWidth="1"/>
    <col min="7427" max="7428" width="11.140625" style="113" customWidth="1"/>
    <col min="7429" max="7429" width="12.140625" style="113" customWidth="1"/>
    <col min="7430" max="7430" width="14" style="113" customWidth="1"/>
    <col min="7431" max="7431" width="12.5703125" style="113" customWidth="1"/>
    <col min="7432" max="7433" width="13.140625" style="113" customWidth="1"/>
    <col min="7434" max="7435" width="9.140625" style="113"/>
    <col min="7436" max="7436" width="11" style="113" customWidth="1"/>
    <col min="7437" max="7679" width="9.140625" style="113"/>
    <col min="7680" max="7680" width="26.85546875" style="113" customWidth="1"/>
    <col min="7681" max="7681" width="0" style="113" hidden="1" customWidth="1"/>
    <col min="7682" max="7682" width="12.42578125" style="113" customWidth="1"/>
    <col min="7683" max="7684" width="11.140625" style="113" customWidth="1"/>
    <col min="7685" max="7685" width="12.140625" style="113" customWidth="1"/>
    <col min="7686" max="7686" width="14" style="113" customWidth="1"/>
    <col min="7687" max="7687" width="12.5703125" style="113" customWidth="1"/>
    <col min="7688" max="7689" width="13.140625" style="113" customWidth="1"/>
    <col min="7690" max="7691" width="9.140625" style="113"/>
    <col min="7692" max="7692" width="11" style="113" customWidth="1"/>
    <col min="7693" max="7935" width="9.140625" style="113"/>
    <col min="7936" max="7936" width="26.85546875" style="113" customWidth="1"/>
    <col min="7937" max="7937" width="0" style="113" hidden="1" customWidth="1"/>
    <col min="7938" max="7938" width="12.42578125" style="113" customWidth="1"/>
    <col min="7939" max="7940" width="11.140625" style="113" customWidth="1"/>
    <col min="7941" max="7941" width="12.140625" style="113" customWidth="1"/>
    <col min="7942" max="7942" width="14" style="113" customWidth="1"/>
    <col min="7943" max="7943" width="12.5703125" style="113" customWidth="1"/>
    <col min="7944" max="7945" width="13.140625" style="113" customWidth="1"/>
    <col min="7946" max="7947" width="9.140625" style="113"/>
    <col min="7948" max="7948" width="11" style="113" customWidth="1"/>
    <col min="7949" max="8191" width="9.140625" style="113"/>
    <col min="8192" max="8192" width="26.85546875" style="113" customWidth="1"/>
    <col min="8193" max="8193" width="0" style="113" hidden="1" customWidth="1"/>
    <col min="8194" max="8194" width="12.42578125" style="113" customWidth="1"/>
    <col min="8195" max="8196" width="11.140625" style="113" customWidth="1"/>
    <col min="8197" max="8197" width="12.140625" style="113" customWidth="1"/>
    <col min="8198" max="8198" width="14" style="113" customWidth="1"/>
    <col min="8199" max="8199" width="12.5703125" style="113" customWidth="1"/>
    <col min="8200" max="8201" width="13.140625" style="113" customWidth="1"/>
    <col min="8202" max="8203" width="9.140625" style="113"/>
    <col min="8204" max="8204" width="11" style="113" customWidth="1"/>
    <col min="8205" max="8447" width="9.140625" style="113"/>
    <col min="8448" max="8448" width="26.85546875" style="113" customWidth="1"/>
    <col min="8449" max="8449" width="0" style="113" hidden="1" customWidth="1"/>
    <col min="8450" max="8450" width="12.42578125" style="113" customWidth="1"/>
    <col min="8451" max="8452" width="11.140625" style="113" customWidth="1"/>
    <col min="8453" max="8453" width="12.140625" style="113" customWidth="1"/>
    <col min="8454" max="8454" width="14" style="113" customWidth="1"/>
    <col min="8455" max="8455" width="12.5703125" style="113" customWidth="1"/>
    <col min="8456" max="8457" width="13.140625" style="113" customWidth="1"/>
    <col min="8458" max="8459" width="9.140625" style="113"/>
    <col min="8460" max="8460" width="11" style="113" customWidth="1"/>
    <col min="8461" max="8703" width="9.140625" style="113"/>
    <col min="8704" max="8704" width="26.85546875" style="113" customWidth="1"/>
    <col min="8705" max="8705" width="0" style="113" hidden="1" customWidth="1"/>
    <col min="8706" max="8706" width="12.42578125" style="113" customWidth="1"/>
    <col min="8707" max="8708" width="11.140625" style="113" customWidth="1"/>
    <col min="8709" max="8709" width="12.140625" style="113" customWidth="1"/>
    <col min="8710" max="8710" width="14" style="113" customWidth="1"/>
    <col min="8711" max="8711" width="12.5703125" style="113" customWidth="1"/>
    <col min="8712" max="8713" width="13.140625" style="113" customWidth="1"/>
    <col min="8714" max="8715" width="9.140625" style="113"/>
    <col min="8716" max="8716" width="11" style="113" customWidth="1"/>
    <col min="8717" max="8959" width="9.140625" style="113"/>
    <col min="8960" max="8960" width="26.85546875" style="113" customWidth="1"/>
    <col min="8961" max="8961" width="0" style="113" hidden="1" customWidth="1"/>
    <col min="8962" max="8962" width="12.42578125" style="113" customWidth="1"/>
    <col min="8963" max="8964" width="11.140625" style="113" customWidth="1"/>
    <col min="8965" max="8965" width="12.140625" style="113" customWidth="1"/>
    <col min="8966" max="8966" width="14" style="113" customWidth="1"/>
    <col min="8967" max="8967" width="12.5703125" style="113" customWidth="1"/>
    <col min="8968" max="8969" width="13.140625" style="113" customWidth="1"/>
    <col min="8970" max="8971" width="9.140625" style="113"/>
    <col min="8972" max="8972" width="11" style="113" customWidth="1"/>
    <col min="8973" max="9215" width="9.140625" style="113"/>
    <col min="9216" max="9216" width="26.85546875" style="113" customWidth="1"/>
    <col min="9217" max="9217" width="0" style="113" hidden="1" customWidth="1"/>
    <col min="9218" max="9218" width="12.42578125" style="113" customWidth="1"/>
    <col min="9219" max="9220" width="11.140625" style="113" customWidth="1"/>
    <col min="9221" max="9221" width="12.140625" style="113" customWidth="1"/>
    <col min="9222" max="9222" width="14" style="113" customWidth="1"/>
    <col min="9223" max="9223" width="12.5703125" style="113" customWidth="1"/>
    <col min="9224" max="9225" width="13.140625" style="113" customWidth="1"/>
    <col min="9226" max="9227" width="9.140625" style="113"/>
    <col min="9228" max="9228" width="11" style="113" customWidth="1"/>
    <col min="9229" max="9471" width="9.140625" style="113"/>
    <col min="9472" max="9472" width="26.85546875" style="113" customWidth="1"/>
    <col min="9473" max="9473" width="0" style="113" hidden="1" customWidth="1"/>
    <col min="9474" max="9474" width="12.42578125" style="113" customWidth="1"/>
    <col min="9475" max="9476" width="11.140625" style="113" customWidth="1"/>
    <col min="9477" max="9477" width="12.140625" style="113" customWidth="1"/>
    <col min="9478" max="9478" width="14" style="113" customWidth="1"/>
    <col min="9479" max="9479" width="12.5703125" style="113" customWidth="1"/>
    <col min="9480" max="9481" width="13.140625" style="113" customWidth="1"/>
    <col min="9482" max="9483" width="9.140625" style="113"/>
    <col min="9484" max="9484" width="11" style="113" customWidth="1"/>
    <col min="9485" max="9727" width="9.140625" style="113"/>
    <col min="9728" max="9728" width="26.85546875" style="113" customWidth="1"/>
    <col min="9729" max="9729" width="0" style="113" hidden="1" customWidth="1"/>
    <col min="9730" max="9730" width="12.42578125" style="113" customWidth="1"/>
    <col min="9731" max="9732" width="11.140625" style="113" customWidth="1"/>
    <col min="9733" max="9733" width="12.140625" style="113" customWidth="1"/>
    <col min="9734" max="9734" width="14" style="113" customWidth="1"/>
    <col min="9735" max="9735" width="12.5703125" style="113" customWidth="1"/>
    <col min="9736" max="9737" width="13.140625" style="113" customWidth="1"/>
    <col min="9738" max="9739" width="9.140625" style="113"/>
    <col min="9740" max="9740" width="11" style="113" customWidth="1"/>
    <col min="9741" max="9983" width="9.140625" style="113"/>
    <col min="9984" max="9984" width="26.85546875" style="113" customWidth="1"/>
    <col min="9985" max="9985" width="0" style="113" hidden="1" customWidth="1"/>
    <col min="9986" max="9986" width="12.42578125" style="113" customWidth="1"/>
    <col min="9987" max="9988" width="11.140625" style="113" customWidth="1"/>
    <col min="9989" max="9989" width="12.140625" style="113" customWidth="1"/>
    <col min="9990" max="9990" width="14" style="113" customWidth="1"/>
    <col min="9991" max="9991" width="12.5703125" style="113" customWidth="1"/>
    <col min="9992" max="9993" width="13.140625" style="113" customWidth="1"/>
    <col min="9994" max="9995" width="9.140625" style="113"/>
    <col min="9996" max="9996" width="11" style="113" customWidth="1"/>
    <col min="9997" max="10239" width="9.140625" style="113"/>
    <col min="10240" max="10240" width="26.85546875" style="113" customWidth="1"/>
    <col min="10241" max="10241" width="0" style="113" hidden="1" customWidth="1"/>
    <col min="10242" max="10242" width="12.42578125" style="113" customWidth="1"/>
    <col min="10243" max="10244" width="11.140625" style="113" customWidth="1"/>
    <col min="10245" max="10245" width="12.140625" style="113" customWidth="1"/>
    <col min="10246" max="10246" width="14" style="113" customWidth="1"/>
    <col min="10247" max="10247" width="12.5703125" style="113" customWidth="1"/>
    <col min="10248" max="10249" width="13.140625" style="113" customWidth="1"/>
    <col min="10250" max="10251" width="9.140625" style="113"/>
    <col min="10252" max="10252" width="11" style="113" customWidth="1"/>
    <col min="10253" max="10495" width="9.140625" style="113"/>
    <col min="10496" max="10496" width="26.85546875" style="113" customWidth="1"/>
    <col min="10497" max="10497" width="0" style="113" hidden="1" customWidth="1"/>
    <col min="10498" max="10498" width="12.42578125" style="113" customWidth="1"/>
    <col min="10499" max="10500" width="11.140625" style="113" customWidth="1"/>
    <col min="10501" max="10501" width="12.140625" style="113" customWidth="1"/>
    <col min="10502" max="10502" width="14" style="113" customWidth="1"/>
    <col min="10503" max="10503" width="12.5703125" style="113" customWidth="1"/>
    <col min="10504" max="10505" width="13.140625" style="113" customWidth="1"/>
    <col min="10506" max="10507" width="9.140625" style="113"/>
    <col min="10508" max="10508" width="11" style="113" customWidth="1"/>
    <col min="10509" max="10751" width="9.140625" style="113"/>
    <col min="10752" max="10752" width="26.85546875" style="113" customWidth="1"/>
    <col min="10753" max="10753" width="0" style="113" hidden="1" customWidth="1"/>
    <col min="10754" max="10754" width="12.42578125" style="113" customWidth="1"/>
    <col min="10755" max="10756" width="11.140625" style="113" customWidth="1"/>
    <col min="10757" max="10757" width="12.140625" style="113" customWidth="1"/>
    <col min="10758" max="10758" width="14" style="113" customWidth="1"/>
    <col min="10759" max="10759" width="12.5703125" style="113" customWidth="1"/>
    <col min="10760" max="10761" width="13.140625" style="113" customWidth="1"/>
    <col min="10762" max="10763" width="9.140625" style="113"/>
    <col min="10764" max="10764" width="11" style="113" customWidth="1"/>
    <col min="10765" max="11007" width="9.140625" style="113"/>
    <col min="11008" max="11008" width="26.85546875" style="113" customWidth="1"/>
    <col min="11009" max="11009" width="0" style="113" hidden="1" customWidth="1"/>
    <col min="11010" max="11010" width="12.42578125" style="113" customWidth="1"/>
    <col min="11011" max="11012" width="11.140625" style="113" customWidth="1"/>
    <col min="11013" max="11013" width="12.140625" style="113" customWidth="1"/>
    <col min="11014" max="11014" width="14" style="113" customWidth="1"/>
    <col min="11015" max="11015" width="12.5703125" style="113" customWidth="1"/>
    <col min="11016" max="11017" width="13.140625" style="113" customWidth="1"/>
    <col min="11018" max="11019" width="9.140625" style="113"/>
    <col min="11020" max="11020" width="11" style="113" customWidth="1"/>
    <col min="11021" max="11263" width="9.140625" style="113"/>
    <col min="11264" max="11264" width="26.85546875" style="113" customWidth="1"/>
    <col min="11265" max="11265" width="0" style="113" hidden="1" customWidth="1"/>
    <col min="11266" max="11266" width="12.42578125" style="113" customWidth="1"/>
    <col min="11267" max="11268" width="11.140625" style="113" customWidth="1"/>
    <col min="11269" max="11269" width="12.140625" style="113" customWidth="1"/>
    <col min="11270" max="11270" width="14" style="113" customWidth="1"/>
    <col min="11271" max="11271" width="12.5703125" style="113" customWidth="1"/>
    <col min="11272" max="11273" width="13.140625" style="113" customWidth="1"/>
    <col min="11274" max="11275" width="9.140625" style="113"/>
    <col min="11276" max="11276" width="11" style="113" customWidth="1"/>
    <col min="11277" max="11519" width="9.140625" style="113"/>
    <col min="11520" max="11520" width="26.85546875" style="113" customWidth="1"/>
    <col min="11521" max="11521" width="0" style="113" hidden="1" customWidth="1"/>
    <col min="11522" max="11522" width="12.42578125" style="113" customWidth="1"/>
    <col min="11523" max="11524" width="11.140625" style="113" customWidth="1"/>
    <col min="11525" max="11525" width="12.140625" style="113" customWidth="1"/>
    <col min="11526" max="11526" width="14" style="113" customWidth="1"/>
    <col min="11527" max="11527" width="12.5703125" style="113" customWidth="1"/>
    <col min="11528" max="11529" width="13.140625" style="113" customWidth="1"/>
    <col min="11530" max="11531" width="9.140625" style="113"/>
    <col min="11532" max="11532" width="11" style="113" customWidth="1"/>
    <col min="11533" max="11775" width="9.140625" style="113"/>
    <col min="11776" max="11776" width="26.85546875" style="113" customWidth="1"/>
    <col min="11777" max="11777" width="0" style="113" hidden="1" customWidth="1"/>
    <col min="11778" max="11778" width="12.42578125" style="113" customWidth="1"/>
    <col min="11779" max="11780" width="11.140625" style="113" customWidth="1"/>
    <col min="11781" max="11781" width="12.140625" style="113" customWidth="1"/>
    <col min="11782" max="11782" width="14" style="113" customWidth="1"/>
    <col min="11783" max="11783" width="12.5703125" style="113" customWidth="1"/>
    <col min="11784" max="11785" width="13.140625" style="113" customWidth="1"/>
    <col min="11786" max="11787" width="9.140625" style="113"/>
    <col min="11788" max="11788" width="11" style="113" customWidth="1"/>
    <col min="11789" max="12031" width="9.140625" style="113"/>
    <col min="12032" max="12032" width="26.85546875" style="113" customWidth="1"/>
    <col min="12033" max="12033" width="0" style="113" hidden="1" customWidth="1"/>
    <col min="12034" max="12034" width="12.42578125" style="113" customWidth="1"/>
    <col min="12035" max="12036" width="11.140625" style="113" customWidth="1"/>
    <col min="12037" max="12037" width="12.140625" style="113" customWidth="1"/>
    <col min="12038" max="12038" width="14" style="113" customWidth="1"/>
    <col min="12039" max="12039" width="12.5703125" style="113" customWidth="1"/>
    <col min="12040" max="12041" width="13.140625" style="113" customWidth="1"/>
    <col min="12042" max="12043" width="9.140625" style="113"/>
    <col min="12044" max="12044" width="11" style="113" customWidth="1"/>
    <col min="12045" max="12287" width="9.140625" style="113"/>
    <col min="12288" max="12288" width="26.85546875" style="113" customWidth="1"/>
    <col min="12289" max="12289" width="0" style="113" hidden="1" customWidth="1"/>
    <col min="12290" max="12290" width="12.42578125" style="113" customWidth="1"/>
    <col min="12291" max="12292" width="11.140625" style="113" customWidth="1"/>
    <col min="12293" max="12293" width="12.140625" style="113" customWidth="1"/>
    <col min="12294" max="12294" width="14" style="113" customWidth="1"/>
    <col min="12295" max="12295" width="12.5703125" style="113" customWidth="1"/>
    <col min="12296" max="12297" width="13.140625" style="113" customWidth="1"/>
    <col min="12298" max="12299" width="9.140625" style="113"/>
    <col min="12300" max="12300" width="11" style="113" customWidth="1"/>
    <col min="12301" max="12543" width="9.140625" style="113"/>
    <col min="12544" max="12544" width="26.85546875" style="113" customWidth="1"/>
    <col min="12545" max="12545" width="0" style="113" hidden="1" customWidth="1"/>
    <col min="12546" max="12546" width="12.42578125" style="113" customWidth="1"/>
    <col min="12547" max="12548" width="11.140625" style="113" customWidth="1"/>
    <col min="12549" max="12549" width="12.140625" style="113" customWidth="1"/>
    <col min="12550" max="12550" width="14" style="113" customWidth="1"/>
    <col min="12551" max="12551" width="12.5703125" style="113" customWidth="1"/>
    <col min="12552" max="12553" width="13.140625" style="113" customWidth="1"/>
    <col min="12554" max="12555" width="9.140625" style="113"/>
    <col min="12556" max="12556" width="11" style="113" customWidth="1"/>
    <col min="12557" max="12799" width="9.140625" style="113"/>
    <col min="12800" max="12800" width="26.85546875" style="113" customWidth="1"/>
    <col min="12801" max="12801" width="0" style="113" hidden="1" customWidth="1"/>
    <col min="12802" max="12802" width="12.42578125" style="113" customWidth="1"/>
    <col min="12803" max="12804" width="11.140625" style="113" customWidth="1"/>
    <col min="12805" max="12805" width="12.140625" style="113" customWidth="1"/>
    <col min="12806" max="12806" width="14" style="113" customWidth="1"/>
    <col min="12807" max="12807" width="12.5703125" style="113" customWidth="1"/>
    <col min="12808" max="12809" width="13.140625" style="113" customWidth="1"/>
    <col min="12810" max="12811" width="9.140625" style="113"/>
    <col min="12812" max="12812" width="11" style="113" customWidth="1"/>
    <col min="12813" max="13055" width="9.140625" style="113"/>
    <col min="13056" max="13056" width="26.85546875" style="113" customWidth="1"/>
    <col min="13057" max="13057" width="0" style="113" hidden="1" customWidth="1"/>
    <col min="13058" max="13058" width="12.42578125" style="113" customWidth="1"/>
    <col min="13059" max="13060" width="11.140625" style="113" customWidth="1"/>
    <col min="13061" max="13061" width="12.140625" style="113" customWidth="1"/>
    <col min="13062" max="13062" width="14" style="113" customWidth="1"/>
    <col min="13063" max="13063" width="12.5703125" style="113" customWidth="1"/>
    <col min="13064" max="13065" width="13.140625" style="113" customWidth="1"/>
    <col min="13066" max="13067" width="9.140625" style="113"/>
    <col min="13068" max="13068" width="11" style="113" customWidth="1"/>
    <col min="13069" max="13311" width="9.140625" style="113"/>
    <col min="13312" max="13312" width="26.85546875" style="113" customWidth="1"/>
    <col min="13313" max="13313" width="0" style="113" hidden="1" customWidth="1"/>
    <col min="13314" max="13314" width="12.42578125" style="113" customWidth="1"/>
    <col min="13315" max="13316" width="11.140625" style="113" customWidth="1"/>
    <col min="13317" max="13317" width="12.140625" style="113" customWidth="1"/>
    <col min="13318" max="13318" width="14" style="113" customWidth="1"/>
    <col min="13319" max="13319" width="12.5703125" style="113" customWidth="1"/>
    <col min="13320" max="13321" width="13.140625" style="113" customWidth="1"/>
    <col min="13322" max="13323" width="9.140625" style="113"/>
    <col min="13324" max="13324" width="11" style="113" customWidth="1"/>
    <col min="13325" max="13567" width="9.140625" style="113"/>
    <col min="13568" max="13568" width="26.85546875" style="113" customWidth="1"/>
    <col min="13569" max="13569" width="0" style="113" hidden="1" customWidth="1"/>
    <col min="13570" max="13570" width="12.42578125" style="113" customWidth="1"/>
    <col min="13571" max="13572" width="11.140625" style="113" customWidth="1"/>
    <col min="13573" max="13573" width="12.140625" style="113" customWidth="1"/>
    <col min="13574" max="13574" width="14" style="113" customWidth="1"/>
    <col min="13575" max="13575" width="12.5703125" style="113" customWidth="1"/>
    <col min="13576" max="13577" width="13.140625" style="113" customWidth="1"/>
    <col min="13578" max="13579" width="9.140625" style="113"/>
    <col min="13580" max="13580" width="11" style="113" customWidth="1"/>
    <col min="13581" max="13823" width="9.140625" style="113"/>
    <col min="13824" max="13824" width="26.85546875" style="113" customWidth="1"/>
    <col min="13825" max="13825" width="0" style="113" hidden="1" customWidth="1"/>
    <col min="13826" max="13826" width="12.42578125" style="113" customWidth="1"/>
    <col min="13827" max="13828" width="11.140625" style="113" customWidth="1"/>
    <col min="13829" max="13829" width="12.140625" style="113" customWidth="1"/>
    <col min="13830" max="13830" width="14" style="113" customWidth="1"/>
    <col min="13831" max="13831" width="12.5703125" style="113" customWidth="1"/>
    <col min="13832" max="13833" width="13.140625" style="113" customWidth="1"/>
    <col min="13834" max="13835" width="9.140625" style="113"/>
    <col min="13836" max="13836" width="11" style="113" customWidth="1"/>
    <col min="13837" max="14079" width="9.140625" style="113"/>
    <col min="14080" max="14080" width="26.85546875" style="113" customWidth="1"/>
    <col min="14081" max="14081" width="0" style="113" hidden="1" customWidth="1"/>
    <col min="14082" max="14082" width="12.42578125" style="113" customWidth="1"/>
    <col min="14083" max="14084" width="11.140625" style="113" customWidth="1"/>
    <col min="14085" max="14085" width="12.140625" style="113" customWidth="1"/>
    <col min="14086" max="14086" width="14" style="113" customWidth="1"/>
    <col min="14087" max="14087" width="12.5703125" style="113" customWidth="1"/>
    <col min="14088" max="14089" width="13.140625" style="113" customWidth="1"/>
    <col min="14090" max="14091" width="9.140625" style="113"/>
    <col min="14092" max="14092" width="11" style="113" customWidth="1"/>
    <col min="14093" max="14335" width="9.140625" style="113"/>
    <col min="14336" max="14336" width="26.85546875" style="113" customWidth="1"/>
    <col min="14337" max="14337" width="0" style="113" hidden="1" customWidth="1"/>
    <col min="14338" max="14338" width="12.42578125" style="113" customWidth="1"/>
    <col min="14339" max="14340" width="11.140625" style="113" customWidth="1"/>
    <col min="14341" max="14341" width="12.140625" style="113" customWidth="1"/>
    <col min="14342" max="14342" width="14" style="113" customWidth="1"/>
    <col min="14343" max="14343" width="12.5703125" style="113" customWidth="1"/>
    <col min="14344" max="14345" width="13.140625" style="113" customWidth="1"/>
    <col min="14346" max="14347" width="9.140625" style="113"/>
    <col min="14348" max="14348" width="11" style="113" customWidth="1"/>
    <col min="14349" max="14591" width="9.140625" style="113"/>
    <col min="14592" max="14592" width="26.85546875" style="113" customWidth="1"/>
    <col min="14593" max="14593" width="0" style="113" hidden="1" customWidth="1"/>
    <col min="14594" max="14594" width="12.42578125" style="113" customWidth="1"/>
    <col min="14595" max="14596" width="11.140625" style="113" customWidth="1"/>
    <col min="14597" max="14597" width="12.140625" style="113" customWidth="1"/>
    <col min="14598" max="14598" width="14" style="113" customWidth="1"/>
    <col min="14599" max="14599" width="12.5703125" style="113" customWidth="1"/>
    <col min="14600" max="14601" width="13.140625" style="113" customWidth="1"/>
    <col min="14602" max="14603" width="9.140625" style="113"/>
    <col min="14604" max="14604" width="11" style="113" customWidth="1"/>
    <col min="14605" max="14847" width="9.140625" style="113"/>
    <col min="14848" max="14848" width="26.85546875" style="113" customWidth="1"/>
    <col min="14849" max="14849" width="0" style="113" hidden="1" customWidth="1"/>
    <col min="14850" max="14850" width="12.42578125" style="113" customWidth="1"/>
    <col min="14851" max="14852" width="11.140625" style="113" customWidth="1"/>
    <col min="14853" max="14853" width="12.140625" style="113" customWidth="1"/>
    <col min="14854" max="14854" width="14" style="113" customWidth="1"/>
    <col min="14855" max="14855" width="12.5703125" style="113" customWidth="1"/>
    <col min="14856" max="14857" width="13.140625" style="113" customWidth="1"/>
    <col min="14858" max="14859" width="9.140625" style="113"/>
    <col min="14860" max="14860" width="11" style="113" customWidth="1"/>
    <col min="14861" max="15103" width="9.140625" style="113"/>
    <col min="15104" max="15104" width="26.85546875" style="113" customWidth="1"/>
    <col min="15105" max="15105" width="0" style="113" hidden="1" customWidth="1"/>
    <col min="15106" max="15106" width="12.42578125" style="113" customWidth="1"/>
    <col min="15107" max="15108" width="11.140625" style="113" customWidth="1"/>
    <col min="15109" max="15109" width="12.140625" style="113" customWidth="1"/>
    <col min="15110" max="15110" width="14" style="113" customWidth="1"/>
    <col min="15111" max="15111" width="12.5703125" style="113" customWidth="1"/>
    <col min="15112" max="15113" width="13.140625" style="113" customWidth="1"/>
    <col min="15114" max="15115" width="9.140625" style="113"/>
    <col min="15116" max="15116" width="11" style="113" customWidth="1"/>
    <col min="15117" max="15359" width="9.140625" style="113"/>
    <col min="15360" max="15360" width="26.85546875" style="113" customWidth="1"/>
    <col min="15361" max="15361" width="0" style="113" hidden="1" customWidth="1"/>
    <col min="15362" max="15362" width="12.42578125" style="113" customWidth="1"/>
    <col min="15363" max="15364" width="11.140625" style="113" customWidth="1"/>
    <col min="15365" max="15365" width="12.140625" style="113" customWidth="1"/>
    <col min="15366" max="15366" width="14" style="113" customWidth="1"/>
    <col min="15367" max="15367" width="12.5703125" style="113" customWidth="1"/>
    <col min="15368" max="15369" width="13.140625" style="113" customWidth="1"/>
    <col min="15370" max="15371" width="9.140625" style="113"/>
    <col min="15372" max="15372" width="11" style="113" customWidth="1"/>
    <col min="15373" max="15615" width="9.140625" style="113"/>
    <col min="15616" max="15616" width="26.85546875" style="113" customWidth="1"/>
    <col min="15617" max="15617" width="0" style="113" hidden="1" customWidth="1"/>
    <col min="15618" max="15618" width="12.42578125" style="113" customWidth="1"/>
    <col min="15619" max="15620" width="11.140625" style="113" customWidth="1"/>
    <col min="15621" max="15621" width="12.140625" style="113" customWidth="1"/>
    <col min="15622" max="15622" width="14" style="113" customWidth="1"/>
    <col min="15623" max="15623" width="12.5703125" style="113" customWidth="1"/>
    <col min="15624" max="15625" width="13.140625" style="113" customWidth="1"/>
    <col min="15626" max="15627" width="9.140625" style="113"/>
    <col min="15628" max="15628" width="11" style="113" customWidth="1"/>
    <col min="15629" max="15871" width="9.140625" style="113"/>
    <col min="15872" max="15872" width="26.85546875" style="113" customWidth="1"/>
    <col min="15873" max="15873" width="0" style="113" hidden="1" customWidth="1"/>
    <col min="15874" max="15874" width="12.42578125" style="113" customWidth="1"/>
    <col min="15875" max="15876" width="11.140625" style="113" customWidth="1"/>
    <col min="15877" max="15877" width="12.140625" style="113" customWidth="1"/>
    <col min="15878" max="15878" width="14" style="113" customWidth="1"/>
    <col min="15879" max="15879" width="12.5703125" style="113" customWidth="1"/>
    <col min="15880" max="15881" width="13.140625" style="113" customWidth="1"/>
    <col min="15882" max="15883" width="9.140625" style="113"/>
    <col min="15884" max="15884" width="11" style="113" customWidth="1"/>
    <col min="15885" max="16127" width="9.140625" style="113"/>
    <col min="16128" max="16128" width="26.85546875" style="113" customWidth="1"/>
    <col min="16129" max="16129" width="0" style="113" hidden="1" customWidth="1"/>
    <col min="16130" max="16130" width="12.42578125" style="113" customWidth="1"/>
    <col min="16131" max="16132" width="11.140625" style="113" customWidth="1"/>
    <col min="16133" max="16133" width="12.140625" style="113" customWidth="1"/>
    <col min="16134" max="16134" width="14" style="113" customWidth="1"/>
    <col min="16135" max="16135" width="12.5703125" style="113" customWidth="1"/>
    <col min="16136" max="16137" width="13.140625" style="113" customWidth="1"/>
    <col min="16138" max="16139" width="9.140625" style="113"/>
    <col min="16140" max="16140" width="11" style="113" customWidth="1"/>
    <col min="16141" max="16384" width="9.140625" style="113"/>
  </cols>
  <sheetData>
    <row r="2" spans="1:12">
      <c r="A2" s="272" t="s">
        <v>0</v>
      </c>
      <c r="B2" s="272"/>
      <c r="C2" s="272"/>
      <c r="D2" s="272"/>
      <c r="E2" s="272"/>
      <c r="F2" s="272"/>
      <c r="G2" s="272"/>
      <c r="H2" s="272"/>
      <c r="I2" s="112"/>
      <c r="J2" s="112"/>
      <c r="K2" s="112"/>
      <c r="L2" s="112"/>
    </row>
    <row r="3" spans="1:12" ht="51">
      <c r="A3" s="295" t="s">
        <v>1</v>
      </c>
      <c r="B3" s="296" t="s">
        <v>2</v>
      </c>
      <c r="C3" s="296" t="s">
        <v>3</v>
      </c>
      <c r="D3" s="296" t="s">
        <v>4</v>
      </c>
      <c r="E3" s="296" t="s">
        <v>3</v>
      </c>
      <c r="F3" s="296" t="s">
        <v>5</v>
      </c>
      <c r="G3" s="296" t="s">
        <v>6</v>
      </c>
      <c r="I3" s="114"/>
      <c r="J3" s="114"/>
      <c r="K3" s="114"/>
      <c r="L3" s="114"/>
    </row>
    <row r="4" spans="1:12">
      <c r="A4" s="297" t="s">
        <v>7</v>
      </c>
      <c r="B4" s="297"/>
      <c r="C4" s="297"/>
      <c r="D4" s="297"/>
      <c r="E4" s="297"/>
      <c r="F4" s="297"/>
      <c r="G4" s="297"/>
      <c r="H4" s="115"/>
      <c r="I4" s="112"/>
      <c r="J4" s="112"/>
      <c r="K4" s="112"/>
      <c r="L4" s="112"/>
    </row>
    <row r="5" spans="1:12">
      <c r="A5" s="153"/>
      <c r="B5" s="154"/>
      <c r="C5" s="154"/>
      <c r="D5" s="154"/>
      <c r="E5" s="154"/>
      <c r="F5" s="154"/>
      <c r="G5" s="155"/>
      <c r="H5" s="115"/>
      <c r="I5" s="112"/>
      <c r="J5" s="112"/>
      <c r="K5" s="112"/>
      <c r="L5" s="112"/>
    </row>
    <row r="6" spans="1:12">
      <c r="A6" s="298" t="s">
        <v>8</v>
      </c>
      <c r="B6" s="156">
        <v>242.56495715609006</v>
      </c>
      <c r="C6" s="157"/>
      <c r="D6" s="157"/>
      <c r="E6" s="157"/>
      <c r="F6" s="158">
        <v>19906</v>
      </c>
      <c r="G6" s="299"/>
      <c r="H6" s="115"/>
      <c r="I6" s="112"/>
      <c r="J6" s="112"/>
      <c r="K6" s="112"/>
      <c r="L6" s="112"/>
    </row>
    <row r="7" spans="1:12">
      <c r="A7" s="153"/>
      <c r="B7" s="154"/>
      <c r="C7" s="154"/>
      <c r="D7" s="154"/>
      <c r="E7" s="154"/>
      <c r="F7" s="154"/>
      <c r="G7" s="155"/>
      <c r="H7" s="115"/>
      <c r="I7" s="112"/>
      <c r="J7" s="112"/>
      <c r="K7" s="112"/>
      <c r="L7" s="112"/>
    </row>
    <row r="8" spans="1:12">
      <c r="A8" s="300">
        <v>2013</v>
      </c>
      <c r="B8" s="301">
        <f>'Load Forecast Summary'!B10/1000000</f>
        <v>233.99658329999994</v>
      </c>
      <c r="C8" s="302"/>
      <c r="D8" s="301" t="e">
        <f t="shared" ref="D8:D19" si="0">B8*F115</f>
        <v>#REF!</v>
      </c>
      <c r="E8" s="302"/>
      <c r="F8" s="303">
        <f>'Load Forecast Summary'!B46</f>
        <v>18286.166666666664</v>
      </c>
      <c r="G8" s="304"/>
    </row>
    <row r="9" spans="1:12">
      <c r="A9" s="300">
        <f>A8+1</f>
        <v>2014</v>
      </c>
      <c r="B9" s="301">
        <f>'Load Forecast Summary'!C10/1000000</f>
        <v>236.08204025000001</v>
      </c>
      <c r="C9" s="305">
        <f>B9-B8</f>
        <v>2.085456950000065</v>
      </c>
      <c r="D9" s="301" t="e">
        <f t="shared" si="0"/>
        <v>#REF!</v>
      </c>
      <c r="E9" s="305" t="e">
        <f t="shared" ref="E9:E19" si="1">D9-D8</f>
        <v>#REF!</v>
      </c>
      <c r="F9" s="303">
        <f>'Load Forecast Summary'!C46</f>
        <v>18735.916666666664</v>
      </c>
      <c r="G9" s="304">
        <f>F9-F8</f>
        <v>449.75</v>
      </c>
      <c r="I9" s="112"/>
      <c r="K9" s="112"/>
      <c r="L9" s="112"/>
    </row>
    <row r="10" spans="1:12">
      <c r="A10" s="300">
        <f t="shared" ref="A10:A17" si="2">A9+1</f>
        <v>2015</v>
      </c>
      <c r="B10" s="301">
        <f>'Load Forecast Summary'!D10/1000000</f>
        <v>239.39057258000005</v>
      </c>
      <c r="C10" s="305">
        <f t="shared" ref="C10:C19" si="3">B10-B9</f>
        <v>3.3085323300000482</v>
      </c>
      <c r="D10" s="301" t="e">
        <f t="shared" si="0"/>
        <v>#REF!</v>
      </c>
      <c r="E10" s="305" t="e">
        <f t="shared" si="1"/>
        <v>#REF!</v>
      </c>
      <c r="F10" s="303">
        <f>'Load Forecast Summary'!D46</f>
        <v>19073.083333333336</v>
      </c>
      <c r="G10" s="304">
        <f t="shared" ref="G10:G19" si="4">F10-F9</f>
        <v>337.16666666667152</v>
      </c>
      <c r="I10" s="116"/>
    </row>
    <row r="11" spans="1:12">
      <c r="A11" s="300">
        <f t="shared" si="2"/>
        <v>2016</v>
      </c>
      <c r="B11" s="301">
        <f>'Load Forecast Summary'!E10/1000000</f>
        <v>243.08996312000002</v>
      </c>
      <c r="C11" s="305">
        <f t="shared" si="3"/>
        <v>3.6993905399999676</v>
      </c>
      <c r="D11" s="301" t="e">
        <f t="shared" si="0"/>
        <v>#REF!</v>
      </c>
      <c r="E11" s="305" t="e">
        <f t="shared" si="1"/>
        <v>#REF!</v>
      </c>
      <c r="F11" s="303">
        <f>'Load Forecast Summary'!E46</f>
        <v>19398</v>
      </c>
      <c r="G11" s="304">
        <f t="shared" si="4"/>
        <v>324.91666666666424</v>
      </c>
    </row>
    <row r="12" spans="1:12">
      <c r="A12" s="300">
        <f t="shared" si="2"/>
        <v>2017</v>
      </c>
      <c r="B12" s="301">
        <f>'Load Forecast Summary'!F10/1000000</f>
        <v>242.27221285000002</v>
      </c>
      <c r="C12" s="305">
        <f t="shared" si="3"/>
        <v>-0.81775027000000478</v>
      </c>
      <c r="D12" s="301" t="e">
        <f t="shared" si="0"/>
        <v>#REF!</v>
      </c>
      <c r="E12" s="305" t="e">
        <f t="shared" si="1"/>
        <v>#REF!</v>
      </c>
      <c r="F12" s="303">
        <f>'Load Forecast Summary'!F46</f>
        <v>19957.25</v>
      </c>
      <c r="G12" s="304">
        <f t="shared" si="4"/>
        <v>559.25</v>
      </c>
      <c r="I12" s="116"/>
    </row>
    <row r="13" spans="1:12">
      <c r="A13" s="300">
        <f t="shared" si="2"/>
        <v>2018</v>
      </c>
      <c r="B13" s="301">
        <f>'Load Forecast Summary'!G10/1000000</f>
        <v>263.49938388000004</v>
      </c>
      <c r="C13" s="305">
        <f t="shared" si="3"/>
        <v>21.227171030000022</v>
      </c>
      <c r="D13" s="301" t="e">
        <f t="shared" si="0"/>
        <v>#REF!</v>
      </c>
      <c r="E13" s="305" t="e">
        <f t="shared" si="1"/>
        <v>#REF!</v>
      </c>
      <c r="F13" s="303">
        <f>'Load Forecast Summary'!G46</f>
        <v>20996.416666666668</v>
      </c>
      <c r="G13" s="304">
        <f t="shared" si="4"/>
        <v>1039.1666666666679</v>
      </c>
      <c r="I13" s="116"/>
    </row>
    <row r="14" spans="1:12">
      <c r="A14" s="300">
        <f t="shared" si="2"/>
        <v>2019</v>
      </c>
      <c r="B14" s="301">
        <f>'Load Forecast Summary'!H10/1000000</f>
        <v>270.0983518999999</v>
      </c>
      <c r="C14" s="305">
        <f t="shared" si="3"/>
        <v>6.5989680199998588</v>
      </c>
      <c r="D14" s="301" t="e">
        <f t="shared" si="0"/>
        <v>#REF!</v>
      </c>
      <c r="E14" s="305" t="e">
        <f t="shared" si="1"/>
        <v>#REF!</v>
      </c>
      <c r="F14" s="303">
        <f>'Load Forecast Summary'!H46</f>
        <v>22041.666666666664</v>
      </c>
      <c r="G14" s="304">
        <f t="shared" si="4"/>
        <v>1045.2499999999964</v>
      </c>
      <c r="I14" s="116"/>
    </row>
    <row r="15" spans="1:12">
      <c r="A15" s="300">
        <f t="shared" si="2"/>
        <v>2020</v>
      </c>
      <c r="B15" s="301">
        <f>'Load Forecast Summary'!I10/1000000</f>
        <v>275.89282246999994</v>
      </c>
      <c r="C15" s="305">
        <f t="shared" si="3"/>
        <v>5.7944705700000441</v>
      </c>
      <c r="D15" s="301" t="e">
        <f t="shared" si="0"/>
        <v>#REF!</v>
      </c>
      <c r="E15" s="305" t="e">
        <f t="shared" si="1"/>
        <v>#REF!</v>
      </c>
      <c r="F15" s="303">
        <f>'Load Forecast Summary'!I46</f>
        <v>22459.5</v>
      </c>
      <c r="G15" s="304">
        <f t="shared" si="4"/>
        <v>417.83333333333576</v>
      </c>
      <c r="I15" s="116"/>
      <c r="K15" s="116"/>
      <c r="L15" s="116"/>
    </row>
    <row r="16" spans="1:12">
      <c r="A16" s="300">
        <f t="shared" si="2"/>
        <v>2021</v>
      </c>
      <c r="B16" s="301">
        <f>'Load Forecast Summary'!J10/1000000</f>
        <v>278.37313194000006</v>
      </c>
      <c r="C16" s="305">
        <f t="shared" si="3"/>
        <v>2.4803094700001225</v>
      </c>
      <c r="D16" s="301" t="e">
        <f t="shared" si="0"/>
        <v>#REF!</v>
      </c>
      <c r="E16" s="305" t="e">
        <f t="shared" si="1"/>
        <v>#REF!</v>
      </c>
      <c r="F16" s="303">
        <f>'Load Forecast Summary'!J46</f>
        <v>23342.666666666664</v>
      </c>
      <c r="G16" s="304">
        <f t="shared" si="4"/>
        <v>883.16666666666424</v>
      </c>
    </row>
    <row r="17" spans="1:14" ht="12.75" customHeight="1">
      <c r="A17" s="300">
        <f t="shared" si="2"/>
        <v>2022</v>
      </c>
      <c r="B17" s="301">
        <f>'Load Forecast Summary'!K10/1000000</f>
        <v>283.53233565449119</v>
      </c>
      <c r="C17" s="305">
        <f t="shared" si="3"/>
        <v>5.1592037144911274</v>
      </c>
      <c r="D17" s="301" t="e">
        <f t="shared" si="0"/>
        <v>#REF!</v>
      </c>
      <c r="E17" s="305" t="e">
        <f t="shared" si="1"/>
        <v>#REF!</v>
      </c>
      <c r="F17" s="303">
        <f>'Load Forecast Summary'!K46</f>
        <v>24316.166666666672</v>
      </c>
      <c r="G17" s="304">
        <f t="shared" si="4"/>
        <v>973.50000000000728</v>
      </c>
      <c r="I17" s="116"/>
      <c r="K17" s="116"/>
      <c r="L17" s="116"/>
    </row>
    <row r="18" spans="1:14">
      <c r="A18" s="306" t="s">
        <v>9</v>
      </c>
      <c r="B18" s="301">
        <f>'Load Forecast Summary'!L10/1000000</f>
        <v>285.08520634618509</v>
      </c>
      <c r="C18" s="305">
        <f t="shared" si="3"/>
        <v>1.5528706916938972</v>
      </c>
      <c r="D18" s="301" t="e">
        <f t="shared" si="0"/>
        <v>#REF!</v>
      </c>
      <c r="E18" s="305" t="e">
        <f t="shared" si="1"/>
        <v>#REF!</v>
      </c>
      <c r="F18" s="303">
        <f>'Load Forecast Summary'!L46</f>
        <v>25784.239254527965</v>
      </c>
      <c r="G18" s="304">
        <f t="shared" si="4"/>
        <v>1468.0725878612939</v>
      </c>
      <c r="I18" s="116"/>
      <c r="L18" s="116"/>
    </row>
    <row r="19" spans="1:14">
      <c r="A19" s="306" t="s">
        <v>10</v>
      </c>
      <c r="B19" s="301">
        <f>'Load Forecast Summary'!M10/1000000</f>
        <v>296.68519272412698</v>
      </c>
      <c r="C19" s="305">
        <f t="shared" si="3"/>
        <v>11.599986377941889</v>
      </c>
      <c r="D19" s="301" t="e">
        <f t="shared" si="0"/>
        <v>#REF!</v>
      </c>
      <c r="E19" s="305" t="e">
        <f t="shared" si="1"/>
        <v>#REF!</v>
      </c>
      <c r="F19" s="303">
        <f>'Load Forecast Summary'!M46</f>
        <v>26723.079379988259</v>
      </c>
      <c r="G19" s="304">
        <f t="shared" si="4"/>
        <v>938.84012546029408</v>
      </c>
      <c r="I19" s="116"/>
      <c r="K19" s="116"/>
      <c r="L19" s="116"/>
    </row>
    <row r="21" spans="1:14">
      <c r="A21" s="117" t="s">
        <v>11</v>
      </c>
      <c r="B21" s="117"/>
      <c r="C21" s="117"/>
      <c r="D21" s="117"/>
      <c r="E21" s="117"/>
    </row>
    <row r="22" spans="1:14" ht="38.25">
      <c r="A22" s="295" t="s">
        <v>1</v>
      </c>
      <c r="B22" s="307" t="s">
        <v>12</v>
      </c>
      <c r="C22" s="307" t="s">
        <v>13</v>
      </c>
      <c r="D22" s="307" t="s">
        <v>14</v>
      </c>
      <c r="E22" s="307" t="s">
        <v>15</v>
      </c>
      <c r="F22" s="307" t="s">
        <v>16</v>
      </c>
      <c r="G22" s="307" t="s">
        <v>17</v>
      </c>
      <c r="H22" s="307" t="s">
        <v>18</v>
      </c>
      <c r="I22" s="296" t="s">
        <v>19</v>
      </c>
      <c r="J22" s="160"/>
    </row>
    <row r="23" spans="1:14" ht="14.25" customHeight="1">
      <c r="A23" s="308" t="s">
        <v>20</v>
      </c>
      <c r="B23" s="308"/>
      <c r="C23" s="308"/>
      <c r="D23" s="308"/>
      <c r="E23" s="308"/>
      <c r="F23" s="308"/>
      <c r="G23" s="308"/>
      <c r="H23" s="308"/>
      <c r="I23" s="308"/>
      <c r="J23" s="160"/>
    </row>
    <row r="24" spans="1:14" ht="14.25" customHeight="1">
      <c r="A24" s="300">
        <f t="shared" ref="A24:A33" si="5">A8</f>
        <v>2013</v>
      </c>
      <c r="B24" s="301">
        <f t="array" ref="B24:B33">TRANSPOSE('Load Forecast Summary'!B15:K15)/1000000</f>
        <v>149.68353250999996</v>
      </c>
      <c r="C24" s="301">
        <f t="array" ref="C24:C33">TRANSPOSE('Load Forecast Summary'!B19:K19)/1000000</f>
        <v>31.060364789999998</v>
      </c>
      <c r="D24" s="301">
        <f t="array" ref="D24:D33">TRANSPOSE('Load Forecast Summary'!B23:K23)/1000000</f>
        <v>50.17812412</v>
      </c>
      <c r="E24" s="301">
        <f t="array" ref="E24:E33">TRANSPOSE('Load Forecast Summary'!B33:K33)/1000000</f>
        <v>0.11304</v>
      </c>
      <c r="F24" s="301">
        <f t="array" ref="F24:F33">TRANSPOSE('Load Forecast Summary'!B28:K28)/1000000</f>
        <v>1.4953033799999997</v>
      </c>
      <c r="G24" s="301">
        <f t="array" ref="G24:G33">TRANSPOSE('Load Forecast Summary'!B38:K38)/1000000</f>
        <v>0.47404200000000002</v>
      </c>
      <c r="H24" s="301">
        <f t="array" ref="H24:H33">TRANSPOSE('Load Forecast Summary'!B42:K42)/1000000</f>
        <v>0.99217650000000002</v>
      </c>
      <c r="I24" s="301">
        <f>SUM(B24:H24)</f>
        <v>233.99658329999997</v>
      </c>
      <c r="J24" s="162"/>
      <c r="K24" s="115"/>
      <c r="L24" s="115"/>
      <c r="M24" s="115"/>
      <c r="N24" s="115"/>
    </row>
    <row r="25" spans="1:14" ht="14.25" customHeight="1">
      <c r="A25" s="300">
        <f t="shared" si="5"/>
        <v>2014</v>
      </c>
      <c r="B25" s="301">
        <v>150.83689028000001</v>
      </c>
      <c r="C25" s="301">
        <v>32.218311560000004</v>
      </c>
      <c r="D25" s="301">
        <v>49.953564469999996</v>
      </c>
      <c r="E25" s="301">
        <v>0.110682</v>
      </c>
      <c r="F25" s="301">
        <v>1.5154477399999999</v>
      </c>
      <c r="G25" s="301">
        <v>0.46598099999999998</v>
      </c>
      <c r="H25" s="301">
        <v>0.98116320000000012</v>
      </c>
      <c r="I25" s="301">
        <f t="shared" ref="I25:I33" si="6">SUM(B25:H25)</f>
        <v>236.08204025000001</v>
      </c>
      <c r="J25" s="162"/>
      <c r="K25" s="115"/>
      <c r="L25" s="115"/>
      <c r="M25" s="115"/>
      <c r="N25" s="115"/>
    </row>
    <row r="26" spans="1:14">
      <c r="A26" s="300">
        <f t="shared" si="5"/>
        <v>2015</v>
      </c>
      <c r="B26" s="301">
        <v>149.31242291999999</v>
      </c>
      <c r="C26" s="301">
        <v>33.644640010000003</v>
      </c>
      <c r="D26" s="301">
        <v>53.874044790000006</v>
      </c>
      <c r="E26" s="301">
        <v>0.10837529999999999</v>
      </c>
      <c r="F26" s="301">
        <v>1.0164547599999998</v>
      </c>
      <c r="G26" s="301">
        <v>0.463092</v>
      </c>
      <c r="H26" s="301">
        <v>0.97154280000000004</v>
      </c>
      <c r="I26" s="301">
        <f t="shared" si="6"/>
        <v>239.39057258</v>
      </c>
      <c r="J26" s="162"/>
      <c r="K26" s="115"/>
      <c r="L26" s="115"/>
      <c r="M26" s="115"/>
      <c r="N26" s="115"/>
    </row>
    <row r="27" spans="1:14">
      <c r="A27" s="300">
        <f t="shared" si="5"/>
        <v>2016</v>
      </c>
      <c r="B27" s="301">
        <v>150.13591650999999</v>
      </c>
      <c r="C27" s="301">
        <v>33.481494420000004</v>
      </c>
      <c r="D27" s="301">
        <v>57.415240680000004</v>
      </c>
      <c r="E27" s="301">
        <v>0.10324230000000001</v>
      </c>
      <c r="F27" s="301">
        <v>0.54404160999999995</v>
      </c>
      <c r="G27" s="301">
        <v>0.46165200000000001</v>
      </c>
      <c r="H27" s="301">
        <v>0.94837559999999999</v>
      </c>
      <c r="I27" s="301">
        <f>SUM(B27:H27)</f>
        <v>243.08996311999999</v>
      </c>
      <c r="J27" s="162"/>
      <c r="K27" s="115"/>
      <c r="L27" s="115"/>
      <c r="M27" s="115"/>
      <c r="N27" s="115"/>
    </row>
    <row r="28" spans="1:14">
      <c r="A28" s="300">
        <f t="shared" si="5"/>
        <v>2017</v>
      </c>
      <c r="B28" s="301">
        <v>145.25046083000001</v>
      </c>
      <c r="C28" s="301">
        <v>32.706065800000005</v>
      </c>
      <c r="D28" s="301">
        <v>62.256688589999996</v>
      </c>
      <c r="E28" s="301">
        <v>0.10384914000000003</v>
      </c>
      <c r="F28" s="301">
        <v>0.57460018999999984</v>
      </c>
      <c r="G28" s="301">
        <v>0.46019599999999999</v>
      </c>
      <c r="H28" s="301">
        <v>0.92035230000000001</v>
      </c>
      <c r="I28" s="301">
        <f t="shared" si="6"/>
        <v>242.27221284999999</v>
      </c>
      <c r="J28" s="162"/>
      <c r="K28" s="115"/>
      <c r="L28" s="115"/>
      <c r="M28" s="115"/>
      <c r="N28" s="115"/>
    </row>
    <row r="29" spans="1:14">
      <c r="A29" s="300">
        <f t="shared" si="5"/>
        <v>2018</v>
      </c>
      <c r="B29" s="301">
        <v>160.85375341</v>
      </c>
      <c r="C29" s="301">
        <v>35.963905180000005</v>
      </c>
      <c r="D29" s="301">
        <v>64.506416139999999</v>
      </c>
      <c r="E29" s="301">
        <v>0.10545953999999999</v>
      </c>
      <c r="F29" s="301">
        <v>0.61504570999999997</v>
      </c>
      <c r="G29" s="301">
        <v>0.48291399999999995</v>
      </c>
      <c r="H29" s="301">
        <v>0.97188989999999986</v>
      </c>
      <c r="I29" s="301">
        <f t="shared" si="6"/>
        <v>263.49938388000004</v>
      </c>
      <c r="J29" s="162"/>
      <c r="K29" s="115"/>
      <c r="L29" s="115"/>
      <c r="M29" s="115"/>
      <c r="N29" s="115"/>
    </row>
    <row r="30" spans="1:14">
      <c r="A30" s="300">
        <f t="shared" si="5"/>
        <v>2019</v>
      </c>
      <c r="B30" s="301">
        <v>161.28451966999995</v>
      </c>
      <c r="C30" s="301">
        <v>42.044856089999989</v>
      </c>
      <c r="D30" s="301">
        <v>64.60297718999999</v>
      </c>
      <c r="E30" s="301">
        <v>0.10380449999999999</v>
      </c>
      <c r="F30" s="301">
        <v>0.65365324999999996</v>
      </c>
      <c r="G30" s="301">
        <v>0.4855870000000001</v>
      </c>
      <c r="H30" s="301">
        <v>0.92295419999999984</v>
      </c>
      <c r="I30" s="301">
        <f t="shared" si="6"/>
        <v>270.09835189999995</v>
      </c>
      <c r="J30" s="160"/>
    </row>
    <row r="31" spans="1:14">
      <c r="A31" s="300">
        <f t="shared" si="5"/>
        <v>2020</v>
      </c>
      <c r="B31" s="301">
        <v>174.95759951999997</v>
      </c>
      <c r="C31" s="301">
        <v>39.210724930000005</v>
      </c>
      <c r="D31" s="301">
        <v>59.552047639999991</v>
      </c>
      <c r="E31" s="301">
        <v>0.10096937999999998</v>
      </c>
      <c r="F31" s="301">
        <v>0.68620159999999997</v>
      </c>
      <c r="G31" s="301">
        <v>0.43996800000000003</v>
      </c>
      <c r="H31" s="301">
        <v>0.94531140000000013</v>
      </c>
      <c r="I31" s="301">
        <f t="shared" si="6"/>
        <v>275.89282246999994</v>
      </c>
      <c r="J31" s="163"/>
      <c r="K31" s="119"/>
    </row>
    <row r="32" spans="1:14">
      <c r="A32" s="300">
        <f t="shared" si="5"/>
        <v>2021</v>
      </c>
      <c r="B32" s="301">
        <v>178.49970920000004</v>
      </c>
      <c r="C32" s="301">
        <v>39.405376529999998</v>
      </c>
      <c r="D32" s="301">
        <v>58.26828381</v>
      </c>
      <c r="E32" s="301">
        <v>9.9205680000000004E-2</v>
      </c>
      <c r="F32" s="301">
        <v>0.75113781999999996</v>
      </c>
      <c r="G32" s="301">
        <v>0.43924800000000003</v>
      </c>
      <c r="H32" s="301">
        <v>0.9101709</v>
      </c>
      <c r="I32" s="301">
        <f t="shared" si="6"/>
        <v>278.37313194000012</v>
      </c>
      <c r="J32" s="163"/>
      <c r="K32" s="119"/>
    </row>
    <row r="33" spans="1:10">
      <c r="A33" s="300">
        <f t="shared" si="5"/>
        <v>2022</v>
      </c>
      <c r="B33" s="301">
        <v>181.84366279904293</v>
      </c>
      <c r="C33" s="301">
        <v>42.00833771544827</v>
      </c>
      <c r="D33" s="301">
        <v>57.393489369999983</v>
      </c>
      <c r="E33" s="301">
        <v>9.758723999999995E-2</v>
      </c>
      <c r="F33" s="301">
        <v>0.8057816299999998</v>
      </c>
      <c r="G33" s="301">
        <v>0.44788800000000001</v>
      </c>
      <c r="H33" s="301">
        <v>0.93558890000000006</v>
      </c>
      <c r="I33" s="301">
        <f t="shared" si="6"/>
        <v>283.53233565449119</v>
      </c>
      <c r="J33" s="163"/>
    </row>
    <row r="34" spans="1:10" ht="14.25" customHeight="1">
      <c r="A34" s="308" t="s">
        <v>21</v>
      </c>
      <c r="B34" s="308"/>
      <c r="C34" s="308"/>
      <c r="D34" s="308"/>
      <c r="E34" s="308"/>
      <c r="F34" s="308"/>
      <c r="G34" s="308"/>
      <c r="H34" s="308"/>
      <c r="I34" s="308"/>
      <c r="J34" s="161"/>
    </row>
    <row r="35" spans="1:10" ht="14.25" customHeight="1">
      <c r="A35" s="166"/>
      <c r="B35" s="164"/>
      <c r="C35" s="164"/>
      <c r="D35" s="164"/>
      <c r="E35" s="164"/>
      <c r="F35" s="164"/>
      <c r="G35" s="164"/>
      <c r="H35" s="164"/>
      <c r="I35" s="167"/>
      <c r="J35" s="159"/>
    </row>
    <row r="36" spans="1:10" ht="14.25" customHeight="1">
      <c r="A36" s="309" t="s">
        <v>8</v>
      </c>
      <c r="B36" s="310">
        <v>145.84742360421788</v>
      </c>
      <c r="C36" s="310">
        <v>31.828340451457589</v>
      </c>
      <c r="D36" s="310">
        <v>63.763902940143062</v>
      </c>
      <c r="E36" s="310">
        <v>0.10305165856497742</v>
      </c>
      <c r="F36" s="310">
        <v>0.56122348942778977</v>
      </c>
      <c r="G36" s="310">
        <v>0.46101501227876113</v>
      </c>
      <c r="H36" s="311" t="s">
        <v>22</v>
      </c>
      <c r="I36" s="310">
        <f>SUM(B36:G36)</f>
        <v>242.56495715609003</v>
      </c>
      <c r="J36" s="159"/>
    </row>
    <row r="37" spans="1:10" ht="14.25" customHeight="1">
      <c r="A37" s="166"/>
      <c r="B37" s="164"/>
      <c r="C37" s="164"/>
      <c r="D37" s="164"/>
      <c r="E37" s="164"/>
      <c r="F37" s="164"/>
      <c r="G37" s="164"/>
      <c r="H37" s="164"/>
      <c r="I37" s="167"/>
      <c r="J37" s="159"/>
    </row>
    <row r="38" spans="1:10" ht="14.25" customHeight="1">
      <c r="A38" s="300">
        <f>A8</f>
        <v>2013</v>
      </c>
      <c r="B38" s="312" t="e">
        <f t="shared" ref="B38:H47" si="7">B24*$F115</f>
        <v>#REF!</v>
      </c>
      <c r="C38" s="312" t="e">
        <f t="shared" si="7"/>
        <v>#REF!</v>
      </c>
      <c r="D38" s="312" t="e">
        <f t="shared" si="7"/>
        <v>#REF!</v>
      </c>
      <c r="E38" s="312" t="e">
        <f t="shared" si="7"/>
        <v>#REF!</v>
      </c>
      <c r="F38" s="312" t="e">
        <f t="shared" si="7"/>
        <v>#REF!</v>
      </c>
      <c r="G38" s="312" t="e">
        <f t="shared" si="7"/>
        <v>#REF!</v>
      </c>
      <c r="H38" s="312" t="e">
        <f t="shared" si="7"/>
        <v>#REF!</v>
      </c>
      <c r="I38" s="301" t="e">
        <f>SUM(B38:H38)</f>
        <v>#REF!</v>
      </c>
      <c r="J38" s="160"/>
    </row>
    <row r="39" spans="1:10" ht="14.25" customHeight="1">
      <c r="A39" s="300">
        <f>A9</f>
        <v>2014</v>
      </c>
      <c r="B39" s="312" t="e">
        <f t="shared" si="7"/>
        <v>#REF!</v>
      </c>
      <c r="C39" s="312" t="e">
        <f t="shared" si="7"/>
        <v>#REF!</v>
      </c>
      <c r="D39" s="312" t="e">
        <f t="shared" si="7"/>
        <v>#REF!</v>
      </c>
      <c r="E39" s="312" t="e">
        <f t="shared" si="7"/>
        <v>#REF!</v>
      </c>
      <c r="F39" s="312" t="e">
        <f t="shared" si="7"/>
        <v>#REF!</v>
      </c>
      <c r="G39" s="312" t="e">
        <f t="shared" si="7"/>
        <v>#REF!</v>
      </c>
      <c r="H39" s="312" t="e">
        <f t="shared" si="7"/>
        <v>#REF!</v>
      </c>
      <c r="I39" s="301" t="e">
        <f t="shared" ref="I39:I48" si="8">SUM(B39:H39)</f>
        <v>#REF!</v>
      </c>
      <c r="J39" s="160"/>
    </row>
    <row r="40" spans="1:10">
      <c r="A40" s="300">
        <f>A10</f>
        <v>2015</v>
      </c>
      <c r="B40" s="312" t="e">
        <f t="shared" si="7"/>
        <v>#REF!</v>
      </c>
      <c r="C40" s="312" t="e">
        <f t="shared" si="7"/>
        <v>#REF!</v>
      </c>
      <c r="D40" s="312" t="e">
        <f t="shared" si="7"/>
        <v>#REF!</v>
      </c>
      <c r="E40" s="312" t="e">
        <f t="shared" si="7"/>
        <v>#REF!</v>
      </c>
      <c r="F40" s="312" t="e">
        <f t="shared" si="7"/>
        <v>#REF!</v>
      </c>
      <c r="G40" s="312" t="e">
        <f t="shared" si="7"/>
        <v>#REF!</v>
      </c>
      <c r="H40" s="312" t="e">
        <f t="shared" si="7"/>
        <v>#REF!</v>
      </c>
      <c r="I40" s="301" t="e">
        <f t="shared" si="8"/>
        <v>#REF!</v>
      </c>
      <c r="J40" s="165"/>
    </row>
    <row r="41" spans="1:10">
      <c r="A41" s="300">
        <f>A11</f>
        <v>2016</v>
      </c>
      <c r="B41" s="312" t="e">
        <f t="shared" si="7"/>
        <v>#REF!</v>
      </c>
      <c r="C41" s="312" t="e">
        <f t="shared" si="7"/>
        <v>#REF!</v>
      </c>
      <c r="D41" s="312" t="e">
        <f t="shared" si="7"/>
        <v>#REF!</v>
      </c>
      <c r="E41" s="312" t="e">
        <f t="shared" si="7"/>
        <v>#REF!</v>
      </c>
      <c r="F41" s="312" t="e">
        <f t="shared" si="7"/>
        <v>#REF!</v>
      </c>
      <c r="G41" s="312" t="e">
        <f t="shared" si="7"/>
        <v>#REF!</v>
      </c>
      <c r="H41" s="312" t="e">
        <f t="shared" si="7"/>
        <v>#REF!</v>
      </c>
      <c r="I41" s="301" t="e">
        <f t="shared" si="8"/>
        <v>#REF!</v>
      </c>
      <c r="J41" s="165"/>
    </row>
    <row r="42" spans="1:10">
      <c r="A42" s="313" t="s">
        <v>23</v>
      </c>
      <c r="B42" s="312" t="e">
        <f t="shared" si="7"/>
        <v>#REF!</v>
      </c>
      <c r="C42" s="312" t="e">
        <f t="shared" si="7"/>
        <v>#REF!</v>
      </c>
      <c r="D42" s="312" t="e">
        <f t="shared" si="7"/>
        <v>#REF!</v>
      </c>
      <c r="E42" s="312" t="e">
        <f t="shared" si="7"/>
        <v>#REF!</v>
      </c>
      <c r="F42" s="312" t="e">
        <f t="shared" si="7"/>
        <v>#REF!</v>
      </c>
      <c r="G42" s="312" t="e">
        <f t="shared" si="7"/>
        <v>#REF!</v>
      </c>
      <c r="H42" s="312" t="e">
        <f t="shared" si="7"/>
        <v>#REF!</v>
      </c>
      <c r="I42" s="301" t="e">
        <f t="shared" si="8"/>
        <v>#REF!</v>
      </c>
      <c r="J42" s="165"/>
    </row>
    <row r="43" spans="1:10">
      <c r="A43" s="300">
        <f t="shared" ref="A43:A49" si="9">A13</f>
        <v>2018</v>
      </c>
      <c r="B43" s="312" t="e">
        <f t="shared" si="7"/>
        <v>#REF!</v>
      </c>
      <c r="C43" s="312" t="e">
        <f t="shared" si="7"/>
        <v>#REF!</v>
      </c>
      <c r="D43" s="312" t="e">
        <f t="shared" si="7"/>
        <v>#REF!</v>
      </c>
      <c r="E43" s="312" t="e">
        <f t="shared" si="7"/>
        <v>#REF!</v>
      </c>
      <c r="F43" s="312" t="e">
        <f t="shared" si="7"/>
        <v>#REF!</v>
      </c>
      <c r="G43" s="312" t="e">
        <f t="shared" si="7"/>
        <v>#REF!</v>
      </c>
      <c r="H43" s="312" t="e">
        <f t="shared" si="7"/>
        <v>#REF!</v>
      </c>
      <c r="I43" s="301" t="e">
        <f t="shared" si="8"/>
        <v>#REF!</v>
      </c>
      <c r="J43" s="165"/>
    </row>
    <row r="44" spans="1:10">
      <c r="A44" s="300">
        <f t="shared" si="9"/>
        <v>2019</v>
      </c>
      <c r="B44" s="312" t="e">
        <f t="shared" si="7"/>
        <v>#REF!</v>
      </c>
      <c r="C44" s="312" t="e">
        <f t="shared" si="7"/>
        <v>#REF!</v>
      </c>
      <c r="D44" s="312" t="e">
        <f t="shared" si="7"/>
        <v>#REF!</v>
      </c>
      <c r="E44" s="312" t="e">
        <f t="shared" si="7"/>
        <v>#REF!</v>
      </c>
      <c r="F44" s="312" t="e">
        <f t="shared" si="7"/>
        <v>#REF!</v>
      </c>
      <c r="G44" s="312" t="e">
        <f t="shared" si="7"/>
        <v>#REF!</v>
      </c>
      <c r="H44" s="312" t="e">
        <f t="shared" si="7"/>
        <v>#REF!</v>
      </c>
      <c r="I44" s="301" t="e">
        <f t="shared" si="8"/>
        <v>#REF!</v>
      </c>
      <c r="J44" s="165"/>
    </row>
    <row r="45" spans="1:10">
      <c r="A45" s="300">
        <f t="shared" si="9"/>
        <v>2020</v>
      </c>
      <c r="B45" s="312" t="e">
        <f t="shared" si="7"/>
        <v>#REF!</v>
      </c>
      <c r="C45" s="312" t="e">
        <f t="shared" si="7"/>
        <v>#REF!</v>
      </c>
      <c r="D45" s="312" t="e">
        <f t="shared" si="7"/>
        <v>#REF!</v>
      </c>
      <c r="E45" s="312" t="e">
        <f t="shared" si="7"/>
        <v>#REF!</v>
      </c>
      <c r="F45" s="312" t="e">
        <f t="shared" si="7"/>
        <v>#REF!</v>
      </c>
      <c r="G45" s="312" t="e">
        <f t="shared" si="7"/>
        <v>#REF!</v>
      </c>
      <c r="H45" s="312" t="e">
        <f t="shared" si="7"/>
        <v>#REF!</v>
      </c>
      <c r="I45" s="301" t="e">
        <f t="shared" si="8"/>
        <v>#REF!</v>
      </c>
      <c r="J45" s="165"/>
    </row>
    <row r="46" spans="1:10">
      <c r="A46" s="300">
        <f t="shared" si="9"/>
        <v>2021</v>
      </c>
      <c r="B46" s="312" t="e">
        <f t="shared" si="7"/>
        <v>#REF!</v>
      </c>
      <c r="C46" s="312" t="e">
        <f t="shared" si="7"/>
        <v>#REF!</v>
      </c>
      <c r="D46" s="312" t="e">
        <f t="shared" si="7"/>
        <v>#REF!</v>
      </c>
      <c r="E46" s="312" t="e">
        <f t="shared" si="7"/>
        <v>#REF!</v>
      </c>
      <c r="F46" s="312" t="e">
        <f t="shared" si="7"/>
        <v>#REF!</v>
      </c>
      <c r="G46" s="312" t="e">
        <f t="shared" si="7"/>
        <v>#REF!</v>
      </c>
      <c r="H46" s="312" t="e">
        <f t="shared" si="7"/>
        <v>#REF!</v>
      </c>
      <c r="I46" s="301" t="e">
        <f t="shared" si="8"/>
        <v>#REF!</v>
      </c>
      <c r="J46" s="165"/>
    </row>
    <row r="47" spans="1:10">
      <c r="A47" s="300">
        <f t="shared" si="9"/>
        <v>2022</v>
      </c>
      <c r="B47" s="312" t="e">
        <f>B33*$F124</f>
        <v>#REF!</v>
      </c>
      <c r="C47" s="312" t="e">
        <f t="shared" si="7"/>
        <v>#REF!</v>
      </c>
      <c r="D47" s="312" t="e">
        <f t="shared" si="7"/>
        <v>#REF!</v>
      </c>
      <c r="E47" s="312" t="e">
        <f t="shared" si="7"/>
        <v>#REF!</v>
      </c>
      <c r="F47" s="312" t="e">
        <f t="shared" si="7"/>
        <v>#REF!</v>
      </c>
      <c r="G47" s="312" t="e">
        <f t="shared" si="7"/>
        <v>#REF!</v>
      </c>
      <c r="H47" s="312" t="e">
        <f t="shared" si="7"/>
        <v>#REF!</v>
      </c>
      <c r="I47" s="301" t="e">
        <f t="shared" si="8"/>
        <v>#REF!</v>
      </c>
      <c r="J47" s="165"/>
    </row>
    <row r="48" spans="1:10" ht="15" customHeight="1">
      <c r="A48" s="300" t="str">
        <f t="shared" si="9"/>
        <v>2023 Bridge</v>
      </c>
      <c r="B48" s="312">
        <f>'Load Forecast Summary'!L15/1000000</f>
        <v>184.2402348830071</v>
      </c>
      <c r="C48" s="312">
        <f>'Load Forecast Summary'!L19/1000000</f>
        <v>41.213244488030675</v>
      </c>
      <c r="D48" s="312">
        <f>'Load Forecast Summary'!L23/1000000</f>
        <v>57.265638273651767</v>
      </c>
      <c r="E48" s="312">
        <f>'Load Forecast Summary'!L33/1000000</f>
        <v>9.7648900526274632E-2</v>
      </c>
      <c r="F48" s="312">
        <f>'Load Forecast Summary'!L28/1000000</f>
        <v>0.86053484496841059</v>
      </c>
      <c r="G48" s="312">
        <f>'Load Forecast Summary'!L38/1000000</f>
        <v>0.47231605600091303</v>
      </c>
      <c r="H48" s="312">
        <f>'Load Forecast Summary'!L42/1000000</f>
        <v>0.93558890000000006</v>
      </c>
      <c r="I48" s="301">
        <f t="shared" si="8"/>
        <v>285.0852063461852</v>
      </c>
      <c r="J48" s="160"/>
    </row>
    <row r="49" spans="1:14" ht="15" customHeight="1">
      <c r="A49" s="300" t="str">
        <f t="shared" si="9"/>
        <v>2024 Test</v>
      </c>
      <c r="B49" s="312">
        <f>'Load Forecast Summary'!M15/1000000</f>
        <v>192.53190687263228</v>
      </c>
      <c r="C49" s="312">
        <f>'Load Forecast Summary'!M19/1000000</f>
        <v>42.796824645696915</v>
      </c>
      <c r="D49" s="312">
        <f>'Load Forecast Summary'!M23/1000000</f>
        <v>58.962335545053129</v>
      </c>
      <c r="E49" s="312">
        <f>'Load Forecast Summary'!M33/1000000</f>
        <v>9.6591330334792974E-2</v>
      </c>
      <c r="F49" s="312">
        <f>'Load Forecast Summary'!M28/1000000</f>
        <v>0.89533608733680103</v>
      </c>
      <c r="G49" s="312">
        <f>'Load Forecast Summary'!M38/1000000</f>
        <v>0.46660934307314234</v>
      </c>
      <c r="H49" s="312">
        <f>'Load Forecast Summary'!M42/1000000</f>
        <v>0.93558890000000006</v>
      </c>
      <c r="I49" s="301">
        <f>SUM(B49:H49)</f>
        <v>296.68519272412703</v>
      </c>
      <c r="J49" s="160"/>
    </row>
    <row r="50" spans="1:14">
      <c r="A50" s="121"/>
      <c r="B50" s="122"/>
      <c r="C50" s="122"/>
      <c r="D50" s="122"/>
      <c r="E50" s="122"/>
      <c r="F50" s="123"/>
      <c r="G50" s="122"/>
      <c r="H50" s="122"/>
      <c r="I50" s="122"/>
      <c r="J50" s="122"/>
      <c r="K50" s="122"/>
      <c r="L50" s="122"/>
      <c r="M50" s="120"/>
    </row>
    <row r="51" spans="1:14">
      <c r="A51" s="272" t="s">
        <v>24</v>
      </c>
      <c r="B51" s="272"/>
      <c r="C51" s="272"/>
      <c r="D51" s="272"/>
      <c r="E51" s="272"/>
      <c r="F51" s="272"/>
      <c r="G51" s="272"/>
      <c r="H51" s="272"/>
      <c r="I51" s="272"/>
      <c r="J51" s="124"/>
      <c r="K51" s="124"/>
      <c r="L51" s="112"/>
    </row>
    <row r="52" spans="1:14" ht="38.25">
      <c r="A52" s="295" t="str">
        <f t="shared" ref="A52:G52" si="10">A22</f>
        <v>Year</v>
      </c>
      <c r="B52" s="296" t="str">
        <f t="shared" si="10"/>
        <v xml:space="preserve">Residential </v>
      </c>
      <c r="C52" s="296" t="str">
        <f t="shared" si="10"/>
        <v>General Service &lt; 50 kW</v>
      </c>
      <c r="D52" s="296" t="str">
        <f t="shared" si="10"/>
        <v>General Service 50 to 4,999 kW</v>
      </c>
      <c r="E52" s="296" t="str">
        <f t="shared" si="10"/>
        <v>Sentinel Lights</v>
      </c>
      <c r="F52" s="296" t="str">
        <f t="shared" si="10"/>
        <v>Street Lights</v>
      </c>
      <c r="G52" s="296" t="str">
        <f t="shared" si="10"/>
        <v xml:space="preserve">Unmetered Scattered Loads </v>
      </c>
      <c r="H52" s="307" t="s">
        <v>18</v>
      </c>
      <c r="I52" s="296" t="str">
        <f>I22</f>
        <v>Total</v>
      </c>
      <c r="J52" s="125"/>
    </row>
    <row r="53" spans="1:14">
      <c r="A53" s="297" t="s">
        <v>25</v>
      </c>
      <c r="B53" s="297"/>
      <c r="C53" s="297"/>
      <c r="D53" s="297"/>
      <c r="E53" s="297"/>
      <c r="F53" s="297"/>
      <c r="G53" s="297"/>
      <c r="H53" s="297"/>
      <c r="I53" s="297"/>
      <c r="J53" s="125"/>
    </row>
    <row r="54" spans="1:14" s="150" customFormat="1">
      <c r="A54" s="172"/>
      <c r="B54" s="168"/>
      <c r="C54" s="168"/>
      <c r="D54" s="168"/>
      <c r="E54" s="168"/>
      <c r="F54" s="168"/>
      <c r="G54" s="168"/>
      <c r="H54" s="168"/>
      <c r="I54" s="173"/>
      <c r="J54" s="151"/>
    </row>
    <row r="55" spans="1:14" s="150" customFormat="1">
      <c r="A55" s="314" t="str">
        <f>A36</f>
        <v>2017 Board Approved</v>
      </c>
      <c r="B55" s="315">
        <v>15554.75</v>
      </c>
      <c r="C55" s="315">
        <v>1034.4166666666667</v>
      </c>
      <c r="D55" s="315">
        <v>87.5</v>
      </c>
      <c r="E55" s="315">
        <v>161</v>
      </c>
      <c r="F55" s="315">
        <v>2994.8333333333335</v>
      </c>
      <c r="G55" s="315">
        <v>73.5</v>
      </c>
      <c r="H55" s="314" t="s">
        <v>22</v>
      </c>
      <c r="I55" s="316">
        <f>SUM(B55:G55)</f>
        <v>19906</v>
      </c>
      <c r="J55" s="151"/>
    </row>
    <row r="56" spans="1:14" s="150" customFormat="1">
      <c r="A56" s="172"/>
      <c r="B56" s="168"/>
      <c r="C56" s="168"/>
      <c r="D56" s="168"/>
      <c r="E56" s="168"/>
      <c r="F56" s="168"/>
      <c r="G56" s="168"/>
      <c r="H56" s="168"/>
      <c r="I56" s="173"/>
      <c r="J56" s="151"/>
    </row>
    <row r="57" spans="1:14">
      <c r="A57" s="300">
        <f>A38</f>
        <v>2013</v>
      </c>
      <c r="B57" s="303">
        <f t="array" ref="B57:B68">TRANSPOSE('Load Forecast Summary'!B14:M14)</f>
        <v>14181</v>
      </c>
      <c r="C57" s="303">
        <f t="array" ref="C57:C68">TRANSPOSE('Load Forecast Summary'!B18:M18)</f>
        <v>948.25</v>
      </c>
      <c r="D57" s="303">
        <f t="array" ref="D57:D68">TRANSPOSE('Load Forecast Summary'!B22:M22)</f>
        <v>67</v>
      </c>
      <c r="E57" s="303">
        <f t="array" ref="E57:E68">TRANSPOSE('Load Forecast Summary'!B32:M32)</f>
        <v>168</v>
      </c>
      <c r="F57" s="303">
        <f t="array" ref="F57:F68">TRANSPOSE('Load Forecast Summary'!B27:M27)</f>
        <v>2843.3333333333335</v>
      </c>
      <c r="G57" s="303">
        <f t="array" ref="G57:G68">TRANSPOSE('Load Forecast Summary'!B37:M37)</f>
        <v>77.583333333333329</v>
      </c>
      <c r="H57" s="303">
        <f t="array" ref="H57:H68">TRANSPOSE('Load Forecast Summary'!B41:M41)</f>
        <v>1</v>
      </c>
      <c r="I57" s="303">
        <f>SUM(B57:H57)</f>
        <v>18286.166666666664</v>
      </c>
      <c r="J57" s="126"/>
      <c r="N57" s="115"/>
    </row>
    <row r="58" spans="1:14">
      <c r="A58" s="300">
        <f>A39</f>
        <v>2014</v>
      </c>
      <c r="B58" s="303">
        <v>14509.166666666666</v>
      </c>
      <c r="C58" s="303">
        <v>990.25</v>
      </c>
      <c r="D58" s="303">
        <v>67.166666666666671</v>
      </c>
      <c r="E58" s="303">
        <v>169.41666666666666</v>
      </c>
      <c r="F58" s="303">
        <v>2923.3333333333335</v>
      </c>
      <c r="G58" s="303">
        <v>75.583333333333329</v>
      </c>
      <c r="H58" s="303">
        <v>1</v>
      </c>
      <c r="I58" s="303">
        <f t="shared" ref="I58:I68" si="11">SUM(B58:H58)</f>
        <v>18735.916666666664</v>
      </c>
      <c r="J58" s="126"/>
      <c r="N58" s="115"/>
    </row>
    <row r="59" spans="1:14">
      <c r="A59" s="300">
        <f>A40</f>
        <v>2015</v>
      </c>
      <c r="B59" s="303">
        <v>14861.583333333334</v>
      </c>
      <c r="C59" s="303">
        <v>999.58333333333337</v>
      </c>
      <c r="D59" s="303">
        <v>71.5</v>
      </c>
      <c r="E59" s="303">
        <v>165.75</v>
      </c>
      <c r="F59" s="303">
        <v>2897.6666666666665</v>
      </c>
      <c r="G59" s="303">
        <v>76</v>
      </c>
      <c r="H59" s="303">
        <v>1</v>
      </c>
      <c r="I59" s="303">
        <f t="shared" si="11"/>
        <v>19073.083333333336</v>
      </c>
      <c r="J59" s="126"/>
      <c r="N59" s="115"/>
    </row>
    <row r="60" spans="1:14">
      <c r="A60" s="300">
        <f>A41</f>
        <v>2016</v>
      </c>
      <c r="B60" s="303">
        <v>15201.583333333334</v>
      </c>
      <c r="C60" s="303">
        <v>1015.25</v>
      </c>
      <c r="D60" s="303">
        <v>75.583333333333329</v>
      </c>
      <c r="E60" s="303">
        <v>166.08333333333334</v>
      </c>
      <c r="F60" s="303">
        <v>2863.1666666666665</v>
      </c>
      <c r="G60" s="303">
        <v>75.333333333333329</v>
      </c>
      <c r="H60" s="303">
        <v>1</v>
      </c>
      <c r="I60" s="303">
        <f t="shared" si="11"/>
        <v>19398</v>
      </c>
      <c r="J60" s="126"/>
      <c r="N60" s="115"/>
    </row>
    <row r="61" spans="1:14">
      <c r="A61" s="300">
        <v>2017</v>
      </c>
      <c r="B61" s="303">
        <v>15631.666666666666</v>
      </c>
      <c r="C61" s="303">
        <v>1029.3333333333333</v>
      </c>
      <c r="D61" s="303">
        <v>86.666666666666671</v>
      </c>
      <c r="E61" s="303">
        <v>161.83333333333334</v>
      </c>
      <c r="F61" s="303">
        <v>2973.25</v>
      </c>
      <c r="G61" s="303">
        <v>73.5</v>
      </c>
      <c r="H61" s="303">
        <v>1</v>
      </c>
      <c r="I61" s="303">
        <f t="shared" si="11"/>
        <v>19957.25</v>
      </c>
      <c r="J61" s="126"/>
      <c r="N61" s="115"/>
    </row>
    <row r="62" spans="1:14">
      <c r="A62" s="300">
        <f t="shared" ref="A62:A68" si="12">A43</f>
        <v>2018</v>
      </c>
      <c r="B62" s="303">
        <v>16490.666666666668</v>
      </c>
      <c r="C62" s="303">
        <v>1081</v>
      </c>
      <c r="D62" s="303">
        <v>91</v>
      </c>
      <c r="E62" s="303">
        <v>161.5</v>
      </c>
      <c r="F62" s="303">
        <v>3097.25</v>
      </c>
      <c r="G62" s="303">
        <v>74</v>
      </c>
      <c r="H62" s="303">
        <v>1</v>
      </c>
      <c r="I62" s="303">
        <f t="shared" si="11"/>
        <v>20996.416666666668</v>
      </c>
      <c r="J62" s="126"/>
      <c r="N62" s="115"/>
    </row>
    <row r="63" spans="1:14">
      <c r="A63" s="300">
        <f t="shared" si="12"/>
        <v>2019</v>
      </c>
      <c r="B63" s="303">
        <v>17294.333333333332</v>
      </c>
      <c r="C63" s="303">
        <v>1118.5833333333333</v>
      </c>
      <c r="D63" s="303">
        <v>86.583333333333329</v>
      </c>
      <c r="E63" s="303">
        <v>159.91666666666666</v>
      </c>
      <c r="F63" s="303">
        <v>3306.75</v>
      </c>
      <c r="G63" s="303">
        <v>74.5</v>
      </c>
      <c r="H63" s="303">
        <v>1</v>
      </c>
      <c r="I63" s="303">
        <f t="shared" si="11"/>
        <v>22041.666666666664</v>
      </c>
      <c r="J63" s="127"/>
      <c r="N63" s="115"/>
    </row>
    <row r="64" spans="1:14">
      <c r="A64" s="300">
        <f t="shared" si="12"/>
        <v>2020</v>
      </c>
      <c r="B64" s="303">
        <v>17582.833333333332</v>
      </c>
      <c r="C64" s="303">
        <v>1150.9166666666667</v>
      </c>
      <c r="D64" s="303">
        <v>82.083333333333329</v>
      </c>
      <c r="E64" s="303">
        <v>155.08333333333334</v>
      </c>
      <c r="F64" s="303">
        <v>3414.4166666666665</v>
      </c>
      <c r="G64" s="303">
        <v>73.166666666666671</v>
      </c>
      <c r="H64" s="303">
        <v>1</v>
      </c>
      <c r="I64" s="303">
        <f t="shared" si="11"/>
        <v>22459.5</v>
      </c>
      <c r="J64" s="126"/>
      <c r="N64" s="115"/>
    </row>
    <row r="65" spans="1:20">
      <c r="A65" s="300">
        <f t="shared" si="12"/>
        <v>2021</v>
      </c>
      <c r="B65" s="303">
        <v>18253.333333333332</v>
      </c>
      <c r="C65" s="303">
        <v>1186.8333333333333</v>
      </c>
      <c r="D65" s="303">
        <v>81.166666666666671</v>
      </c>
      <c r="E65" s="303">
        <v>152.75</v>
      </c>
      <c r="F65" s="303">
        <v>3596.5833333333335</v>
      </c>
      <c r="G65" s="303">
        <v>71</v>
      </c>
      <c r="H65" s="303">
        <v>1</v>
      </c>
      <c r="I65" s="303">
        <f t="shared" si="11"/>
        <v>23342.666666666664</v>
      </c>
      <c r="J65" s="126"/>
      <c r="N65" s="115"/>
    </row>
    <row r="66" spans="1:20" ht="12.75" customHeight="1">
      <c r="A66" s="300">
        <f t="shared" si="12"/>
        <v>2022</v>
      </c>
      <c r="B66" s="303">
        <v>18754.666666666668</v>
      </c>
      <c r="C66" s="303">
        <v>1241.1666666666667</v>
      </c>
      <c r="D66" s="303">
        <v>82.25</v>
      </c>
      <c r="E66" s="303">
        <v>150.66666666666666</v>
      </c>
      <c r="F66" s="303">
        <v>4014</v>
      </c>
      <c r="G66" s="303">
        <v>72.416666666666671</v>
      </c>
      <c r="H66" s="303">
        <v>1</v>
      </c>
      <c r="I66" s="303">
        <f t="shared" si="11"/>
        <v>24316.166666666672</v>
      </c>
      <c r="J66" s="126"/>
      <c r="N66" s="115"/>
    </row>
    <row r="67" spans="1:20" ht="12.75" customHeight="1">
      <c r="A67" s="300" t="str">
        <f t="shared" si="12"/>
        <v>2023 Bridge</v>
      </c>
      <c r="B67" s="303">
        <v>19908.463839301028</v>
      </c>
      <c r="C67" s="303">
        <v>1275.7732893284576</v>
      </c>
      <c r="D67" s="303">
        <v>85.120889744039346</v>
      </c>
      <c r="E67" s="303">
        <v>150.7618654442806</v>
      </c>
      <c r="F67" s="303">
        <v>4286.7530595146491</v>
      </c>
      <c r="G67" s="303">
        <v>76.366311195505986</v>
      </c>
      <c r="H67" s="303">
        <v>1</v>
      </c>
      <c r="I67" s="303">
        <f t="shared" si="11"/>
        <v>25784.239254527965</v>
      </c>
      <c r="J67" s="126"/>
      <c r="N67" s="115"/>
    </row>
    <row r="68" spans="1:20" ht="12.75" customHeight="1">
      <c r="A68" s="300" t="str">
        <f t="shared" si="12"/>
        <v>2024 Test</v>
      </c>
      <c r="B68" s="303">
        <v>20636.220268069355</v>
      </c>
      <c r="C68" s="303">
        <v>1314.0818521795097</v>
      </c>
      <c r="D68" s="303">
        <v>87.089175994942835</v>
      </c>
      <c r="E68" s="303">
        <v>149.12906411168251</v>
      </c>
      <c r="F68" s="303">
        <v>4460.1153969840689</v>
      </c>
      <c r="G68" s="303">
        <v>75.443622648698025</v>
      </c>
      <c r="H68" s="303">
        <v>1</v>
      </c>
      <c r="I68" s="303">
        <f t="shared" si="11"/>
        <v>26723.079379988256</v>
      </c>
      <c r="J68" s="126"/>
      <c r="N68" s="127"/>
    </row>
    <row r="69" spans="1:20">
      <c r="A69" s="297" t="s">
        <v>26</v>
      </c>
      <c r="B69" s="297"/>
      <c r="C69" s="297"/>
      <c r="D69" s="297"/>
      <c r="E69" s="297"/>
      <c r="F69" s="297"/>
      <c r="G69" s="297"/>
      <c r="H69" s="297"/>
      <c r="I69" s="297"/>
    </row>
    <row r="70" spans="1:20">
      <c r="A70" s="317">
        <f t="shared" ref="A70:A79" si="13">A8</f>
        <v>2013</v>
      </c>
      <c r="B70" s="318">
        <f>B24*1000000/B57</f>
        <v>10555.217016430432</v>
      </c>
      <c r="C70" s="318">
        <f t="shared" ref="C70:H70" si="14">C24*1000000/C57</f>
        <v>32755.459836540995</v>
      </c>
      <c r="D70" s="318">
        <f t="shared" si="14"/>
        <v>748927.22567164176</v>
      </c>
      <c r="E70" s="318">
        <f t="shared" si="14"/>
        <v>672.85714285714289</v>
      </c>
      <c r="F70" s="318">
        <f t="shared" si="14"/>
        <v>525.89802344665873</v>
      </c>
      <c r="G70" s="318">
        <f t="shared" si="14"/>
        <v>6110.1009667024709</v>
      </c>
      <c r="H70" s="318">
        <f t="shared" si="14"/>
        <v>992176.5</v>
      </c>
      <c r="I70" s="160"/>
    </row>
    <row r="71" spans="1:20">
      <c r="A71" s="317">
        <f t="shared" si="13"/>
        <v>2014</v>
      </c>
      <c r="B71" s="318">
        <f t="shared" ref="B71:H71" si="15">B25*1000000/B58</f>
        <v>10395.971991040147</v>
      </c>
      <c r="C71" s="318">
        <f t="shared" si="15"/>
        <v>32535.533006816462</v>
      </c>
      <c r="D71" s="318">
        <f t="shared" si="15"/>
        <v>743725.52560794039</v>
      </c>
      <c r="E71" s="318">
        <f t="shared" si="15"/>
        <v>653.31234628627647</v>
      </c>
      <c r="F71" s="318">
        <f t="shared" si="15"/>
        <v>518.39717445838085</v>
      </c>
      <c r="G71" s="318">
        <f t="shared" si="15"/>
        <v>6165.1289966923932</v>
      </c>
      <c r="H71" s="318">
        <f t="shared" si="15"/>
        <v>981163.20000000007</v>
      </c>
      <c r="I71" s="160"/>
    </row>
    <row r="72" spans="1:20">
      <c r="A72" s="317">
        <f t="shared" si="13"/>
        <v>2015</v>
      </c>
      <c r="B72" s="318">
        <f t="shared" ref="B72:H72" si="16">B26*1000000/B59</f>
        <v>10046.871828596099</v>
      </c>
      <c r="C72" s="318">
        <f t="shared" si="16"/>
        <v>33658.664453522302</v>
      </c>
      <c r="D72" s="318">
        <f t="shared" si="16"/>
        <v>753483.14391608397</v>
      </c>
      <c r="E72" s="318">
        <f t="shared" si="16"/>
        <v>653.84796380090495</v>
      </c>
      <c r="F72" s="318">
        <f t="shared" si="16"/>
        <v>350.78388128379152</v>
      </c>
      <c r="G72" s="318">
        <f t="shared" si="16"/>
        <v>6093.3157894736842</v>
      </c>
      <c r="H72" s="318">
        <f t="shared" si="16"/>
        <v>971542.8</v>
      </c>
      <c r="I72" s="160"/>
      <c r="K72" s="126"/>
      <c r="L72" s="126"/>
      <c r="M72" s="126"/>
      <c r="N72" s="126"/>
      <c r="O72" s="126"/>
      <c r="Q72" s="126"/>
      <c r="R72" s="126"/>
      <c r="S72" s="126"/>
      <c r="T72" s="126"/>
    </row>
    <row r="73" spans="1:20">
      <c r="A73" s="317">
        <f t="shared" si="13"/>
        <v>2016</v>
      </c>
      <c r="B73" s="318">
        <f t="shared" ref="B73:H73" si="17">B27*1000000/B60</f>
        <v>9876.3341434828599</v>
      </c>
      <c r="C73" s="318">
        <f t="shared" si="17"/>
        <v>32978.571209061811</v>
      </c>
      <c r="D73" s="318">
        <f t="shared" si="17"/>
        <v>759628.32211686892</v>
      </c>
      <c r="E73" s="318">
        <f t="shared" si="17"/>
        <v>621.62950326141492</v>
      </c>
      <c r="F73" s="318">
        <f t="shared" si="17"/>
        <v>190.01395075382734</v>
      </c>
      <c r="G73" s="318">
        <f t="shared" si="17"/>
        <v>6128.1238938053102</v>
      </c>
      <c r="H73" s="318">
        <f t="shared" si="17"/>
        <v>948375.6</v>
      </c>
      <c r="I73" s="160"/>
      <c r="K73" s="126"/>
      <c r="L73" s="126"/>
      <c r="M73" s="126"/>
      <c r="N73" s="126"/>
      <c r="O73" s="126"/>
      <c r="Q73" s="126"/>
      <c r="R73" s="126"/>
      <c r="S73" s="126"/>
      <c r="T73" s="126"/>
    </row>
    <row r="74" spans="1:20">
      <c r="A74" s="317">
        <f t="shared" si="13"/>
        <v>2017</v>
      </c>
      <c r="B74" s="318">
        <f t="shared" ref="B74:H74" si="18">B28*1000000/B61</f>
        <v>9292.0648787717255</v>
      </c>
      <c r="C74" s="318">
        <f t="shared" si="18"/>
        <v>31774.027655440423</v>
      </c>
      <c r="D74" s="318">
        <f t="shared" si="18"/>
        <v>718346.40680769226</v>
      </c>
      <c r="E74" s="318">
        <f t="shared" si="18"/>
        <v>641.7042636457262</v>
      </c>
      <c r="F74" s="318">
        <f t="shared" si="18"/>
        <v>193.25660136214574</v>
      </c>
      <c r="G74" s="318">
        <f t="shared" si="18"/>
        <v>6261.1700680272106</v>
      </c>
      <c r="H74" s="318">
        <f t="shared" si="18"/>
        <v>920352.3</v>
      </c>
      <c r="I74" s="160"/>
      <c r="K74" s="126"/>
      <c r="L74" s="126"/>
      <c r="M74" s="126"/>
      <c r="N74" s="126"/>
      <c r="O74" s="126"/>
      <c r="Q74" s="126"/>
      <c r="R74" s="126"/>
      <c r="S74" s="126"/>
      <c r="T74" s="126"/>
    </row>
    <row r="75" spans="1:20">
      <c r="A75" s="317">
        <f t="shared" si="13"/>
        <v>2018</v>
      </c>
      <c r="B75" s="318">
        <f t="shared" ref="B75:H75" si="19">B29*1000000/B62</f>
        <v>9754.2298720488343</v>
      </c>
      <c r="C75" s="318">
        <f t="shared" si="19"/>
        <v>33269.107474560602</v>
      </c>
      <c r="D75" s="318">
        <f t="shared" si="19"/>
        <v>708861.71582417586</v>
      </c>
      <c r="E75" s="318">
        <f t="shared" si="19"/>
        <v>653.00024767801858</v>
      </c>
      <c r="F75" s="318">
        <f t="shared" si="19"/>
        <v>198.57799983856646</v>
      </c>
      <c r="G75" s="318">
        <f t="shared" si="19"/>
        <v>6525.8648648648641</v>
      </c>
      <c r="H75" s="318">
        <f t="shared" si="19"/>
        <v>971889.89999999991</v>
      </c>
      <c r="I75" s="160"/>
      <c r="K75" s="126"/>
      <c r="L75" s="126"/>
      <c r="M75" s="126"/>
      <c r="N75" s="126"/>
      <c r="O75" s="126"/>
      <c r="Q75" s="126"/>
      <c r="R75" s="126"/>
      <c r="S75" s="126"/>
      <c r="T75" s="126"/>
    </row>
    <row r="76" spans="1:20">
      <c r="A76" s="317">
        <f t="shared" si="13"/>
        <v>2019</v>
      </c>
      <c r="B76" s="318">
        <f t="shared" ref="B76:H76" si="20">B30*1000000/B63</f>
        <v>9325.8593182738059</v>
      </c>
      <c r="C76" s="318">
        <f t="shared" si="20"/>
        <v>37587.593911942182</v>
      </c>
      <c r="D76" s="318">
        <f t="shared" si="20"/>
        <v>746136.40642925887</v>
      </c>
      <c r="E76" s="318">
        <f t="shared" si="20"/>
        <v>649.11620635747784</v>
      </c>
      <c r="F76" s="318">
        <f t="shared" si="20"/>
        <v>197.6724124896046</v>
      </c>
      <c r="G76" s="318">
        <f t="shared" si="20"/>
        <v>6517.9463087248341</v>
      </c>
      <c r="H76" s="318">
        <f t="shared" si="20"/>
        <v>922954.19999999984</v>
      </c>
      <c r="I76" s="160"/>
      <c r="K76" s="126"/>
      <c r="L76" s="126"/>
      <c r="M76" s="126"/>
      <c r="N76" s="126"/>
      <c r="O76" s="126"/>
      <c r="Q76" s="126"/>
      <c r="R76" s="126"/>
      <c r="S76" s="126"/>
      <c r="T76" s="126"/>
    </row>
    <row r="77" spans="1:20">
      <c r="A77" s="317">
        <f t="shared" si="13"/>
        <v>2020</v>
      </c>
      <c r="B77" s="318">
        <f t="shared" ref="B77:H77" si="21">B31*1000000/B64</f>
        <v>9950.4781853512413</v>
      </c>
      <c r="C77" s="318">
        <f t="shared" si="21"/>
        <v>34069.125998117444</v>
      </c>
      <c r="D77" s="318">
        <f t="shared" si="21"/>
        <v>725507.17937055836</v>
      </c>
      <c r="E77" s="318">
        <f t="shared" si="21"/>
        <v>651.06531972058019</v>
      </c>
      <c r="F77" s="318">
        <f t="shared" si="21"/>
        <v>200.97183999218998</v>
      </c>
      <c r="G77" s="318">
        <f t="shared" si="21"/>
        <v>6013.2300683371295</v>
      </c>
      <c r="H77" s="318">
        <f t="shared" si="21"/>
        <v>945311.40000000014</v>
      </c>
      <c r="I77" s="160"/>
      <c r="K77" s="126"/>
      <c r="L77" s="126"/>
      <c r="M77" s="126"/>
      <c r="N77" s="126"/>
      <c r="O77" s="126"/>
      <c r="Q77" s="126"/>
      <c r="R77" s="126"/>
      <c r="S77" s="126"/>
      <c r="T77" s="126"/>
    </row>
    <row r="78" spans="1:20">
      <c r="A78" s="317">
        <f t="shared" si="13"/>
        <v>2021</v>
      </c>
      <c r="B78" s="318">
        <f t="shared" ref="B78:H78" si="22">B32*1000000/B65</f>
        <v>9779.0198612125678</v>
      </c>
      <c r="C78" s="318">
        <f t="shared" si="22"/>
        <v>33202.114756354451</v>
      </c>
      <c r="D78" s="318">
        <f t="shared" si="22"/>
        <v>717884.40012320329</v>
      </c>
      <c r="E78" s="318">
        <f t="shared" si="22"/>
        <v>649.46435351882167</v>
      </c>
      <c r="F78" s="318">
        <f t="shared" si="22"/>
        <v>208.84760629300953</v>
      </c>
      <c r="G78" s="318">
        <f t="shared" si="22"/>
        <v>6186.5915492957747</v>
      </c>
      <c r="H78" s="318">
        <f t="shared" si="22"/>
        <v>910170.9</v>
      </c>
      <c r="I78" s="160"/>
      <c r="K78" s="126"/>
      <c r="L78" s="126"/>
      <c r="M78" s="126"/>
      <c r="N78" s="126"/>
      <c r="O78" s="126"/>
      <c r="Q78" s="126"/>
      <c r="R78" s="126"/>
      <c r="S78" s="126"/>
      <c r="T78" s="126"/>
    </row>
    <row r="79" spans="1:20">
      <c r="A79" s="317">
        <f t="shared" si="13"/>
        <v>2022</v>
      </c>
      <c r="B79" s="318">
        <f t="shared" ref="B79:H79" si="23">B33*1000000/B66</f>
        <v>9695.915476985796</v>
      </c>
      <c r="C79" s="318">
        <f t="shared" si="23"/>
        <v>33845.847494654168</v>
      </c>
      <c r="D79" s="318">
        <f t="shared" si="23"/>
        <v>697793.18382978707</v>
      </c>
      <c r="E79" s="318">
        <f t="shared" si="23"/>
        <v>647.70292035398199</v>
      </c>
      <c r="F79" s="318">
        <f t="shared" si="23"/>
        <v>200.74280767314394</v>
      </c>
      <c r="G79" s="318">
        <f t="shared" si="23"/>
        <v>6184.874568469505</v>
      </c>
      <c r="H79" s="318">
        <f t="shared" si="23"/>
        <v>935588.9</v>
      </c>
      <c r="I79" s="160"/>
      <c r="K79" s="126"/>
      <c r="L79" s="126"/>
      <c r="M79" s="126"/>
      <c r="N79" s="126"/>
      <c r="O79" s="126"/>
      <c r="Q79" s="126"/>
      <c r="R79" s="126"/>
      <c r="S79" s="126"/>
      <c r="T79" s="126"/>
    </row>
    <row r="80" spans="1:20">
      <c r="A80" s="297" t="s">
        <v>27</v>
      </c>
      <c r="B80" s="297"/>
      <c r="C80" s="297"/>
      <c r="D80" s="297"/>
      <c r="E80" s="297"/>
      <c r="F80" s="297"/>
      <c r="G80" s="297"/>
      <c r="H80" s="297"/>
      <c r="I80" s="160"/>
    </row>
    <row r="81" spans="1:25" s="152" customFormat="1">
      <c r="A81" s="170"/>
      <c r="B81" s="169"/>
      <c r="C81" s="169"/>
      <c r="D81" s="169"/>
      <c r="E81" s="169"/>
      <c r="F81" s="169"/>
      <c r="G81" s="169"/>
      <c r="H81" s="171"/>
      <c r="I81" s="160"/>
    </row>
    <row r="82" spans="1:25" s="152" customFormat="1">
      <c r="A82" s="319" t="str">
        <f>A55</f>
        <v>2017 Board Approved</v>
      </c>
      <c r="B82" s="318">
        <v>9376.3913662526156</v>
      </c>
      <c r="C82" s="318">
        <v>30769.361590066146</v>
      </c>
      <c r="D82" s="318">
        <v>728730.3193159207</v>
      </c>
      <c r="E82" s="318">
        <v>640.07241344706472</v>
      </c>
      <c r="F82" s="318">
        <v>187.39723616042843</v>
      </c>
      <c r="G82" s="318">
        <v>6272.3130922280425</v>
      </c>
      <c r="H82" s="319" t="s">
        <v>22</v>
      </c>
      <c r="I82" s="160"/>
    </row>
    <row r="83" spans="1:25" s="152" customFormat="1">
      <c r="A83" s="170"/>
      <c r="B83" s="169"/>
      <c r="C83" s="169"/>
      <c r="D83" s="169"/>
      <c r="E83" s="169"/>
      <c r="F83" s="169"/>
      <c r="G83" s="169"/>
      <c r="H83" s="171"/>
      <c r="I83" s="160"/>
    </row>
    <row r="84" spans="1:25">
      <c r="A84" s="317">
        <f t="shared" ref="A84:A95" si="24">A38</f>
        <v>2013</v>
      </c>
      <c r="B84" s="318" t="e">
        <f t="shared" ref="B84:H84" si="25">B38*1000000/B57</f>
        <v>#REF!</v>
      </c>
      <c r="C84" s="318" t="e">
        <f t="shared" si="25"/>
        <v>#REF!</v>
      </c>
      <c r="D84" s="318" t="e">
        <f t="shared" si="25"/>
        <v>#REF!</v>
      </c>
      <c r="E84" s="318" t="e">
        <f t="shared" si="25"/>
        <v>#REF!</v>
      </c>
      <c r="F84" s="318" t="e">
        <f t="shared" si="25"/>
        <v>#REF!</v>
      </c>
      <c r="G84" s="318" t="e">
        <f t="shared" si="25"/>
        <v>#REF!</v>
      </c>
      <c r="H84" s="318" t="e">
        <f t="shared" si="25"/>
        <v>#REF!</v>
      </c>
      <c r="I84" s="160"/>
    </row>
    <row r="85" spans="1:25">
      <c r="A85" s="317">
        <f t="shared" si="24"/>
        <v>2014</v>
      </c>
      <c r="B85" s="318" t="e">
        <f t="shared" ref="B85:H85" si="26">B39*1000000/B58</f>
        <v>#REF!</v>
      </c>
      <c r="C85" s="318" t="e">
        <f t="shared" si="26"/>
        <v>#REF!</v>
      </c>
      <c r="D85" s="318" t="e">
        <f t="shared" si="26"/>
        <v>#REF!</v>
      </c>
      <c r="E85" s="318" t="e">
        <f t="shared" si="26"/>
        <v>#REF!</v>
      </c>
      <c r="F85" s="318" t="e">
        <f t="shared" si="26"/>
        <v>#REF!</v>
      </c>
      <c r="G85" s="318" t="e">
        <f t="shared" si="26"/>
        <v>#REF!</v>
      </c>
      <c r="H85" s="318" t="e">
        <f t="shared" si="26"/>
        <v>#REF!</v>
      </c>
      <c r="I85" s="160"/>
    </row>
    <row r="86" spans="1:25">
      <c r="A86" s="317">
        <f t="shared" si="24"/>
        <v>2015</v>
      </c>
      <c r="B86" s="318" t="e">
        <f t="shared" ref="B86:H86" si="27">B40*1000000/B59</f>
        <v>#REF!</v>
      </c>
      <c r="C86" s="318" t="e">
        <f t="shared" si="27"/>
        <v>#REF!</v>
      </c>
      <c r="D86" s="318" t="e">
        <f t="shared" si="27"/>
        <v>#REF!</v>
      </c>
      <c r="E86" s="318" t="e">
        <f t="shared" si="27"/>
        <v>#REF!</v>
      </c>
      <c r="F86" s="318" t="e">
        <f t="shared" si="27"/>
        <v>#REF!</v>
      </c>
      <c r="G86" s="318" t="e">
        <f t="shared" si="27"/>
        <v>#REF!</v>
      </c>
      <c r="H86" s="318" t="e">
        <f t="shared" si="27"/>
        <v>#REF!</v>
      </c>
      <c r="I86" s="160"/>
      <c r="U86" s="126"/>
      <c r="V86" s="126"/>
      <c r="W86" s="126"/>
      <c r="X86" s="126"/>
      <c r="Y86" s="126"/>
    </row>
    <row r="87" spans="1:25">
      <c r="A87" s="317">
        <f t="shared" si="24"/>
        <v>2016</v>
      </c>
      <c r="B87" s="318" t="e">
        <f t="shared" ref="B87:H87" si="28">B41*1000000/B60</f>
        <v>#REF!</v>
      </c>
      <c r="C87" s="318" t="e">
        <f t="shared" si="28"/>
        <v>#REF!</v>
      </c>
      <c r="D87" s="318" t="e">
        <f t="shared" si="28"/>
        <v>#REF!</v>
      </c>
      <c r="E87" s="318" t="e">
        <f t="shared" si="28"/>
        <v>#REF!</v>
      </c>
      <c r="F87" s="318" t="e">
        <f t="shared" si="28"/>
        <v>#REF!</v>
      </c>
      <c r="G87" s="318" t="e">
        <f t="shared" si="28"/>
        <v>#REF!</v>
      </c>
      <c r="H87" s="318" t="e">
        <f t="shared" si="28"/>
        <v>#REF!</v>
      </c>
      <c r="I87" s="160"/>
      <c r="U87" s="126"/>
      <c r="V87" s="126"/>
      <c r="W87" s="126"/>
      <c r="X87" s="126"/>
      <c r="Y87" s="126"/>
    </row>
    <row r="88" spans="1:25" ht="12.75" customHeight="1">
      <c r="A88" s="317" t="str">
        <f t="shared" si="24"/>
        <v>2017</v>
      </c>
      <c r="B88" s="318" t="e">
        <f t="shared" ref="B88:H88" si="29">B42*1000000/B61</f>
        <v>#REF!</v>
      </c>
      <c r="C88" s="318" t="e">
        <f t="shared" si="29"/>
        <v>#REF!</v>
      </c>
      <c r="D88" s="318" t="e">
        <f t="shared" si="29"/>
        <v>#REF!</v>
      </c>
      <c r="E88" s="318" t="e">
        <f t="shared" si="29"/>
        <v>#REF!</v>
      </c>
      <c r="F88" s="318" t="e">
        <f t="shared" si="29"/>
        <v>#REF!</v>
      </c>
      <c r="G88" s="318" t="e">
        <f t="shared" si="29"/>
        <v>#REF!</v>
      </c>
      <c r="H88" s="318" t="e">
        <f t="shared" si="29"/>
        <v>#REF!</v>
      </c>
      <c r="I88" s="160"/>
      <c r="U88" s="126"/>
      <c r="V88" s="126"/>
      <c r="W88" s="126"/>
      <c r="X88" s="126"/>
      <c r="Y88" s="126"/>
    </row>
    <row r="89" spans="1:25">
      <c r="A89" s="317">
        <f t="shared" si="24"/>
        <v>2018</v>
      </c>
      <c r="B89" s="318" t="e">
        <f t="shared" ref="B89:H89" si="30">B43*1000000/B62</f>
        <v>#REF!</v>
      </c>
      <c r="C89" s="318" t="e">
        <f t="shared" si="30"/>
        <v>#REF!</v>
      </c>
      <c r="D89" s="318" t="e">
        <f t="shared" si="30"/>
        <v>#REF!</v>
      </c>
      <c r="E89" s="318" t="e">
        <f t="shared" si="30"/>
        <v>#REF!</v>
      </c>
      <c r="F89" s="318" t="e">
        <f t="shared" si="30"/>
        <v>#REF!</v>
      </c>
      <c r="G89" s="318" t="e">
        <f t="shared" si="30"/>
        <v>#REF!</v>
      </c>
      <c r="H89" s="318" t="e">
        <f t="shared" si="30"/>
        <v>#REF!</v>
      </c>
      <c r="I89" s="160"/>
      <c r="U89" s="126"/>
      <c r="V89" s="126"/>
      <c r="W89" s="126"/>
      <c r="X89" s="126"/>
      <c r="Y89" s="126"/>
    </row>
    <row r="90" spans="1:25">
      <c r="A90" s="317">
        <f t="shared" si="24"/>
        <v>2019</v>
      </c>
      <c r="B90" s="318" t="e">
        <f t="shared" ref="B90:H90" si="31">B44*1000000/B63</f>
        <v>#REF!</v>
      </c>
      <c r="C90" s="318" t="e">
        <f t="shared" si="31"/>
        <v>#REF!</v>
      </c>
      <c r="D90" s="318" t="e">
        <f t="shared" si="31"/>
        <v>#REF!</v>
      </c>
      <c r="E90" s="318" t="e">
        <f t="shared" si="31"/>
        <v>#REF!</v>
      </c>
      <c r="F90" s="318" t="e">
        <f t="shared" si="31"/>
        <v>#REF!</v>
      </c>
      <c r="G90" s="318" t="e">
        <f t="shared" si="31"/>
        <v>#REF!</v>
      </c>
      <c r="H90" s="318" t="e">
        <f t="shared" si="31"/>
        <v>#REF!</v>
      </c>
      <c r="I90" s="160"/>
      <c r="U90" s="126"/>
      <c r="V90" s="126"/>
      <c r="W90" s="126"/>
      <c r="X90" s="126"/>
      <c r="Y90" s="126"/>
    </row>
    <row r="91" spans="1:25">
      <c r="A91" s="317">
        <f t="shared" si="24"/>
        <v>2020</v>
      </c>
      <c r="B91" s="318" t="e">
        <f t="shared" ref="B91:H91" si="32">B45*1000000/B64</f>
        <v>#REF!</v>
      </c>
      <c r="C91" s="318" t="e">
        <f t="shared" si="32"/>
        <v>#REF!</v>
      </c>
      <c r="D91" s="318" t="e">
        <f t="shared" si="32"/>
        <v>#REF!</v>
      </c>
      <c r="E91" s="318" t="e">
        <f t="shared" si="32"/>
        <v>#REF!</v>
      </c>
      <c r="F91" s="318" t="e">
        <f t="shared" si="32"/>
        <v>#REF!</v>
      </c>
      <c r="G91" s="318" t="e">
        <f t="shared" si="32"/>
        <v>#REF!</v>
      </c>
      <c r="H91" s="318" t="e">
        <f t="shared" si="32"/>
        <v>#REF!</v>
      </c>
      <c r="I91" s="160"/>
      <c r="U91" s="126"/>
      <c r="V91" s="126"/>
      <c r="W91" s="126"/>
      <c r="X91" s="126"/>
      <c r="Y91" s="126"/>
    </row>
    <row r="92" spans="1:25">
      <c r="A92" s="317">
        <f t="shared" si="24"/>
        <v>2021</v>
      </c>
      <c r="B92" s="318" t="e">
        <f t="shared" ref="B92:H92" si="33">B46*1000000/B65</f>
        <v>#REF!</v>
      </c>
      <c r="C92" s="318" t="e">
        <f t="shared" si="33"/>
        <v>#REF!</v>
      </c>
      <c r="D92" s="318" t="e">
        <f t="shared" si="33"/>
        <v>#REF!</v>
      </c>
      <c r="E92" s="318" t="e">
        <f t="shared" si="33"/>
        <v>#REF!</v>
      </c>
      <c r="F92" s="318" t="e">
        <f t="shared" si="33"/>
        <v>#REF!</v>
      </c>
      <c r="G92" s="318" t="e">
        <f t="shared" si="33"/>
        <v>#REF!</v>
      </c>
      <c r="H92" s="318" t="e">
        <f t="shared" si="33"/>
        <v>#REF!</v>
      </c>
      <c r="I92" s="160"/>
      <c r="U92" s="126"/>
      <c r="V92" s="126"/>
      <c r="W92" s="126"/>
      <c r="X92" s="126"/>
      <c r="Y92" s="126"/>
    </row>
    <row r="93" spans="1:25" ht="12.75" customHeight="1">
      <c r="A93" s="317">
        <f t="shared" si="24"/>
        <v>2022</v>
      </c>
      <c r="B93" s="318" t="e">
        <f t="shared" ref="B93:H93" si="34">B47*1000000/B66</f>
        <v>#REF!</v>
      </c>
      <c r="C93" s="318" t="e">
        <f t="shared" si="34"/>
        <v>#REF!</v>
      </c>
      <c r="D93" s="318" t="e">
        <f t="shared" si="34"/>
        <v>#REF!</v>
      </c>
      <c r="E93" s="318" t="e">
        <f t="shared" si="34"/>
        <v>#REF!</v>
      </c>
      <c r="F93" s="318" t="e">
        <f t="shared" si="34"/>
        <v>#REF!</v>
      </c>
      <c r="G93" s="318" t="e">
        <f t="shared" si="34"/>
        <v>#REF!</v>
      </c>
      <c r="H93" s="318" t="e">
        <f t="shared" si="34"/>
        <v>#REF!</v>
      </c>
      <c r="I93" s="160"/>
      <c r="U93" s="126"/>
      <c r="V93" s="126"/>
      <c r="W93" s="126"/>
      <c r="X93" s="126"/>
      <c r="Y93" s="126"/>
    </row>
    <row r="94" spans="1:25">
      <c r="A94" s="317" t="str">
        <f t="shared" si="24"/>
        <v>2023 Bridge</v>
      </c>
      <c r="B94" s="318">
        <f t="shared" ref="B94:H94" si="35">B48*1000000/B67</f>
        <v>9254.3672063386912</v>
      </c>
      <c r="C94" s="318">
        <f t="shared" si="35"/>
        <v>32304.520585882878</v>
      </c>
      <c r="D94" s="318">
        <f t="shared" si="35"/>
        <v>672756.57533480879</v>
      </c>
      <c r="E94" s="318">
        <f t="shared" si="35"/>
        <v>647.70292035398199</v>
      </c>
      <c r="F94" s="318">
        <f t="shared" si="35"/>
        <v>200.74280767314394</v>
      </c>
      <c r="G94" s="318">
        <f t="shared" si="35"/>
        <v>6184.874568469505</v>
      </c>
      <c r="H94" s="318">
        <f t="shared" si="35"/>
        <v>935588.9</v>
      </c>
      <c r="I94" s="160"/>
      <c r="U94" s="126"/>
      <c r="V94" s="126"/>
      <c r="W94" s="126"/>
      <c r="X94" s="126"/>
      <c r="Y94" s="126"/>
    </row>
    <row r="95" spans="1:25">
      <c r="A95" s="317" t="str">
        <f t="shared" si="24"/>
        <v>2024 Test</v>
      </c>
      <c r="B95" s="318">
        <f t="shared" ref="B95:H95" si="36">B49*1000000/B68</f>
        <v>9329.8047981460513</v>
      </c>
      <c r="C95" s="318">
        <f t="shared" si="36"/>
        <v>32567.853041052931</v>
      </c>
      <c r="D95" s="318">
        <f t="shared" si="36"/>
        <v>677034.0271502512</v>
      </c>
      <c r="E95" s="318">
        <f t="shared" si="36"/>
        <v>647.70292035398199</v>
      </c>
      <c r="F95" s="318">
        <f t="shared" si="36"/>
        <v>200.74280767314394</v>
      </c>
      <c r="G95" s="318">
        <f t="shared" si="36"/>
        <v>6184.874568469505</v>
      </c>
      <c r="H95" s="318">
        <f t="shared" si="36"/>
        <v>935588.9</v>
      </c>
      <c r="I95" s="160"/>
      <c r="P95" s="129"/>
      <c r="Q95" s="130"/>
    </row>
    <row r="96" spans="1:25">
      <c r="A96" s="121"/>
      <c r="B96" s="128"/>
      <c r="C96" s="128"/>
      <c r="D96" s="128"/>
      <c r="E96" s="128"/>
      <c r="F96" s="128"/>
      <c r="G96" s="128"/>
      <c r="H96" s="128"/>
      <c r="P96" s="129"/>
      <c r="Q96" s="130"/>
    </row>
    <row r="97" spans="1:13">
      <c r="A97" s="275" t="s">
        <v>28</v>
      </c>
      <c r="B97" s="275"/>
      <c r="C97" s="124"/>
      <c r="D97" s="124"/>
      <c r="E97" s="124"/>
      <c r="F97" s="124"/>
      <c r="G97" s="124"/>
      <c r="H97" s="124"/>
      <c r="M97" s="132"/>
    </row>
    <row r="98" spans="1:13">
      <c r="A98" s="302" t="s">
        <v>29</v>
      </c>
      <c r="B98" s="320">
        <f>'Power Purchased Model'!O6</f>
        <v>0.97089181595570839</v>
      </c>
      <c r="M98" s="132"/>
    </row>
    <row r="99" spans="1:13">
      <c r="A99" s="302" t="s">
        <v>30</v>
      </c>
      <c r="B99" s="320">
        <f>'Power Purchased Model'!O7</f>
        <v>0.96942417642406342</v>
      </c>
      <c r="M99" s="132"/>
    </row>
    <row r="100" spans="1:13">
      <c r="A100" s="302" t="s">
        <v>31</v>
      </c>
      <c r="B100" s="321">
        <f>'Power Purchased Model'!R13</f>
        <v>661.53288666701076</v>
      </c>
      <c r="M100" s="132"/>
    </row>
    <row r="101" spans="1:13">
      <c r="A101" s="174" t="s">
        <v>32</v>
      </c>
      <c r="B101" s="175">
        <f>'Power Purchased Model'!L123</f>
        <v>3.8338590924646108E-3</v>
      </c>
      <c r="M101" s="132"/>
    </row>
    <row r="102" spans="1:13">
      <c r="A102" s="322" t="s">
        <v>33</v>
      </c>
      <c r="B102" s="323"/>
      <c r="M102" s="132"/>
    </row>
    <row r="103" spans="1:13">
      <c r="A103" s="176" t="str">
        <f>'Power Purchased Model'!N19</f>
        <v>Heating Degree Days</v>
      </c>
      <c r="B103" s="177">
        <f>'Power Purchased Model'!Q18</f>
        <v>-8.3643096627900704</v>
      </c>
      <c r="M103" s="132"/>
    </row>
    <row r="104" spans="1:13">
      <c r="A104" s="302" t="str">
        <f>'Power Purchased Model'!N20</f>
        <v>Cooling Degree Days</v>
      </c>
      <c r="B104" s="324">
        <f>'Power Purchased Model'!Q19</f>
        <v>41.618737963430704</v>
      </c>
      <c r="M104" s="132"/>
    </row>
    <row r="105" spans="1:13">
      <c r="A105" s="302" t="str">
        <f>'Power Purchased Model'!N21</f>
        <v>Days in Month</v>
      </c>
      <c r="B105" s="324">
        <f>'Power Purchased Model'!Q20</f>
        <v>28.962729640350727</v>
      </c>
      <c r="M105" s="132"/>
    </row>
    <row r="106" spans="1:13">
      <c r="A106" s="302" t="str">
        <f>'Power Purchased Model'!N22</f>
        <v>Spring Fall Flag</v>
      </c>
      <c r="B106" s="324">
        <f>'Power Purchased Model'!Q21</f>
        <v>10.651886347155331</v>
      </c>
      <c r="M106" s="132"/>
    </row>
    <row r="107" spans="1:13">
      <c r="A107" s="302" t="str">
        <f>'Power Purchased Model'!N23</f>
        <v>COVID Flag</v>
      </c>
      <c r="B107" s="324">
        <f>'Power Purchased Model'!Q22</f>
        <v>-5.9043460013945834</v>
      </c>
      <c r="M107" s="132"/>
    </row>
    <row r="108" spans="1:13">
      <c r="A108" s="302" t="s">
        <v>34</v>
      </c>
      <c r="B108" s="324">
        <f>'Power Purchased Model'!Q18</f>
        <v>-8.3643096627900704</v>
      </c>
      <c r="M108" s="132"/>
    </row>
    <row r="109" spans="1:13">
      <c r="M109" s="132"/>
    </row>
    <row r="110" spans="1:13">
      <c r="M110" s="132"/>
    </row>
    <row r="111" spans="1:13">
      <c r="M111" s="132"/>
    </row>
    <row r="112" spans="1:13">
      <c r="A112" s="272" t="s">
        <v>35</v>
      </c>
      <c r="B112" s="272"/>
      <c r="C112" s="272"/>
      <c r="D112" s="272"/>
      <c r="E112" s="272"/>
      <c r="F112" s="272"/>
      <c r="G112" s="272"/>
      <c r="H112" s="272"/>
      <c r="I112" s="112"/>
      <c r="J112" s="112"/>
      <c r="K112" s="112"/>
      <c r="L112" s="112"/>
    </row>
    <row r="113" spans="1:13" ht="51">
      <c r="A113" s="325" t="s">
        <v>1</v>
      </c>
      <c r="B113" s="326" t="s">
        <v>36</v>
      </c>
      <c r="C113" s="326" t="s">
        <v>37</v>
      </c>
      <c r="D113" s="326" t="s">
        <v>38</v>
      </c>
      <c r="E113" s="326" t="s">
        <v>39</v>
      </c>
      <c r="F113" s="326" t="s">
        <v>40</v>
      </c>
      <c r="G113" s="296" t="s">
        <v>41</v>
      </c>
    </row>
    <row r="114" spans="1:13">
      <c r="A114" s="327" t="s">
        <v>42</v>
      </c>
      <c r="B114" s="270"/>
      <c r="C114" s="270"/>
      <c r="D114" s="270"/>
      <c r="E114" s="270"/>
      <c r="F114" s="270"/>
      <c r="G114" s="328"/>
      <c r="H114" s="115"/>
      <c r="I114" s="112"/>
      <c r="J114" s="112"/>
      <c r="K114" s="112"/>
      <c r="L114" s="112"/>
    </row>
    <row r="115" spans="1:13">
      <c r="A115" s="300">
        <f t="shared" ref="A115:A126" si="37">A8</f>
        <v>2013</v>
      </c>
      <c r="B115" s="301">
        <f>'Rate Class Energy Model'!B3/1000000</f>
        <v>251.7580614</v>
      </c>
      <c r="C115" s="301">
        <f>'Power Purchased Model'!I152/1000000</f>
        <v>247.5289926703939</v>
      </c>
      <c r="D115" s="329">
        <f t="shared" ref="D115:D124" si="38">C115/B115-1</f>
        <v>-1.6798146228520716E-2</v>
      </c>
      <c r="E115" s="301" t="e">
        <f>#REF!/1000000</f>
        <v>#REF!</v>
      </c>
      <c r="F115" s="330" t="e">
        <f>#REF!</f>
        <v>#REF!</v>
      </c>
      <c r="G115" s="301" t="e">
        <f t="shared" ref="G115:G124" si="39">B115*F115</f>
        <v>#REF!</v>
      </c>
      <c r="I115" s="122"/>
      <c r="J115" s="122"/>
      <c r="K115" s="122"/>
      <c r="L115" s="122"/>
    </row>
    <row r="116" spans="1:13">
      <c r="A116" s="300">
        <f t="shared" si="37"/>
        <v>2014</v>
      </c>
      <c r="B116" s="301">
        <f>'Rate Class Energy Model'!B4/1000000</f>
        <v>253.25498630000001</v>
      </c>
      <c r="C116" s="301">
        <f>'Power Purchased Model'!I153/1000000</f>
        <v>251.54220021569907</v>
      </c>
      <c r="D116" s="329">
        <f t="shared" si="38"/>
        <v>-6.763089285326096E-3</v>
      </c>
      <c r="E116" s="301" t="e">
        <f>#REF!/1000000</f>
        <v>#REF!</v>
      </c>
      <c r="F116" s="330" t="e">
        <f>#REF!</f>
        <v>#REF!</v>
      </c>
      <c r="G116" s="301" t="e">
        <f t="shared" si="39"/>
        <v>#REF!</v>
      </c>
      <c r="I116" s="122"/>
      <c r="J116" s="122"/>
      <c r="K116" s="122"/>
      <c r="L116" s="122"/>
    </row>
    <row r="117" spans="1:13">
      <c r="A117" s="300">
        <f t="shared" si="37"/>
        <v>2015</v>
      </c>
      <c r="B117" s="301">
        <f>'Rate Class Energy Model'!B5/1000000</f>
        <v>255.77498309999999</v>
      </c>
      <c r="C117" s="301">
        <f>'Power Purchased Model'!I154/1000000</f>
        <v>254.80559344736815</v>
      </c>
      <c r="D117" s="329">
        <f t="shared" si="38"/>
        <v>-3.7900096439565933E-3</v>
      </c>
      <c r="E117" s="301" t="e">
        <f>#REF!/1000000</f>
        <v>#REF!</v>
      </c>
      <c r="F117" s="330" t="e">
        <f>#REF!</f>
        <v>#REF!</v>
      </c>
      <c r="G117" s="301" t="e">
        <f t="shared" si="39"/>
        <v>#REF!</v>
      </c>
      <c r="I117" s="122"/>
      <c r="J117" s="122"/>
      <c r="K117" s="122"/>
      <c r="L117" s="122"/>
    </row>
    <row r="118" spans="1:13">
      <c r="A118" s="300">
        <f t="shared" si="37"/>
        <v>2016</v>
      </c>
      <c r="B118" s="301">
        <f>'Rate Class Energy Model'!B6/1000000</f>
        <v>259.38203600000003</v>
      </c>
      <c r="C118" s="301">
        <f>'Power Purchased Model'!I155/1000000</f>
        <v>265.07724517442421</v>
      </c>
      <c r="D118" s="329">
        <f t="shared" si="38"/>
        <v>2.1956837344064173E-2</v>
      </c>
      <c r="E118" s="301" t="e">
        <f>#REF!/1000000</f>
        <v>#REF!</v>
      </c>
      <c r="F118" s="330" t="e">
        <f>#REF!</f>
        <v>#REF!</v>
      </c>
      <c r="G118" s="301" t="e">
        <f t="shared" si="39"/>
        <v>#REF!</v>
      </c>
      <c r="I118" s="122"/>
      <c r="J118" s="122"/>
      <c r="K118" s="122"/>
      <c r="L118" s="122"/>
    </row>
    <row r="119" spans="1:13">
      <c r="A119" s="300">
        <f t="shared" si="37"/>
        <v>2017</v>
      </c>
      <c r="B119" s="301">
        <f>'Rate Class Energy Model'!B7/1000000</f>
        <v>256.76943455879996</v>
      </c>
      <c r="C119" s="301">
        <f>'Power Purchased Model'!I156/1000000</f>
        <v>259.22980131076355</v>
      </c>
      <c r="D119" s="329">
        <f t="shared" si="38"/>
        <v>9.5820079060078278E-3</v>
      </c>
      <c r="E119" s="301" t="e">
        <f>#REF!/1000000</f>
        <v>#REF!</v>
      </c>
      <c r="F119" s="330" t="e">
        <f>#REF!</f>
        <v>#REF!</v>
      </c>
      <c r="G119" s="301" t="e">
        <f t="shared" si="39"/>
        <v>#REF!</v>
      </c>
      <c r="I119" s="122"/>
      <c r="J119" s="122"/>
      <c r="K119" s="122"/>
      <c r="L119" s="122"/>
    </row>
    <row r="120" spans="1:13">
      <c r="A120" s="300">
        <f t="shared" si="37"/>
        <v>2018</v>
      </c>
      <c r="B120" s="301">
        <f>'Rate Class Energy Model'!B8/1000000</f>
        <v>278.81323574599998</v>
      </c>
      <c r="C120" s="301">
        <f>'Power Purchased Model'!I157/1000000</f>
        <v>278.93707748432195</v>
      </c>
      <c r="D120" s="329">
        <f t="shared" si="38"/>
        <v>4.4417453135103813E-4</v>
      </c>
      <c r="E120" s="301" t="e">
        <f>#REF!/1000000</f>
        <v>#REF!</v>
      </c>
      <c r="F120" s="330" t="e">
        <f>#REF!</f>
        <v>#REF!</v>
      </c>
      <c r="G120" s="301" t="e">
        <f t="shared" si="39"/>
        <v>#REF!</v>
      </c>
      <c r="I120" s="122"/>
      <c r="J120" s="122"/>
      <c r="K120" s="122"/>
      <c r="L120" s="122"/>
    </row>
    <row r="121" spans="1:13">
      <c r="A121" s="300">
        <f t="shared" si="37"/>
        <v>2019</v>
      </c>
      <c r="B121" s="301">
        <f>'Rate Class Energy Model'!B9/1000000</f>
        <v>280.58153689</v>
      </c>
      <c r="C121" s="301">
        <f>'Power Purchased Model'!I158/1000000</f>
        <v>280.60700224884317</v>
      </c>
      <c r="D121" s="329">
        <f t="shared" si="38"/>
        <v>9.0759210764401743E-5</v>
      </c>
      <c r="E121" s="301" t="e">
        <f>#REF!/1000000</f>
        <v>#REF!</v>
      </c>
      <c r="F121" s="330" t="e">
        <f>#REF!</f>
        <v>#REF!</v>
      </c>
      <c r="G121" s="301" t="e">
        <f t="shared" si="39"/>
        <v>#REF!</v>
      </c>
      <c r="I121" s="122"/>
      <c r="J121" s="122"/>
      <c r="K121" s="122"/>
      <c r="L121" s="122"/>
    </row>
    <row r="122" spans="1:13">
      <c r="A122" s="300">
        <f t="shared" si="37"/>
        <v>2020</v>
      </c>
      <c r="B122" s="301">
        <f>'Rate Class Energy Model'!B10/1000000</f>
        <v>291.40425164599003</v>
      </c>
      <c r="C122" s="301">
        <f>'Power Purchased Model'!I159/1000000</f>
        <v>292.15438151722867</v>
      </c>
      <c r="D122" s="329">
        <f t="shared" si="38"/>
        <v>2.5741898651154838E-3</v>
      </c>
      <c r="E122" s="301" t="e">
        <f>#REF!/1000000</f>
        <v>#REF!</v>
      </c>
      <c r="F122" s="330" t="e">
        <f>#REF!</f>
        <v>#REF!</v>
      </c>
      <c r="G122" s="301" t="e">
        <f t="shared" si="39"/>
        <v>#REF!</v>
      </c>
      <c r="I122" s="122"/>
      <c r="J122" s="122"/>
      <c r="K122" s="122"/>
      <c r="L122" s="122"/>
    </row>
    <row r="123" spans="1:13" ht="12.75" customHeight="1">
      <c r="A123" s="300">
        <f t="shared" si="37"/>
        <v>2021</v>
      </c>
      <c r="B123" s="301">
        <f>'Rate Class Energy Model'!B11/1000000</f>
        <v>295.24025412999998</v>
      </c>
      <c r="C123" s="301">
        <f>'Power Purchased Model'!I160/1000000</f>
        <v>295.53574870630877</v>
      </c>
      <c r="D123" s="329">
        <f t="shared" si="38"/>
        <v>1.0008614075325273E-3</v>
      </c>
      <c r="E123" s="301" t="e">
        <f>#REF!/1000000</f>
        <v>#REF!</v>
      </c>
      <c r="F123" s="330" t="e">
        <f>#REF!</f>
        <v>#REF!</v>
      </c>
      <c r="G123" s="301" t="e">
        <f t="shared" si="39"/>
        <v>#REF!</v>
      </c>
      <c r="I123" s="122"/>
      <c r="J123" s="122"/>
      <c r="K123" s="122"/>
      <c r="L123" s="122"/>
    </row>
    <row r="124" spans="1:13">
      <c r="A124" s="300">
        <f t="shared" si="37"/>
        <v>2022</v>
      </c>
      <c r="B124" s="301">
        <f>'Rate Class Energy Model'!B12/1000000</f>
        <v>299.934504296</v>
      </c>
      <c r="C124" s="301">
        <f>'Power Purchased Model'!I161/1000000</f>
        <v>298.47588146384265</v>
      </c>
      <c r="D124" s="329">
        <f t="shared" si="38"/>
        <v>-4.8631378226422495E-3</v>
      </c>
      <c r="E124" s="301" t="e">
        <f>#REF!/1000000</f>
        <v>#REF!</v>
      </c>
      <c r="F124" s="330" t="e">
        <f>#REF!</f>
        <v>#REF!</v>
      </c>
      <c r="G124" s="301" t="e">
        <f t="shared" si="39"/>
        <v>#REF!</v>
      </c>
      <c r="I124" s="122"/>
      <c r="J124" s="122"/>
      <c r="K124" s="122"/>
      <c r="L124" s="122"/>
      <c r="M124" s="132"/>
    </row>
    <row r="125" spans="1:13">
      <c r="A125" s="300" t="str">
        <f t="shared" si="37"/>
        <v>2023 Bridge</v>
      </c>
      <c r="B125" s="301"/>
      <c r="C125" s="301">
        <f>'Power Purchased Model'!I162/1000000</f>
        <v>302.63337802298787</v>
      </c>
      <c r="D125" s="329"/>
      <c r="E125" s="301" t="e">
        <f>#REF!/1000000</f>
        <v>#REF!</v>
      </c>
      <c r="F125" s="330" t="e">
        <f>#REF!</f>
        <v>#REF!</v>
      </c>
      <c r="G125" s="302"/>
    </row>
    <row r="126" spans="1:13">
      <c r="A126" s="300" t="str">
        <f t="shared" si="37"/>
        <v>2024 Test</v>
      </c>
      <c r="B126" s="301"/>
      <c r="C126" s="301">
        <f>'Power Purchased Model'!I163/1000000</f>
        <v>314.94739146328635</v>
      </c>
      <c r="D126" s="329"/>
      <c r="E126" s="301" t="e">
        <f>#REF!/1000000</f>
        <v>#REF!</v>
      </c>
      <c r="F126" s="330" t="e">
        <f>#REF!</f>
        <v>#REF!</v>
      </c>
      <c r="G126" s="302"/>
    </row>
    <row r="128" spans="1:13" s="135" customFormat="1" ht="15">
      <c r="A128" s="272" t="s">
        <v>43</v>
      </c>
      <c r="B128" s="272"/>
      <c r="C128" s="272"/>
      <c r="D128" s="272"/>
      <c r="E128" s="272"/>
      <c r="F128" s="272"/>
      <c r="G128" s="272"/>
      <c r="H128" s="272"/>
      <c r="I128" s="133"/>
      <c r="J128" s="134"/>
      <c r="K128" s="134"/>
      <c r="M128" s="136"/>
    </row>
    <row r="129" spans="1:16" ht="38.25">
      <c r="A129" s="295" t="str">
        <f t="shared" ref="A129:G129" si="40">A52</f>
        <v>Year</v>
      </c>
      <c r="B129" s="296" t="str">
        <f t="shared" si="40"/>
        <v xml:space="preserve">Residential </v>
      </c>
      <c r="C129" s="296" t="str">
        <f t="shared" si="40"/>
        <v>General Service &lt; 50 kW</v>
      </c>
      <c r="D129" s="296" t="str">
        <f t="shared" si="40"/>
        <v>General Service 50 to 4,999 kW</v>
      </c>
      <c r="E129" s="296" t="str">
        <f t="shared" si="40"/>
        <v>Sentinel Lights</v>
      </c>
      <c r="F129" s="296" t="str">
        <f t="shared" si="40"/>
        <v>Street Lights</v>
      </c>
      <c r="G129" s="296" t="str">
        <f t="shared" si="40"/>
        <v xml:space="preserve">Unmetered Scattered Loads </v>
      </c>
      <c r="H129" s="307" t="s">
        <v>18</v>
      </c>
      <c r="I129" s="296" t="s">
        <v>19</v>
      </c>
      <c r="J129" s="115"/>
      <c r="K129" s="115"/>
      <c r="L129" s="115"/>
      <c r="M129" s="115"/>
      <c r="N129" s="115"/>
      <c r="O129" s="115"/>
      <c r="P129" s="115"/>
    </row>
    <row r="130" spans="1:16" s="135" customFormat="1" ht="15">
      <c r="A130" s="331" t="s">
        <v>25</v>
      </c>
      <c r="B130" s="179"/>
      <c r="C130" s="179"/>
      <c r="D130" s="179"/>
      <c r="E130" s="179"/>
      <c r="F130" s="179"/>
      <c r="G130" s="179"/>
      <c r="H130" s="179"/>
      <c r="I130" s="332"/>
      <c r="J130" s="115"/>
      <c r="K130" s="115"/>
      <c r="L130" s="115"/>
      <c r="M130" s="115"/>
      <c r="N130" s="115"/>
      <c r="O130" s="115"/>
      <c r="P130" s="115"/>
    </row>
    <row r="131" spans="1:16" s="135" customFormat="1" ht="14.25">
      <c r="A131" s="333">
        <f t="shared" ref="A131:A140" si="41">A115</f>
        <v>2013</v>
      </c>
      <c r="B131" s="334">
        <f>'Rate Class Customer Model'!B11</f>
        <v>14181</v>
      </c>
      <c r="C131" s="334">
        <f>'Rate Class Customer Model'!C11</f>
        <v>948.25</v>
      </c>
      <c r="D131" s="334">
        <f>'Rate Class Customer Model'!D11</f>
        <v>67</v>
      </c>
      <c r="E131" s="334">
        <f>'Rate Class Customer Model'!F11</f>
        <v>168</v>
      </c>
      <c r="F131" s="334">
        <f>'Rate Class Customer Model'!E11</f>
        <v>2843.3333333333335</v>
      </c>
      <c r="G131" s="334">
        <f>'Rate Class Customer Model'!G11</f>
        <v>77.583333333333329</v>
      </c>
      <c r="H131" s="334">
        <f>'Rate Class Customer Model'!H11</f>
        <v>1</v>
      </c>
      <c r="I131" s="334">
        <f>SUM(B131:H131)</f>
        <v>18286.166666666664</v>
      </c>
      <c r="J131" s="115"/>
      <c r="K131" s="115"/>
      <c r="L131" s="115"/>
      <c r="M131" s="115"/>
      <c r="N131" s="115"/>
      <c r="O131" s="115"/>
      <c r="P131" s="115"/>
    </row>
    <row r="132" spans="1:16" s="135" customFormat="1" ht="14.25">
      <c r="A132" s="333">
        <f t="shared" si="41"/>
        <v>2014</v>
      </c>
      <c r="B132" s="334">
        <f>'Rate Class Customer Model'!B12</f>
        <v>14509.166666666666</v>
      </c>
      <c r="C132" s="334">
        <f>'Rate Class Customer Model'!C12</f>
        <v>990.25</v>
      </c>
      <c r="D132" s="334">
        <f>'Rate Class Customer Model'!D12</f>
        <v>67.166666666666671</v>
      </c>
      <c r="E132" s="334">
        <f>'Rate Class Customer Model'!F12</f>
        <v>169.41666666666666</v>
      </c>
      <c r="F132" s="334">
        <f>'Rate Class Customer Model'!E12</f>
        <v>2923.3333333333335</v>
      </c>
      <c r="G132" s="334">
        <f>'Rate Class Customer Model'!G12</f>
        <v>75.583333333333329</v>
      </c>
      <c r="H132" s="334">
        <f>'Rate Class Customer Model'!H12</f>
        <v>1</v>
      </c>
      <c r="I132" s="334">
        <f t="shared" ref="I132:I140" si="42">SUM(B132:H132)</f>
        <v>18735.916666666664</v>
      </c>
      <c r="J132" s="115"/>
      <c r="K132" s="115"/>
      <c r="L132" s="115"/>
      <c r="M132" s="115"/>
      <c r="N132" s="115"/>
      <c r="O132" s="115"/>
      <c r="P132" s="115"/>
    </row>
    <row r="133" spans="1:16" s="135" customFormat="1" ht="14.25">
      <c r="A133" s="333">
        <f t="shared" si="41"/>
        <v>2015</v>
      </c>
      <c r="B133" s="334">
        <f>'Rate Class Customer Model'!B13</f>
        <v>14861.583333333334</v>
      </c>
      <c r="C133" s="334">
        <f>'Rate Class Customer Model'!C13</f>
        <v>999.58333333333337</v>
      </c>
      <c r="D133" s="334">
        <f>'Rate Class Customer Model'!D13</f>
        <v>71.5</v>
      </c>
      <c r="E133" s="334">
        <f>'Rate Class Customer Model'!F13</f>
        <v>165.75</v>
      </c>
      <c r="F133" s="334">
        <f>'Rate Class Customer Model'!E13</f>
        <v>2897.6666666666665</v>
      </c>
      <c r="G133" s="334">
        <f>'Rate Class Customer Model'!G13</f>
        <v>76</v>
      </c>
      <c r="H133" s="334">
        <f>'Rate Class Customer Model'!H13</f>
        <v>1</v>
      </c>
      <c r="I133" s="334">
        <f t="shared" si="42"/>
        <v>19073.083333333336</v>
      </c>
      <c r="J133" s="115"/>
      <c r="K133" s="115"/>
      <c r="L133" s="115"/>
      <c r="M133" s="115"/>
      <c r="N133" s="115"/>
      <c r="O133" s="137"/>
    </row>
    <row r="134" spans="1:16" s="135" customFormat="1" ht="14.25">
      <c r="A134" s="333">
        <f t="shared" si="41"/>
        <v>2016</v>
      </c>
      <c r="B134" s="334">
        <f>'Rate Class Customer Model'!B14</f>
        <v>15201.583333333334</v>
      </c>
      <c r="C134" s="334">
        <f>'Rate Class Customer Model'!C14</f>
        <v>1015.25</v>
      </c>
      <c r="D134" s="334">
        <f>'Rate Class Customer Model'!D14</f>
        <v>75.583333333333329</v>
      </c>
      <c r="E134" s="334">
        <f>'Rate Class Customer Model'!F14</f>
        <v>166.08333333333334</v>
      </c>
      <c r="F134" s="334">
        <f>'Rate Class Customer Model'!E14</f>
        <v>2863.1666666666665</v>
      </c>
      <c r="G134" s="334">
        <f>'Rate Class Customer Model'!G14</f>
        <v>75.333333333333329</v>
      </c>
      <c r="H134" s="334">
        <f>'Rate Class Customer Model'!H14</f>
        <v>1</v>
      </c>
      <c r="I134" s="334">
        <f t="shared" si="42"/>
        <v>19398</v>
      </c>
      <c r="J134" s="115"/>
      <c r="K134" s="115"/>
      <c r="L134" s="115"/>
      <c r="M134" s="115"/>
      <c r="N134" s="115"/>
      <c r="O134" s="137"/>
    </row>
    <row r="135" spans="1:16" s="135" customFormat="1" ht="14.25">
      <c r="A135" s="333">
        <f t="shared" si="41"/>
        <v>2017</v>
      </c>
      <c r="B135" s="334">
        <f>'Rate Class Customer Model'!B15</f>
        <v>15631.666666666666</v>
      </c>
      <c r="C135" s="334">
        <f>'Rate Class Customer Model'!C15</f>
        <v>1029.3333333333333</v>
      </c>
      <c r="D135" s="334">
        <f>'Rate Class Customer Model'!D15</f>
        <v>86.666666666666671</v>
      </c>
      <c r="E135" s="334">
        <f>'Rate Class Customer Model'!F15</f>
        <v>161.83333333333334</v>
      </c>
      <c r="F135" s="334">
        <f>'Rate Class Customer Model'!E15</f>
        <v>2973.25</v>
      </c>
      <c r="G135" s="334">
        <f>'Rate Class Customer Model'!G15</f>
        <v>73.5</v>
      </c>
      <c r="H135" s="334">
        <f>'Rate Class Customer Model'!H15</f>
        <v>1</v>
      </c>
      <c r="I135" s="334">
        <f t="shared" si="42"/>
        <v>19957.25</v>
      </c>
      <c r="J135" s="115"/>
      <c r="K135" s="115"/>
      <c r="L135" s="115"/>
      <c r="M135" s="115"/>
      <c r="N135" s="115"/>
      <c r="O135" s="137"/>
    </row>
    <row r="136" spans="1:16" s="135" customFormat="1" ht="14.25">
      <c r="A136" s="333">
        <f t="shared" si="41"/>
        <v>2018</v>
      </c>
      <c r="B136" s="334">
        <f>'Rate Class Customer Model'!B16</f>
        <v>16490.666666666668</v>
      </c>
      <c r="C136" s="334">
        <f>'Rate Class Customer Model'!C16</f>
        <v>1081</v>
      </c>
      <c r="D136" s="334">
        <f>'Rate Class Customer Model'!D16</f>
        <v>91</v>
      </c>
      <c r="E136" s="334">
        <f>'Rate Class Customer Model'!F16</f>
        <v>161.5</v>
      </c>
      <c r="F136" s="334">
        <f>'Rate Class Customer Model'!E16</f>
        <v>3097.25</v>
      </c>
      <c r="G136" s="334">
        <f>'Rate Class Customer Model'!G16</f>
        <v>74</v>
      </c>
      <c r="H136" s="334">
        <f>'Rate Class Customer Model'!H16</f>
        <v>1</v>
      </c>
      <c r="I136" s="334">
        <f t="shared" si="42"/>
        <v>20996.416666666668</v>
      </c>
      <c r="J136" s="115"/>
      <c r="K136" s="115"/>
      <c r="L136" s="115"/>
      <c r="M136" s="115"/>
      <c r="N136" s="115"/>
      <c r="O136" s="137"/>
    </row>
    <row r="137" spans="1:16" s="135" customFormat="1" ht="14.25">
      <c r="A137" s="333">
        <f t="shared" si="41"/>
        <v>2019</v>
      </c>
      <c r="B137" s="334">
        <f>'Rate Class Customer Model'!B17</f>
        <v>17294.333333333332</v>
      </c>
      <c r="C137" s="334">
        <f>'Rate Class Customer Model'!C17</f>
        <v>1118.5833333333333</v>
      </c>
      <c r="D137" s="334">
        <f>'Rate Class Customer Model'!D17</f>
        <v>86.583333333333329</v>
      </c>
      <c r="E137" s="334">
        <f>'Rate Class Customer Model'!F17</f>
        <v>159.91666666666666</v>
      </c>
      <c r="F137" s="334">
        <f>'Rate Class Customer Model'!E17</f>
        <v>3306.75</v>
      </c>
      <c r="G137" s="334">
        <f>'Rate Class Customer Model'!G17</f>
        <v>74.5</v>
      </c>
      <c r="H137" s="334">
        <f>'Rate Class Customer Model'!H17</f>
        <v>1</v>
      </c>
      <c r="I137" s="334">
        <f t="shared" si="42"/>
        <v>22041.666666666664</v>
      </c>
      <c r="J137" s="115"/>
      <c r="K137" s="115"/>
      <c r="L137" s="115"/>
      <c r="M137" s="115"/>
      <c r="N137" s="115"/>
      <c r="O137" s="137"/>
    </row>
    <row r="138" spans="1:16" s="135" customFormat="1" ht="14.25">
      <c r="A138" s="333">
        <f t="shared" si="41"/>
        <v>2020</v>
      </c>
      <c r="B138" s="334">
        <f>'Rate Class Customer Model'!B18</f>
        <v>17582.833333333332</v>
      </c>
      <c r="C138" s="334">
        <f>'Rate Class Customer Model'!C18</f>
        <v>1150.9166666666667</v>
      </c>
      <c r="D138" s="334">
        <f>'Rate Class Customer Model'!D18</f>
        <v>82.083333333333329</v>
      </c>
      <c r="E138" s="334">
        <f>'Rate Class Customer Model'!F18</f>
        <v>155.08333333333334</v>
      </c>
      <c r="F138" s="334">
        <f>'Rate Class Customer Model'!E18</f>
        <v>3414.4166666666665</v>
      </c>
      <c r="G138" s="334">
        <f>'Rate Class Customer Model'!G18</f>
        <v>73.166666666666671</v>
      </c>
      <c r="H138" s="334">
        <f>'Rate Class Customer Model'!H18</f>
        <v>1</v>
      </c>
      <c r="I138" s="334">
        <f t="shared" si="42"/>
        <v>22459.5</v>
      </c>
      <c r="J138" s="115"/>
      <c r="K138" s="115"/>
      <c r="L138" s="115"/>
      <c r="M138" s="115"/>
      <c r="N138" s="115"/>
      <c r="O138" s="137"/>
    </row>
    <row r="139" spans="1:16" s="135" customFormat="1" ht="14.25">
      <c r="A139" s="333">
        <f t="shared" si="41"/>
        <v>2021</v>
      </c>
      <c r="B139" s="334">
        <f>'Rate Class Customer Model'!B19</f>
        <v>18253.333333333332</v>
      </c>
      <c r="C139" s="334">
        <f>'Rate Class Customer Model'!C19</f>
        <v>1186.8333333333333</v>
      </c>
      <c r="D139" s="334">
        <f>'Rate Class Customer Model'!D19</f>
        <v>81.166666666666671</v>
      </c>
      <c r="E139" s="334">
        <f>'Rate Class Customer Model'!F19</f>
        <v>152.75</v>
      </c>
      <c r="F139" s="334">
        <f>'Rate Class Customer Model'!E19</f>
        <v>3596.5833333333335</v>
      </c>
      <c r="G139" s="334">
        <f>'Rate Class Customer Model'!G19</f>
        <v>71</v>
      </c>
      <c r="H139" s="334">
        <f>'Rate Class Customer Model'!H19</f>
        <v>1</v>
      </c>
      <c r="I139" s="334">
        <f t="shared" si="42"/>
        <v>23342.666666666664</v>
      </c>
      <c r="J139" s="115"/>
      <c r="K139" s="115"/>
      <c r="L139" s="115"/>
      <c r="M139" s="115"/>
      <c r="N139" s="115"/>
      <c r="O139" s="137"/>
    </row>
    <row r="140" spans="1:16" s="135" customFormat="1" ht="14.25">
      <c r="A140" s="333">
        <f t="shared" si="41"/>
        <v>2022</v>
      </c>
      <c r="B140" s="334">
        <f>'Rate Class Customer Model'!B20</f>
        <v>18754.666666666668</v>
      </c>
      <c r="C140" s="334">
        <f>'Rate Class Customer Model'!C20</f>
        <v>1241.1666666666667</v>
      </c>
      <c r="D140" s="334">
        <f>'Rate Class Customer Model'!D20</f>
        <v>82.25</v>
      </c>
      <c r="E140" s="334">
        <f>'Rate Class Customer Model'!F20</f>
        <v>150.66666666666666</v>
      </c>
      <c r="F140" s="334">
        <f>'Rate Class Customer Model'!E20</f>
        <v>4014</v>
      </c>
      <c r="G140" s="334">
        <f>'Rate Class Customer Model'!G20</f>
        <v>72.416666666666671</v>
      </c>
      <c r="H140" s="334">
        <f>'Rate Class Customer Model'!H20</f>
        <v>1</v>
      </c>
      <c r="I140" s="334">
        <f t="shared" si="42"/>
        <v>24316.166666666672</v>
      </c>
      <c r="J140" s="115"/>
      <c r="K140" s="115"/>
      <c r="L140" s="115"/>
      <c r="M140" s="115"/>
      <c r="N140" s="115"/>
      <c r="O140" s="137"/>
    </row>
    <row r="141" spans="1:16" s="140" customFormat="1" ht="15">
      <c r="A141" s="138"/>
      <c r="B141" s="139"/>
      <c r="C141" s="139"/>
      <c r="D141" s="139"/>
      <c r="E141" s="139"/>
      <c r="F141" s="139"/>
      <c r="G141" s="139"/>
      <c r="H141" s="139"/>
      <c r="I141" s="139"/>
      <c r="J141" s="139"/>
      <c r="K141" s="139"/>
    </row>
    <row r="142" spans="1:16" s="140" customFormat="1" ht="15"/>
    <row r="143" spans="1:16" s="141" customFormat="1">
      <c r="A143" s="273" t="s">
        <v>44</v>
      </c>
      <c r="B143" s="274"/>
      <c r="C143" s="274"/>
      <c r="D143" s="274"/>
      <c r="E143" s="274"/>
      <c r="F143" s="274"/>
    </row>
    <row r="144" spans="1:16" ht="38.25">
      <c r="A144" s="295" t="s">
        <v>1</v>
      </c>
      <c r="B144" s="296" t="str">
        <f t="shared" ref="B144:C144" si="43">B129</f>
        <v xml:space="preserve">Residential </v>
      </c>
      <c r="C144" s="296" t="str">
        <f t="shared" si="43"/>
        <v>General Service &lt; 50 kW</v>
      </c>
      <c r="D144" s="296" t="str">
        <f>D129</f>
        <v>General Service 50 to 4,999 kW</v>
      </c>
      <c r="E144" s="296" t="str">
        <f>E129</f>
        <v>Sentinel Lights</v>
      </c>
      <c r="F144" s="296" t="str">
        <f>F129</f>
        <v>Street Lights</v>
      </c>
      <c r="G144" s="296" t="str">
        <f>G129</f>
        <v xml:space="preserve">Unmetered Scattered Loads </v>
      </c>
      <c r="H144" s="307" t="str">
        <f>H129</f>
        <v>Embedded Distributor</v>
      </c>
      <c r="I144" s="115"/>
      <c r="J144" s="115"/>
      <c r="K144" s="115"/>
      <c r="L144" s="115"/>
      <c r="M144" s="115"/>
      <c r="N144" s="115"/>
      <c r="O144" s="115"/>
    </row>
    <row r="145" spans="1:16377" s="141" customFormat="1">
      <c r="A145" s="335" t="s">
        <v>45</v>
      </c>
      <c r="B145" s="180"/>
      <c r="C145" s="180"/>
      <c r="D145" s="180"/>
      <c r="E145" s="180"/>
      <c r="F145" s="180"/>
      <c r="G145" s="180"/>
      <c r="H145" s="336"/>
      <c r="I145" s="115"/>
      <c r="J145" s="115"/>
      <c r="K145" s="115"/>
      <c r="L145" s="115"/>
      <c r="M145" s="115"/>
      <c r="N145" s="115"/>
      <c r="O145" s="115"/>
      <c r="P145" s="115"/>
      <c r="Q145" s="115"/>
    </row>
    <row r="146" spans="1:16377" s="141" customFormat="1">
      <c r="A146" s="181">
        <f t="shared" ref="A146:A155" si="44">A131</f>
        <v>2013</v>
      </c>
      <c r="B146" s="337"/>
      <c r="C146" s="337"/>
      <c r="D146" s="337"/>
      <c r="E146" s="337"/>
      <c r="F146" s="337"/>
      <c r="G146" s="337"/>
      <c r="H146" s="337"/>
      <c r="I146" s="115"/>
      <c r="J146" s="115"/>
      <c r="K146" s="115"/>
      <c r="L146" s="115"/>
    </row>
    <row r="147" spans="1:16377" s="141" customFormat="1">
      <c r="A147" s="181">
        <f t="shared" si="44"/>
        <v>2014</v>
      </c>
      <c r="B147" s="338">
        <f t="shared" ref="B147:C155" si="45">B132/B131-1</f>
        <v>2.314129233951534E-2</v>
      </c>
      <c r="C147" s="338">
        <f t="shared" si="45"/>
        <v>4.4292117057737945E-2</v>
      </c>
      <c r="D147" s="338">
        <f t="shared" ref="D147:G155" si="46">D132/D131-1</f>
        <v>2.4875621890547706E-3</v>
      </c>
      <c r="E147" s="338">
        <f t="shared" si="46"/>
        <v>8.4325396825395416E-3</v>
      </c>
      <c r="F147" s="338">
        <f t="shared" si="46"/>
        <v>2.8135990621336537E-2</v>
      </c>
      <c r="G147" s="338">
        <f t="shared" si="46"/>
        <v>-2.5778732545649885E-2</v>
      </c>
      <c r="H147" s="338">
        <f t="shared" ref="H147" si="47">H132/H131-1</f>
        <v>0</v>
      </c>
      <c r="I147" s="115"/>
      <c r="J147" s="115"/>
      <c r="K147" s="115"/>
      <c r="L147" s="115"/>
      <c r="M147" s="115"/>
      <c r="N147" s="115"/>
      <c r="O147" s="115"/>
    </row>
    <row r="148" spans="1:16377" s="141" customFormat="1">
      <c r="A148" s="181">
        <f t="shared" si="44"/>
        <v>2015</v>
      </c>
      <c r="B148" s="338">
        <f t="shared" si="45"/>
        <v>2.4289242432944835E-2</v>
      </c>
      <c r="C148" s="338">
        <f t="shared" si="45"/>
        <v>9.4252293191954273E-3</v>
      </c>
      <c r="D148" s="338">
        <f t="shared" si="46"/>
        <v>6.4516129032258007E-2</v>
      </c>
      <c r="E148" s="338">
        <f t="shared" si="46"/>
        <v>-2.1642892277422443E-2</v>
      </c>
      <c r="F148" s="338">
        <f t="shared" si="46"/>
        <v>-8.7799315849488302E-3</v>
      </c>
      <c r="G148" s="338">
        <f t="shared" si="46"/>
        <v>5.5126791620727644E-3</v>
      </c>
      <c r="H148" s="338">
        <f t="shared" ref="H148" si="48">H133/H132-1</f>
        <v>0</v>
      </c>
      <c r="I148" s="115"/>
      <c r="J148" s="115"/>
      <c r="K148" s="115"/>
      <c r="L148" s="115"/>
      <c r="M148" s="115"/>
      <c r="N148" s="115"/>
      <c r="O148" s="115"/>
    </row>
    <row r="149" spans="1:16377" s="141" customFormat="1">
      <c r="A149" s="181">
        <f t="shared" si="44"/>
        <v>2016</v>
      </c>
      <c r="B149" s="338">
        <f t="shared" si="45"/>
        <v>2.2877777715474501E-2</v>
      </c>
      <c r="C149" s="338">
        <f t="shared" si="45"/>
        <v>1.5673197165485542E-2</v>
      </c>
      <c r="D149" s="338">
        <f t="shared" si="46"/>
        <v>5.7109557109557008E-2</v>
      </c>
      <c r="E149" s="338">
        <f t="shared" si="46"/>
        <v>2.0110608345902392E-3</v>
      </c>
      <c r="F149" s="338">
        <f t="shared" si="46"/>
        <v>-1.1906131370067907E-2</v>
      </c>
      <c r="G149" s="338">
        <f t="shared" si="46"/>
        <v>-8.7719298245614308E-3</v>
      </c>
      <c r="H149" s="338">
        <f t="shared" ref="H149" si="49">H134/H133-1</f>
        <v>0</v>
      </c>
      <c r="I149" s="115"/>
      <c r="J149" s="115"/>
      <c r="K149" s="115"/>
      <c r="L149" s="115"/>
      <c r="M149" s="115"/>
      <c r="N149" s="115"/>
      <c r="O149" s="115"/>
    </row>
    <row r="150" spans="1:16377" s="141" customFormat="1">
      <c r="A150" s="181">
        <f t="shared" si="44"/>
        <v>2017</v>
      </c>
      <c r="B150" s="338">
        <f t="shared" si="45"/>
        <v>2.8292009056074097E-2</v>
      </c>
      <c r="C150" s="338">
        <f t="shared" si="45"/>
        <v>1.3871788557826337E-2</v>
      </c>
      <c r="D150" s="338">
        <f t="shared" si="46"/>
        <v>0.14663726571113567</v>
      </c>
      <c r="E150" s="338">
        <f t="shared" si="46"/>
        <v>-2.5589563472152577E-2</v>
      </c>
      <c r="F150" s="338">
        <f t="shared" si="46"/>
        <v>3.8448105244775599E-2</v>
      </c>
      <c r="G150" s="338">
        <f t="shared" si="46"/>
        <v>-2.433628318584069E-2</v>
      </c>
      <c r="H150" s="338">
        <f t="shared" ref="H150" si="50">H135/H134-1</f>
        <v>0</v>
      </c>
      <c r="I150" s="115"/>
      <c r="J150" s="115"/>
      <c r="K150" s="115"/>
      <c r="L150" s="115"/>
      <c r="M150" s="115"/>
      <c r="N150" s="115"/>
      <c r="O150" s="115"/>
    </row>
    <row r="151" spans="1:16377" s="141" customFormat="1">
      <c r="A151" s="181">
        <f t="shared" si="44"/>
        <v>2018</v>
      </c>
      <c r="B151" s="338">
        <f t="shared" si="45"/>
        <v>5.4952553577140462E-2</v>
      </c>
      <c r="C151" s="338">
        <f t="shared" si="45"/>
        <v>5.0194300518134893E-2</v>
      </c>
      <c r="D151" s="338">
        <f t="shared" si="46"/>
        <v>5.0000000000000044E-2</v>
      </c>
      <c r="E151" s="338">
        <f t="shared" si="46"/>
        <v>-2.059732234809486E-3</v>
      </c>
      <c r="F151" s="338">
        <f t="shared" si="46"/>
        <v>4.1705204742285451E-2</v>
      </c>
      <c r="G151" s="338">
        <f t="shared" si="46"/>
        <v>6.8027210884353817E-3</v>
      </c>
      <c r="H151" s="338">
        <f t="shared" ref="H151" si="51">H136/H135-1</f>
        <v>0</v>
      </c>
      <c r="I151" s="115"/>
      <c r="J151" s="115"/>
      <c r="K151" s="115"/>
      <c r="L151" s="115"/>
      <c r="M151" s="115"/>
      <c r="N151" s="115"/>
      <c r="O151" s="115"/>
    </row>
    <row r="152" spans="1:16377" s="141" customFormat="1">
      <c r="A152" s="181">
        <f t="shared" si="44"/>
        <v>2019</v>
      </c>
      <c r="B152" s="338">
        <f t="shared" si="45"/>
        <v>4.8734637774902723E-2</v>
      </c>
      <c r="C152" s="338">
        <f t="shared" si="45"/>
        <v>3.476719087264879E-2</v>
      </c>
      <c r="D152" s="338">
        <f t="shared" si="46"/>
        <v>-4.8534798534798584E-2</v>
      </c>
      <c r="E152" s="338">
        <f t="shared" si="46"/>
        <v>-9.8039215686275272E-3</v>
      </c>
      <c r="F152" s="338">
        <f t="shared" si="46"/>
        <v>6.7640648962789651E-2</v>
      </c>
      <c r="G152" s="338">
        <f t="shared" si="46"/>
        <v>6.7567567567567988E-3</v>
      </c>
      <c r="H152" s="338">
        <f t="shared" ref="H152" si="52">H137/H136-1</f>
        <v>0</v>
      </c>
      <c r="I152" s="115"/>
      <c r="J152" s="115"/>
      <c r="K152" s="115"/>
      <c r="L152" s="115"/>
      <c r="M152" s="115"/>
      <c r="N152" s="115"/>
      <c r="O152" s="115"/>
    </row>
    <row r="153" spans="1:16377" s="141" customFormat="1">
      <c r="A153" s="181">
        <f t="shared" si="44"/>
        <v>2020</v>
      </c>
      <c r="B153" s="338">
        <f t="shared" si="45"/>
        <v>1.6681764739895577E-2</v>
      </c>
      <c r="C153" s="338">
        <f t="shared" si="45"/>
        <v>2.8905609774268148E-2</v>
      </c>
      <c r="D153" s="338">
        <f t="shared" si="46"/>
        <v>-5.1973051010587135E-2</v>
      </c>
      <c r="E153" s="338">
        <f t="shared" si="46"/>
        <v>-3.0224075039082754E-2</v>
      </c>
      <c r="F153" s="338">
        <f t="shared" si="46"/>
        <v>3.2559663314936538E-2</v>
      </c>
      <c r="G153" s="338">
        <f t="shared" si="46"/>
        <v>-1.7897091722595015E-2</v>
      </c>
      <c r="H153" s="338">
        <f t="shared" ref="H153" si="53">H138/H137-1</f>
        <v>0</v>
      </c>
      <c r="I153" s="115"/>
      <c r="J153" s="115"/>
      <c r="K153" s="115"/>
      <c r="L153" s="115"/>
      <c r="M153" s="115"/>
      <c r="N153" s="115"/>
      <c r="O153" s="115"/>
    </row>
    <row r="154" spans="1:16377" s="141" customFormat="1">
      <c r="A154" s="181">
        <f t="shared" si="44"/>
        <v>2021</v>
      </c>
      <c r="B154" s="338">
        <f t="shared" si="45"/>
        <v>3.8133785794856712E-2</v>
      </c>
      <c r="C154" s="338">
        <f t="shared" si="45"/>
        <v>3.1207008905944411E-2</v>
      </c>
      <c r="D154" s="338">
        <f t="shared" si="46"/>
        <v>-1.1167512690355208E-2</v>
      </c>
      <c r="E154" s="338">
        <f t="shared" si="46"/>
        <v>-1.5045674368619033E-2</v>
      </c>
      <c r="F154" s="338">
        <f t="shared" si="46"/>
        <v>5.3352207551314423E-2</v>
      </c>
      <c r="G154" s="338">
        <f t="shared" si="46"/>
        <v>-2.9612756264236983E-2</v>
      </c>
      <c r="H154" s="338">
        <f t="shared" ref="H154" si="54">H139/H138-1</f>
        <v>0</v>
      </c>
      <c r="I154" s="115"/>
      <c r="J154" s="115"/>
      <c r="K154" s="115"/>
      <c r="L154" s="115"/>
      <c r="M154" s="115"/>
      <c r="N154" s="115"/>
      <c r="O154" s="115"/>
    </row>
    <row r="155" spans="1:16377" s="141" customFormat="1">
      <c r="A155" s="181">
        <f t="shared" si="44"/>
        <v>2022</v>
      </c>
      <c r="B155" s="338">
        <f t="shared" si="45"/>
        <v>2.7465303140979058E-2</v>
      </c>
      <c r="C155" s="338">
        <f t="shared" si="45"/>
        <v>4.5780087066423336E-2</v>
      </c>
      <c r="D155" s="338">
        <f t="shared" si="46"/>
        <v>1.3347022587268942E-2</v>
      </c>
      <c r="E155" s="338">
        <f t="shared" si="46"/>
        <v>-1.3638843426077574E-2</v>
      </c>
      <c r="F155" s="338">
        <f t="shared" si="46"/>
        <v>0.11605922287356041</v>
      </c>
      <c r="G155" s="338">
        <f t="shared" si="46"/>
        <v>1.9953051643192499E-2</v>
      </c>
      <c r="H155" s="338">
        <f t="shared" ref="H155" si="55">H140/H139-1</f>
        <v>0</v>
      </c>
      <c r="I155" s="115"/>
      <c r="J155" s="115"/>
      <c r="K155" s="115"/>
      <c r="L155" s="115"/>
      <c r="M155" s="115"/>
      <c r="N155" s="115"/>
      <c r="O155" s="115"/>
    </row>
    <row r="156" spans="1:16377" s="141" customFormat="1">
      <c r="A156" s="339" t="s">
        <v>46</v>
      </c>
      <c r="B156" s="340">
        <f>'Rate Class Customer Model'!B39-1</f>
        <v>3.655512723848009E-2</v>
      </c>
      <c r="C156" s="340">
        <f>'Rate Class Customer Model'!C39-1</f>
        <v>3.0027719792767416E-2</v>
      </c>
      <c r="D156" s="340">
        <f>'Rate Class Customer Model'!D39-1</f>
        <v>2.3123421956962265E-2</v>
      </c>
      <c r="E156" s="340">
        <f>'Rate Class Customer Model'!F39-1</f>
        <v>-1.0830333836652883E-2</v>
      </c>
      <c r="F156" s="340">
        <f>'Rate Class Customer Model'!E39-1</f>
        <v>4.0441409864893973E-2</v>
      </c>
      <c r="G156" s="340">
        <f>'Rate Class Customer Model'!G39-1</f>
        <v>-1.2082402991101304E-2</v>
      </c>
      <c r="H156" s="340">
        <f>'Rate Class Customer Model'!H39-1</f>
        <v>0</v>
      </c>
      <c r="I156" s="115"/>
      <c r="J156" s="115"/>
      <c r="K156" s="115"/>
      <c r="L156" s="115"/>
    </row>
    <row r="157" spans="1:16377" s="140" customFormat="1" ht="15"/>
    <row r="158" spans="1:16377" s="140" customFormat="1" ht="15">
      <c r="A158" s="273" t="s">
        <v>47</v>
      </c>
      <c r="B158" s="274"/>
      <c r="C158" s="274"/>
      <c r="D158" s="274"/>
      <c r="E158" s="274"/>
      <c r="F158" s="274"/>
      <c r="G158" s="274"/>
      <c r="H158" s="274"/>
      <c r="I158" s="274"/>
      <c r="J158" s="115"/>
      <c r="K158" s="115"/>
      <c r="L158" s="115"/>
      <c r="M158" s="115"/>
      <c r="N158" s="115"/>
      <c r="O158" s="115"/>
      <c r="P158" s="115"/>
      <c r="Q158" s="115"/>
      <c r="R158" s="115"/>
      <c r="S158" s="115"/>
      <c r="T158" s="115"/>
      <c r="U158" s="115"/>
      <c r="V158" s="115"/>
      <c r="W158" s="115"/>
      <c r="X158" s="115"/>
      <c r="Y158" s="115"/>
      <c r="Z158" s="115"/>
      <c r="AA158" s="274"/>
      <c r="AB158" s="274"/>
      <c r="AC158" s="274"/>
      <c r="AD158" s="273"/>
      <c r="AE158" s="274"/>
      <c r="AF158" s="274"/>
      <c r="AG158" s="274"/>
      <c r="AH158" s="274"/>
      <c r="AI158" s="274"/>
      <c r="AJ158" s="273"/>
      <c r="AK158" s="274"/>
      <c r="AL158" s="274"/>
      <c r="AM158" s="274"/>
      <c r="AN158" s="274"/>
      <c r="AO158" s="274"/>
      <c r="AP158" s="273"/>
      <c r="AQ158" s="274"/>
      <c r="AR158" s="274"/>
      <c r="AS158" s="274"/>
      <c r="AT158" s="274"/>
      <c r="AU158" s="274"/>
      <c r="AV158" s="273"/>
      <c r="AW158" s="274"/>
      <c r="AX158" s="274"/>
      <c r="AY158" s="274"/>
      <c r="AZ158" s="274"/>
      <c r="BA158" s="274"/>
      <c r="BB158" s="273"/>
      <c r="BC158" s="274"/>
      <c r="BD158" s="274"/>
      <c r="BE158" s="274"/>
      <c r="BF158" s="274"/>
      <c r="BG158" s="274"/>
      <c r="BH158" s="273"/>
      <c r="BI158" s="274"/>
      <c r="BJ158" s="274"/>
      <c r="BK158" s="274"/>
      <c r="BL158" s="274"/>
      <c r="BM158" s="274"/>
      <c r="BN158" s="273"/>
      <c r="BO158" s="274"/>
      <c r="BP158" s="274"/>
      <c r="BQ158" s="274"/>
      <c r="BR158" s="274"/>
      <c r="BS158" s="274"/>
      <c r="BT158" s="273"/>
      <c r="BU158" s="274"/>
      <c r="BV158" s="274"/>
      <c r="BW158" s="274"/>
      <c r="BX158" s="274"/>
      <c r="BY158" s="274"/>
      <c r="BZ158" s="273"/>
      <c r="CA158" s="274"/>
      <c r="CB158" s="274"/>
      <c r="CC158" s="274"/>
      <c r="CD158" s="274"/>
      <c r="CE158" s="274"/>
      <c r="CF158" s="273"/>
      <c r="CG158" s="274"/>
      <c r="CH158" s="274"/>
      <c r="CI158" s="274"/>
      <c r="CJ158" s="274"/>
      <c r="CK158" s="274"/>
      <c r="CL158" s="273"/>
      <c r="CM158" s="274"/>
      <c r="CN158" s="274"/>
      <c r="CO158" s="274"/>
      <c r="CP158" s="274"/>
      <c r="CQ158" s="274"/>
      <c r="CR158" s="273"/>
      <c r="CS158" s="274"/>
      <c r="CT158" s="274"/>
      <c r="CU158" s="274"/>
      <c r="CV158" s="274"/>
      <c r="CW158" s="274"/>
      <c r="CX158" s="273"/>
      <c r="CY158" s="274"/>
      <c r="CZ158" s="274"/>
      <c r="DA158" s="274"/>
      <c r="DB158" s="274"/>
      <c r="DC158" s="274"/>
      <c r="DD158" s="273"/>
      <c r="DE158" s="274"/>
      <c r="DF158" s="274"/>
      <c r="DG158" s="274"/>
      <c r="DH158" s="274"/>
      <c r="DI158" s="274"/>
      <c r="DJ158" s="273"/>
      <c r="DK158" s="274"/>
      <c r="DL158" s="274"/>
      <c r="DM158" s="274"/>
      <c r="DN158" s="274"/>
      <c r="DO158" s="274"/>
      <c r="DP158" s="273"/>
      <c r="DQ158" s="274"/>
      <c r="DR158" s="274"/>
      <c r="DS158" s="274"/>
      <c r="DT158" s="274"/>
      <c r="DU158" s="274"/>
      <c r="DV158" s="273"/>
      <c r="DW158" s="274"/>
      <c r="DX158" s="274"/>
      <c r="DY158" s="274"/>
      <c r="DZ158" s="274"/>
      <c r="EA158" s="274"/>
      <c r="EB158" s="273"/>
      <c r="EC158" s="274"/>
      <c r="ED158" s="274"/>
      <c r="EE158" s="274"/>
      <c r="EF158" s="274"/>
      <c r="EG158" s="274"/>
      <c r="EH158" s="273"/>
      <c r="EI158" s="274"/>
      <c r="EJ158" s="274"/>
      <c r="EK158" s="274"/>
      <c r="EL158" s="274"/>
      <c r="EM158" s="274"/>
      <c r="EN158" s="273"/>
      <c r="EO158" s="274"/>
      <c r="EP158" s="274"/>
      <c r="EQ158" s="274"/>
      <c r="ER158" s="274"/>
      <c r="ES158" s="274"/>
      <c r="ET158" s="273"/>
      <c r="EU158" s="274"/>
      <c r="EV158" s="274"/>
      <c r="EW158" s="274"/>
      <c r="EX158" s="274"/>
      <c r="EY158" s="274"/>
      <c r="EZ158" s="273"/>
      <c r="FA158" s="274"/>
      <c r="FB158" s="274"/>
      <c r="FC158" s="274"/>
      <c r="FD158" s="274"/>
      <c r="FE158" s="274"/>
      <c r="FF158" s="273"/>
      <c r="FG158" s="274"/>
      <c r="FH158" s="274"/>
      <c r="FI158" s="274"/>
      <c r="FJ158" s="274"/>
      <c r="FK158" s="274"/>
      <c r="FL158" s="273"/>
      <c r="FM158" s="274"/>
      <c r="FN158" s="274"/>
      <c r="FO158" s="274"/>
      <c r="FP158" s="274"/>
      <c r="FQ158" s="274"/>
      <c r="FR158" s="273"/>
      <c r="FS158" s="274"/>
      <c r="FT158" s="274"/>
      <c r="FU158" s="274"/>
      <c r="FV158" s="274"/>
      <c r="FW158" s="274"/>
      <c r="FX158" s="273"/>
      <c r="FY158" s="274"/>
      <c r="FZ158" s="274"/>
      <c r="GA158" s="274"/>
      <c r="GB158" s="274"/>
      <c r="GC158" s="274"/>
      <c r="GD158" s="273"/>
      <c r="GE158" s="274"/>
      <c r="GF158" s="274"/>
      <c r="GG158" s="274"/>
      <c r="GH158" s="274"/>
      <c r="GI158" s="274"/>
      <c r="GJ158" s="273"/>
      <c r="GK158" s="274"/>
      <c r="GL158" s="274"/>
      <c r="GM158" s="274"/>
      <c r="GN158" s="274"/>
      <c r="GO158" s="274"/>
      <c r="GP158" s="273"/>
      <c r="GQ158" s="274"/>
      <c r="GR158" s="274"/>
      <c r="GS158" s="274"/>
      <c r="GT158" s="274"/>
      <c r="GU158" s="274"/>
      <c r="GV158" s="273"/>
      <c r="GW158" s="274"/>
      <c r="GX158" s="274"/>
      <c r="GY158" s="274"/>
      <c r="GZ158" s="274"/>
      <c r="HA158" s="274"/>
      <c r="HB158" s="273"/>
      <c r="HC158" s="274"/>
      <c r="HD158" s="274"/>
      <c r="HE158" s="274"/>
      <c r="HF158" s="274"/>
      <c r="HG158" s="274"/>
      <c r="HH158" s="273"/>
      <c r="HI158" s="274"/>
      <c r="HJ158" s="274"/>
      <c r="HK158" s="274"/>
      <c r="HL158" s="274"/>
      <c r="HM158" s="274"/>
      <c r="HN158" s="273"/>
      <c r="HO158" s="274"/>
      <c r="HP158" s="274"/>
      <c r="HQ158" s="274"/>
      <c r="HR158" s="274"/>
      <c r="HS158" s="274"/>
      <c r="HT158" s="273"/>
      <c r="HU158" s="274"/>
      <c r="HV158" s="274"/>
      <c r="HW158" s="274"/>
      <c r="HX158" s="274"/>
      <c r="HY158" s="274"/>
      <c r="HZ158" s="273"/>
      <c r="IA158" s="274"/>
      <c r="IB158" s="274"/>
      <c r="IC158" s="274"/>
      <c r="ID158" s="274"/>
      <c r="IE158" s="274"/>
      <c r="IF158" s="273"/>
      <c r="IG158" s="274"/>
      <c r="IH158" s="274"/>
      <c r="II158" s="274"/>
      <c r="IJ158" s="274"/>
      <c r="IK158" s="274"/>
      <c r="IL158" s="273"/>
      <c r="IM158" s="274"/>
      <c r="IN158" s="274"/>
      <c r="IO158" s="274"/>
      <c r="IP158" s="274"/>
      <c r="IQ158" s="274"/>
      <c r="IR158" s="273"/>
      <c r="IS158" s="274"/>
      <c r="IT158" s="274"/>
      <c r="IU158" s="274"/>
      <c r="IV158" s="274"/>
      <c r="IW158" s="274"/>
      <c r="IX158" s="273"/>
      <c r="IY158" s="274"/>
      <c r="IZ158" s="274"/>
      <c r="JA158" s="274"/>
      <c r="JB158" s="274"/>
      <c r="JC158" s="274"/>
      <c r="JD158" s="273"/>
      <c r="JE158" s="274"/>
      <c r="JF158" s="274"/>
      <c r="JG158" s="274"/>
      <c r="JH158" s="274"/>
      <c r="JI158" s="274"/>
      <c r="JJ158" s="273"/>
      <c r="JK158" s="274"/>
      <c r="JL158" s="274"/>
      <c r="JM158" s="274"/>
      <c r="JN158" s="274"/>
      <c r="JO158" s="274"/>
      <c r="JP158" s="273"/>
      <c r="JQ158" s="274"/>
      <c r="JR158" s="274"/>
      <c r="JS158" s="274"/>
      <c r="JT158" s="274"/>
      <c r="JU158" s="274"/>
      <c r="JV158" s="273"/>
      <c r="JW158" s="274"/>
      <c r="JX158" s="274"/>
      <c r="JY158" s="274"/>
      <c r="JZ158" s="274"/>
      <c r="KA158" s="274"/>
      <c r="KB158" s="273"/>
      <c r="KC158" s="274"/>
      <c r="KD158" s="274"/>
      <c r="KE158" s="274"/>
      <c r="KF158" s="274"/>
      <c r="KG158" s="274"/>
      <c r="KH158" s="273"/>
      <c r="KI158" s="274"/>
      <c r="KJ158" s="274"/>
      <c r="KK158" s="274"/>
      <c r="KL158" s="274"/>
      <c r="KM158" s="274"/>
      <c r="KN158" s="273"/>
      <c r="KO158" s="274"/>
      <c r="KP158" s="274"/>
      <c r="KQ158" s="274"/>
      <c r="KR158" s="274"/>
      <c r="KS158" s="274"/>
      <c r="KT158" s="273"/>
      <c r="KU158" s="274"/>
      <c r="KV158" s="274"/>
      <c r="KW158" s="274"/>
      <c r="KX158" s="274"/>
      <c r="KY158" s="274"/>
      <c r="KZ158" s="273"/>
      <c r="LA158" s="274"/>
      <c r="LB158" s="274"/>
      <c r="LC158" s="274"/>
      <c r="LD158" s="274"/>
      <c r="LE158" s="274"/>
      <c r="LF158" s="273"/>
      <c r="LG158" s="274"/>
      <c r="LH158" s="274"/>
      <c r="LI158" s="274"/>
      <c r="LJ158" s="274"/>
      <c r="LK158" s="274"/>
      <c r="LL158" s="273"/>
      <c r="LM158" s="274"/>
      <c r="LN158" s="274"/>
      <c r="LO158" s="274"/>
      <c r="LP158" s="274"/>
      <c r="LQ158" s="274"/>
      <c r="LR158" s="273"/>
      <c r="LS158" s="274"/>
      <c r="LT158" s="274"/>
      <c r="LU158" s="274"/>
      <c r="LV158" s="274"/>
      <c r="LW158" s="274"/>
      <c r="LX158" s="273"/>
      <c r="LY158" s="274"/>
      <c r="LZ158" s="274"/>
      <c r="MA158" s="274"/>
      <c r="MB158" s="274"/>
      <c r="MC158" s="274"/>
      <c r="MD158" s="273"/>
      <c r="ME158" s="274"/>
      <c r="MF158" s="274"/>
      <c r="MG158" s="274"/>
      <c r="MH158" s="274"/>
      <c r="MI158" s="274"/>
      <c r="MJ158" s="273"/>
      <c r="MK158" s="274"/>
      <c r="ML158" s="274"/>
      <c r="MM158" s="274"/>
      <c r="MN158" s="274"/>
      <c r="MO158" s="274"/>
      <c r="MP158" s="273"/>
      <c r="MQ158" s="274"/>
      <c r="MR158" s="274"/>
      <c r="MS158" s="274"/>
      <c r="MT158" s="274"/>
      <c r="MU158" s="274"/>
      <c r="MV158" s="273"/>
      <c r="MW158" s="274"/>
      <c r="MX158" s="274"/>
      <c r="MY158" s="274"/>
      <c r="MZ158" s="274"/>
      <c r="NA158" s="274"/>
      <c r="NB158" s="273"/>
      <c r="NC158" s="274"/>
      <c r="ND158" s="274"/>
      <c r="NE158" s="274"/>
      <c r="NF158" s="274"/>
      <c r="NG158" s="274"/>
      <c r="NH158" s="273"/>
      <c r="NI158" s="274"/>
      <c r="NJ158" s="274"/>
      <c r="NK158" s="274"/>
      <c r="NL158" s="274"/>
      <c r="NM158" s="274"/>
      <c r="NN158" s="273"/>
      <c r="NO158" s="274"/>
      <c r="NP158" s="274"/>
      <c r="NQ158" s="274"/>
      <c r="NR158" s="274"/>
      <c r="NS158" s="274"/>
      <c r="NT158" s="273"/>
      <c r="NU158" s="274"/>
      <c r="NV158" s="274"/>
      <c r="NW158" s="274"/>
      <c r="NX158" s="274"/>
      <c r="NY158" s="274"/>
      <c r="NZ158" s="273"/>
      <c r="OA158" s="274"/>
      <c r="OB158" s="274"/>
      <c r="OC158" s="274"/>
      <c r="OD158" s="274"/>
      <c r="OE158" s="274"/>
      <c r="OF158" s="273"/>
      <c r="OG158" s="274"/>
      <c r="OH158" s="274"/>
      <c r="OI158" s="274"/>
      <c r="OJ158" s="274"/>
      <c r="OK158" s="274"/>
      <c r="OL158" s="273"/>
      <c r="OM158" s="274"/>
      <c r="ON158" s="274"/>
      <c r="OO158" s="274"/>
      <c r="OP158" s="274"/>
      <c r="OQ158" s="274"/>
      <c r="OR158" s="273"/>
      <c r="OS158" s="274"/>
      <c r="OT158" s="274"/>
      <c r="OU158" s="274"/>
      <c r="OV158" s="274"/>
      <c r="OW158" s="274"/>
      <c r="OX158" s="273"/>
      <c r="OY158" s="274"/>
      <c r="OZ158" s="274"/>
      <c r="PA158" s="274"/>
      <c r="PB158" s="274"/>
      <c r="PC158" s="274"/>
      <c r="PD158" s="273"/>
      <c r="PE158" s="274"/>
      <c r="PF158" s="274"/>
      <c r="PG158" s="274"/>
      <c r="PH158" s="274"/>
      <c r="PI158" s="274"/>
      <c r="PJ158" s="273"/>
      <c r="PK158" s="274"/>
      <c r="PL158" s="274"/>
      <c r="PM158" s="274"/>
      <c r="PN158" s="274"/>
      <c r="PO158" s="274"/>
      <c r="PP158" s="273"/>
      <c r="PQ158" s="274"/>
      <c r="PR158" s="274"/>
      <c r="PS158" s="274"/>
      <c r="PT158" s="274"/>
      <c r="PU158" s="274"/>
      <c r="PV158" s="273"/>
      <c r="PW158" s="274"/>
      <c r="PX158" s="274"/>
      <c r="PY158" s="274"/>
      <c r="PZ158" s="274"/>
      <c r="QA158" s="274"/>
      <c r="QB158" s="273"/>
      <c r="QC158" s="274"/>
      <c r="QD158" s="274"/>
      <c r="QE158" s="274"/>
      <c r="QF158" s="274"/>
      <c r="QG158" s="274"/>
      <c r="QH158" s="273"/>
      <c r="QI158" s="274"/>
      <c r="QJ158" s="274"/>
      <c r="QK158" s="274"/>
      <c r="QL158" s="274"/>
      <c r="QM158" s="274"/>
      <c r="QN158" s="273"/>
      <c r="QO158" s="274"/>
      <c r="QP158" s="274"/>
      <c r="QQ158" s="274"/>
      <c r="QR158" s="274"/>
      <c r="QS158" s="274"/>
      <c r="QT158" s="273"/>
      <c r="QU158" s="274"/>
      <c r="QV158" s="274"/>
      <c r="QW158" s="274"/>
      <c r="QX158" s="274"/>
      <c r="QY158" s="274"/>
      <c r="QZ158" s="273"/>
      <c r="RA158" s="274"/>
      <c r="RB158" s="274"/>
      <c r="RC158" s="274"/>
      <c r="RD158" s="274"/>
      <c r="RE158" s="274"/>
      <c r="RF158" s="273"/>
      <c r="RG158" s="274"/>
      <c r="RH158" s="274"/>
      <c r="RI158" s="274"/>
      <c r="RJ158" s="274"/>
      <c r="RK158" s="274"/>
      <c r="RL158" s="273"/>
      <c r="RM158" s="274"/>
      <c r="RN158" s="274"/>
      <c r="RO158" s="274"/>
      <c r="RP158" s="274"/>
      <c r="RQ158" s="274"/>
      <c r="RR158" s="273"/>
      <c r="RS158" s="274"/>
      <c r="RT158" s="274"/>
      <c r="RU158" s="274"/>
      <c r="RV158" s="274"/>
      <c r="RW158" s="274"/>
      <c r="RX158" s="273"/>
      <c r="RY158" s="274"/>
      <c r="RZ158" s="274"/>
      <c r="SA158" s="274"/>
      <c r="SB158" s="274"/>
      <c r="SC158" s="274"/>
      <c r="SD158" s="273"/>
      <c r="SE158" s="274"/>
      <c r="SF158" s="274"/>
      <c r="SG158" s="274"/>
      <c r="SH158" s="274"/>
      <c r="SI158" s="274"/>
      <c r="SJ158" s="273"/>
      <c r="SK158" s="274"/>
      <c r="SL158" s="274"/>
      <c r="SM158" s="274"/>
      <c r="SN158" s="274"/>
      <c r="SO158" s="274"/>
      <c r="SP158" s="273"/>
      <c r="SQ158" s="274"/>
      <c r="SR158" s="274"/>
      <c r="SS158" s="274"/>
      <c r="ST158" s="274"/>
      <c r="SU158" s="274"/>
      <c r="SV158" s="273"/>
      <c r="SW158" s="274"/>
      <c r="SX158" s="274"/>
      <c r="SY158" s="274"/>
      <c r="SZ158" s="274"/>
      <c r="TA158" s="274"/>
      <c r="TB158" s="273"/>
      <c r="TC158" s="274"/>
      <c r="TD158" s="274"/>
      <c r="TE158" s="274"/>
      <c r="TF158" s="274"/>
      <c r="TG158" s="274"/>
      <c r="TH158" s="273"/>
      <c r="TI158" s="274"/>
      <c r="TJ158" s="274"/>
      <c r="TK158" s="274"/>
      <c r="TL158" s="274"/>
      <c r="TM158" s="274"/>
      <c r="TN158" s="273"/>
      <c r="TO158" s="274"/>
      <c r="TP158" s="274"/>
      <c r="TQ158" s="274"/>
      <c r="TR158" s="274"/>
      <c r="TS158" s="274"/>
      <c r="TT158" s="273"/>
      <c r="TU158" s="274"/>
      <c r="TV158" s="274"/>
      <c r="TW158" s="274"/>
      <c r="TX158" s="274"/>
      <c r="TY158" s="274"/>
      <c r="TZ158" s="273"/>
      <c r="UA158" s="274"/>
      <c r="UB158" s="274"/>
      <c r="UC158" s="274"/>
      <c r="UD158" s="274"/>
      <c r="UE158" s="274"/>
      <c r="UF158" s="273"/>
      <c r="UG158" s="274"/>
      <c r="UH158" s="274"/>
      <c r="UI158" s="274"/>
      <c r="UJ158" s="274"/>
      <c r="UK158" s="274"/>
      <c r="UL158" s="273"/>
      <c r="UM158" s="274"/>
      <c r="UN158" s="274"/>
      <c r="UO158" s="274"/>
      <c r="UP158" s="274"/>
      <c r="UQ158" s="274"/>
      <c r="UR158" s="273"/>
      <c r="US158" s="274"/>
      <c r="UT158" s="274"/>
      <c r="UU158" s="274"/>
      <c r="UV158" s="274"/>
      <c r="UW158" s="274"/>
      <c r="UX158" s="273"/>
      <c r="UY158" s="274"/>
      <c r="UZ158" s="274"/>
      <c r="VA158" s="274"/>
      <c r="VB158" s="274"/>
      <c r="VC158" s="274"/>
      <c r="VD158" s="273"/>
      <c r="VE158" s="274"/>
      <c r="VF158" s="274"/>
      <c r="VG158" s="274"/>
      <c r="VH158" s="274"/>
      <c r="VI158" s="274"/>
      <c r="VJ158" s="273"/>
      <c r="VK158" s="274"/>
      <c r="VL158" s="274"/>
      <c r="VM158" s="274"/>
      <c r="VN158" s="274"/>
      <c r="VO158" s="274"/>
      <c r="VP158" s="273"/>
      <c r="VQ158" s="274"/>
      <c r="VR158" s="274"/>
      <c r="VS158" s="274"/>
      <c r="VT158" s="274"/>
      <c r="VU158" s="274"/>
      <c r="VV158" s="273"/>
      <c r="VW158" s="274"/>
      <c r="VX158" s="274"/>
      <c r="VY158" s="274"/>
      <c r="VZ158" s="274"/>
      <c r="WA158" s="274"/>
      <c r="WB158" s="273"/>
      <c r="WC158" s="274"/>
      <c r="WD158" s="274"/>
      <c r="WE158" s="274"/>
      <c r="WF158" s="274"/>
      <c r="WG158" s="274"/>
      <c r="WH158" s="273"/>
      <c r="WI158" s="274"/>
      <c r="WJ158" s="274"/>
      <c r="WK158" s="274"/>
      <c r="WL158" s="274"/>
      <c r="WM158" s="274"/>
      <c r="WN158" s="273"/>
      <c r="WO158" s="274"/>
      <c r="WP158" s="274"/>
      <c r="WQ158" s="274"/>
      <c r="WR158" s="274"/>
      <c r="WS158" s="274"/>
      <c r="WT158" s="273"/>
      <c r="WU158" s="274"/>
      <c r="WV158" s="274"/>
      <c r="WW158" s="274"/>
      <c r="WX158" s="274"/>
      <c r="WY158" s="274"/>
      <c r="WZ158" s="273"/>
      <c r="XA158" s="274"/>
      <c r="XB158" s="274"/>
      <c r="XC158" s="274"/>
      <c r="XD158" s="274"/>
      <c r="XE158" s="274"/>
      <c r="XF158" s="273"/>
      <c r="XG158" s="274"/>
      <c r="XH158" s="274"/>
      <c r="XI158" s="274"/>
      <c r="XJ158" s="274"/>
      <c r="XK158" s="274"/>
      <c r="XL158" s="273"/>
      <c r="XM158" s="274"/>
      <c r="XN158" s="274"/>
      <c r="XO158" s="274"/>
      <c r="XP158" s="274"/>
      <c r="XQ158" s="274"/>
      <c r="XR158" s="273"/>
      <c r="XS158" s="274"/>
      <c r="XT158" s="274"/>
      <c r="XU158" s="274"/>
      <c r="XV158" s="274"/>
      <c r="XW158" s="274"/>
      <c r="XX158" s="273"/>
      <c r="XY158" s="274"/>
      <c r="XZ158" s="274"/>
      <c r="YA158" s="274"/>
      <c r="YB158" s="274"/>
      <c r="YC158" s="274"/>
      <c r="YD158" s="273"/>
      <c r="YE158" s="274"/>
      <c r="YF158" s="274"/>
      <c r="YG158" s="274"/>
      <c r="YH158" s="274"/>
      <c r="YI158" s="274"/>
      <c r="YJ158" s="273"/>
      <c r="YK158" s="274"/>
      <c r="YL158" s="274"/>
      <c r="YM158" s="274"/>
      <c r="YN158" s="274"/>
      <c r="YO158" s="274"/>
      <c r="YP158" s="273"/>
      <c r="YQ158" s="274"/>
      <c r="YR158" s="274"/>
      <c r="YS158" s="274"/>
      <c r="YT158" s="274"/>
      <c r="YU158" s="274"/>
      <c r="YV158" s="273"/>
      <c r="YW158" s="274"/>
      <c r="YX158" s="274"/>
      <c r="YY158" s="274"/>
      <c r="YZ158" s="274"/>
      <c r="ZA158" s="274"/>
      <c r="ZB158" s="273"/>
      <c r="ZC158" s="274"/>
      <c r="ZD158" s="274"/>
      <c r="ZE158" s="274"/>
      <c r="ZF158" s="274"/>
      <c r="ZG158" s="274"/>
      <c r="ZH158" s="273"/>
      <c r="ZI158" s="274"/>
      <c r="ZJ158" s="274"/>
      <c r="ZK158" s="274"/>
      <c r="ZL158" s="274"/>
      <c r="ZM158" s="274"/>
      <c r="ZN158" s="273"/>
      <c r="ZO158" s="274"/>
      <c r="ZP158" s="274"/>
      <c r="ZQ158" s="274"/>
      <c r="ZR158" s="274"/>
      <c r="ZS158" s="274"/>
      <c r="ZT158" s="273"/>
      <c r="ZU158" s="274"/>
      <c r="ZV158" s="274"/>
      <c r="ZW158" s="274"/>
      <c r="ZX158" s="274"/>
      <c r="ZY158" s="274"/>
      <c r="ZZ158" s="273"/>
      <c r="AAA158" s="274"/>
      <c r="AAB158" s="274"/>
      <c r="AAC158" s="274"/>
      <c r="AAD158" s="274"/>
      <c r="AAE158" s="274"/>
      <c r="AAF158" s="273"/>
      <c r="AAG158" s="274"/>
      <c r="AAH158" s="274"/>
      <c r="AAI158" s="274"/>
      <c r="AAJ158" s="274"/>
      <c r="AAK158" s="274"/>
      <c r="AAL158" s="273"/>
      <c r="AAM158" s="274"/>
      <c r="AAN158" s="274"/>
      <c r="AAO158" s="274"/>
      <c r="AAP158" s="274"/>
      <c r="AAQ158" s="274"/>
      <c r="AAR158" s="273"/>
      <c r="AAS158" s="274"/>
      <c r="AAT158" s="274"/>
      <c r="AAU158" s="274"/>
      <c r="AAV158" s="274"/>
      <c r="AAW158" s="274"/>
      <c r="AAX158" s="273"/>
      <c r="AAY158" s="274"/>
      <c r="AAZ158" s="274"/>
      <c r="ABA158" s="274"/>
      <c r="ABB158" s="274"/>
      <c r="ABC158" s="274"/>
      <c r="ABD158" s="273"/>
      <c r="ABE158" s="274"/>
      <c r="ABF158" s="274"/>
      <c r="ABG158" s="274"/>
      <c r="ABH158" s="274"/>
      <c r="ABI158" s="274"/>
      <c r="ABJ158" s="273"/>
      <c r="ABK158" s="274"/>
      <c r="ABL158" s="274"/>
      <c r="ABM158" s="274"/>
      <c r="ABN158" s="274"/>
      <c r="ABO158" s="274"/>
      <c r="ABP158" s="273"/>
      <c r="ABQ158" s="274"/>
      <c r="ABR158" s="274"/>
      <c r="ABS158" s="274"/>
      <c r="ABT158" s="274"/>
      <c r="ABU158" s="274"/>
      <c r="ABV158" s="273"/>
      <c r="ABW158" s="274"/>
      <c r="ABX158" s="274"/>
      <c r="ABY158" s="274"/>
      <c r="ABZ158" s="274"/>
      <c r="ACA158" s="274"/>
      <c r="ACB158" s="273"/>
      <c r="ACC158" s="274"/>
      <c r="ACD158" s="274"/>
      <c r="ACE158" s="274"/>
      <c r="ACF158" s="274"/>
      <c r="ACG158" s="274"/>
      <c r="ACH158" s="273"/>
      <c r="ACI158" s="274"/>
      <c r="ACJ158" s="274"/>
      <c r="ACK158" s="274"/>
      <c r="ACL158" s="274"/>
      <c r="ACM158" s="274"/>
      <c r="ACN158" s="273"/>
      <c r="ACO158" s="274"/>
      <c r="ACP158" s="274"/>
      <c r="ACQ158" s="274"/>
      <c r="ACR158" s="274"/>
      <c r="ACS158" s="274"/>
      <c r="ACT158" s="273"/>
      <c r="ACU158" s="274"/>
      <c r="ACV158" s="274"/>
      <c r="ACW158" s="274"/>
      <c r="ACX158" s="274"/>
      <c r="ACY158" s="274"/>
      <c r="ACZ158" s="273"/>
      <c r="ADA158" s="274"/>
      <c r="ADB158" s="274"/>
      <c r="ADC158" s="274"/>
      <c r="ADD158" s="274"/>
      <c r="ADE158" s="274"/>
      <c r="ADF158" s="273"/>
      <c r="ADG158" s="274"/>
      <c r="ADH158" s="274"/>
      <c r="ADI158" s="274"/>
      <c r="ADJ158" s="274"/>
      <c r="ADK158" s="274"/>
      <c r="ADL158" s="273"/>
      <c r="ADM158" s="274"/>
      <c r="ADN158" s="274"/>
      <c r="ADO158" s="274"/>
      <c r="ADP158" s="274"/>
      <c r="ADQ158" s="274"/>
      <c r="ADR158" s="273"/>
      <c r="ADS158" s="274"/>
      <c r="ADT158" s="274"/>
      <c r="ADU158" s="274"/>
      <c r="ADV158" s="274"/>
      <c r="ADW158" s="274"/>
      <c r="ADX158" s="273"/>
      <c r="ADY158" s="274"/>
      <c r="ADZ158" s="274"/>
      <c r="AEA158" s="274"/>
      <c r="AEB158" s="274"/>
      <c r="AEC158" s="274"/>
      <c r="AED158" s="273"/>
      <c r="AEE158" s="274"/>
      <c r="AEF158" s="274"/>
      <c r="AEG158" s="274"/>
      <c r="AEH158" s="274"/>
      <c r="AEI158" s="274"/>
      <c r="AEJ158" s="273"/>
      <c r="AEK158" s="274"/>
      <c r="AEL158" s="274"/>
      <c r="AEM158" s="274"/>
      <c r="AEN158" s="274"/>
      <c r="AEO158" s="274"/>
      <c r="AEP158" s="273"/>
      <c r="AEQ158" s="274"/>
      <c r="AER158" s="274"/>
      <c r="AES158" s="274"/>
      <c r="AET158" s="274"/>
      <c r="AEU158" s="274"/>
      <c r="AEV158" s="273"/>
      <c r="AEW158" s="274"/>
      <c r="AEX158" s="274"/>
      <c r="AEY158" s="274"/>
      <c r="AEZ158" s="274"/>
      <c r="AFA158" s="274"/>
      <c r="AFB158" s="273"/>
      <c r="AFC158" s="274"/>
      <c r="AFD158" s="274"/>
      <c r="AFE158" s="274"/>
      <c r="AFF158" s="274"/>
      <c r="AFG158" s="274"/>
      <c r="AFH158" s="273"/>
      <c r="AFI158" s="274"/>
      <c r="AFJ158" s="274"/>
      <c r="AFK158" s="274"/>
      <c r="AFL158" s="274"/>
      <c r="AFM158" s="274"/>
      <c r="AFN158" s="273"/>
      <c r="AFO158" s="274"/>
      <c r="AFP158" s="274"/>
      <c r="AFQ158" s="274"/>
      <c r="AFR158" s="274"/>
      <c r="AFS158" s="274"/>
      <c r="AFT158" s="273"/>
      <c r="AFU158" s="274"/>
      <c r="AFV158" s="274"/>
      <c r="AFW158" s="274"/>
      <c r="AFX158" s="274"/>
      <c r="AFY158" s="274"/>
      <c r="AFZ158" s="273"/>
      <c r="AGA158" s="274"/>
      <c r="AGB158" s="274"/>
      <c r="AGC158" s="274"/>
      <c r="AGD158" s="274"/>
      <c r="AGE158" s="274"/>
      <c r="AGF158" s="273"/>
      <c r="AGG158" s="274"/>
      <c r="AGH158" s="274"/>
      <c r="AGI158" s="274"/>
      <c r="AGJ158" s="274"/>
      <c r="AGK158" s="274"/>
      <c r="AGL158" s="273"/>
      <c r="AGM158" s="274"/>
      <c r="AGN158" s="274"/>
      <c r="AGO158" s="274"/>
      <c r="AGP158" s="274"/>
      <c r="AGQ158" s="274"/>
      <c r="AGR158" s="273"/>
      <c r="AGS158" s="274"/>
      <c r="AGT158" s="274"/>
      <c r="AGU158" s="274"/>
      <c r="AGV158" s="274"/>
      <c r="AGW158" s="274"/>
      <c r="AGX158" s="273"/>
      <c r="AGY158" s="274"/>
      <c r="AGZ158" s="274"/>
      <c r="AHA158" s="274"/>
      <c r="AHB158" s="274"/>
      <c r="AHC158" s="274"/>
      <c r="AHD158" s="273"/>
      <c r="AHE158" s="274"/>
      <c r="AHF158" s="274"/>
      <c r="AHG158" s="274"/>
      <c r="AHH158" s="274"/>
      <c r="AHI158" s="274"/>
      <c r="AHJ158" s="273"/>
      <c r="AHK158" s="274"/>
      <c r="AHL158" s="274"/>
      <c r="AHM158" s="274"/>
      <c r="AHN158" s="274"/>
      <c r="AHO158" s="274"/>
      <c r="AHP158" s="273"/>
      <c r="AHQ158" s="274"/>
      <c r="AHR158" s="274"/>
      <c r="AHS158" s="274"/>
      <c r="AHT158" s="274"/>
      <c r="AHU158" s="274"/>
      <c r="AHV158" s="273"/>
      <c r="AHW158" s="274"/>
      <c r="AHX158" s="274"/>
      <c r="AHY158" s="274"/>
      <c r="AHZ158" s="274"/>
      <c r="AIA158" s="274"/>
      <c r="AIB158" s="273"/>
      <c r="AIC158" s="274"/>
      <c r="AID158" s="274"/>
      <c r="AIE158" s="274"/>
      <c r="AIF158" s="274"/>
      <c r="AIG158" s="274"/>
      <c r="AIH158" s="273"/>
      <c r="AII158" s="274"/>
      <c r="AIJ158" s="274"/>
      <c r="AIK158" s="274"/>
      <c r="AIL158" s="274"/>
      <c r="AIM158" s="274"/>
      <c r="AIN158" s="273"/>
      <c r="AIO158" s="274"/>
      <c r="AIP158" s="274"/>
      <c r="AIQ158" s="274"/>
      <c r="AIR158" s="274"/>
      <c r="AIS158" s="274"/>
      <c r="AIT158" s="273"/>
      <c r="AIU158" s="274"/>
      <c r="AIV158" s="274"/>
      <c r="AIW158" s="274"/>
      <c r="AIX158" s="274"/>
      <c r="AIY158" s="274"/>
      <c r="AIZ158" s="273"/>
      <c r="AJA158" s="274"/>
      <c r="AJB158" s="274"/>
      <c r="AJC158" s="274"/>
      <c r="AJD158" s="274"/>
      <c r="AJE158" s="274"/>
      <c r="AJF158" s="273"/>
      <c r="AJG158" s="274"/>
      <c r="AJH158" s="274"/>
      <c r="AJI158" s="274"/>
      <c r="AJJ158" s="274"/>
      <c r="AJK158" s="274"/>
      <c r="AJL158" s="273"/>
      <c r="AJM158" s="274"/>
      <c r="AJN158" s="274"/>
      <c r="AJO158" s="274"/>
      <c r="AJP158" s="274"/>
      <c r="AJQ158" s="274"/>
      <c r="AJR158" s="273"/>
      <c r="AJS158" s="274"/>
      <c r="AJT158" s="274"/>
      <c r="AJU158" s="274"/>
      <c r="AJV158" s="274"/>
      <c r="AJW158" s="274"/>
      <c r="AJX158" s="273"/>
      <c r="AJY158" s="274"/>
      <c r="AJZ158" s="274"/>
      <c r="AKA158" s="274"/>
      <c r="AKB158" s="274"/>
      <c r="AKC158" s="274"/>
      <c r="AKD158" s="273"/>
      <c r="AKE158" s="274"/>
      <c r="AKF158" s="274"/>
      <c r="AKG158" s="274"/>
      <c r="AKH158" s="274"/>
      <c r="AKI158" s="274"/>
      <c r="AKJ158" s="273"/>
      <c r="AKK158" s="274"/>
      <c r="AKL158" s="274"/>
      <c r="AKM158" s="274"/>
      <c r="AKN158" s="274"/>
      <c r="AKO158" s="274"/>
      <c r="AKP158" s="273"/>
      <c r="AKQ158" s="274"/>
      <c r="AKR158" s="274"/>
      <c r="AKS158" s="274"/>
      <c r="AKT158" s="274"/>
      <c r="AKU158" s="274"/>
      <c r="AKV158" s="273"/>
      <c r="AKW158" s="274"/>
      <c r="AKX158" s="274"/>
      <c r="AKY158" s="274"/>
      <c r="AKZ158" s="274"/>
      <c r="ALA158" s="274"/>
      <c r="ALB158" s="273"/>
      <c r="ALC158" s="274"/>
      <c r="ALD158" s="274"/>
      <c r="ALE158" s="274"/>
      <c r="ALF158" s="274"/>
      <c r="ALG158" s="274"/>
      <c r="ALH158" s="273"/>
      <c r="ALI158" s="274"/>
      <c r="ALJ158" s="274"/>
      <c r="ALK158" s="274"/>
      <c r="ALL158" s="274"/>
      <c r="ALM158" s="274"/>
      <c r="ALN158" s="273"/>
      <c r="ALO158" s="274"/>
      <c r="ALP158" s="274"/>
      <c r="ALQ158" s="274"/>
      <c r="ALR158" s="274"/>
      <c r="ALS158" s="274"/>
      <c r="ALT158" s="273"/>
      <c r="ALU158" s="274"/>
      <c r="ALV158" s="274"/>
      <c r="ALW158" s="274"/>
      <c r="ALX158" s="274"/>
      <c r="ALY158" s="274"/>
      <c r="ALZ158" s="273"/>
      <c r="AMA158" s="274"/>
      <c r="AMB158" s="274"/>
      <c r="AMC158" s="274"/>
      <c r="AMD158" s="274"/>
      <c r="AME158" s="274"/>
      <c r="AMF158" s="273"/>
      <c r="AMG158" s="274"/>
      <c r="AMH158" s="274"/>
      <c r="AMI158" s="274"/>
      <c r="AMJ158" s="274"/>
      <c r="AMK158" s="274"/>
      <c r="AML158" s="273"/>
      <c r="AMM158" s="274"/>
      <c r="AMN158" s="274"/>
      <c r="AMO158" s="274"/>
      <c r="AMP158" s="274"/>
      <c r="AMQ158" s="274"/>
      <c r="AMR158" s="273"/>
      <c r="AMS158" s="274"/>
      <c r="AMT158" s="274"/>
      <c r="AMU158" s="274"/>
      <c r="AMV158" s="274"/>
      <c r="AMW158" s="274"/>
      <c r="AMX158" s="273"/>
      <c r="AMY158" s="274"/>
      <c r="AMZ158" s="274"/>
      <c r="ANA158" s="274"/>
      <c r="ANB158" s="274"/>
      <c r="ANC158" s="274"/>
      <c r="AND158" s="273"/>
      <c r="ANE158" s="274"/>
      <c r="ANF158" s="274"/>
      <c r="ANG158" s="274"/>
      <c r="ANH158" s="274"/>
      <c r="ANI158" s="274"/>
      <c r="ANJ158" s="273"/>
      <c r="ANK158" s="274"/>
      <c r="ANL158" s="274"/>
      <c r="ANM158" s="274"/>
      <c r="ANN158" s="274"/>
      <c r="ANO158" s="274"/>
      <c r="ANP158" s="273"/>
      <c r="ANQ158" s="274"/>
      <c r="ANR158" s="274"/>
      <c r="ANS158" s="274"/>
      <c r="ANT158" s="274"/>
      <c r="ANU158" s="274"/>
      <c r="ANV158" s="273"/>
      <c r="ANW158" s="274"/>
      <c r="ANX158" s="274"/>
      <c r="ANY158" s="274"/>
      <c r="ANZ158" s="274"/>
      <c r="AOA158" s="274"/>
      <c r="AOB158" s="273"/>
      <c r="AOC158" s="274"/>
      <c r="AOD158" s="274"/>
      <c r="AOE158" s="274"/>
      <c r="AOF158" s="274"/>
      <c r="AOG158" s="274"/>
      <c r="AOH158" s="273"/>
      <c r="AOI158" s="274"/>
      <c r="AOJ158" s="274"/>
      <c r="AOK158" s="274"/>
      <c r="AOL158" s="274"/>
      <c r="AOM158" s="274"/>
      <c r="AON158" s="273"/>
      <c r="AOO158" s="274"/>
      <c r="AOP158" s="274"/>
      <c r="AOQ158" s="274"/>
      <c r="AOR158" s="274"/>
      <c r="AOS158" s="274"/>
      <c r="AOT158" s="273"/>
      <c r="AOU158" s="274"/>
      <c r="AOV158" s="274"/>
      <c r="AOW158" s="274"/>
      <c r="AOX158" s="274"/>
      <c r="AOY158" s="274"/>
      <c r="AOZ158" s="273"/>
      <c r="APA158" s="274"/>
      <c r="APB158" s="274"/>
      <c r="APC158" s="274"/>
      <c r="APD158" s="274"/>
      <c r="APE158" s="274"/>
      <c r="APF158" s="273"/>
      <c r="APG158" s="274"/>
      <c r="APH158" s="274"/>
      <c r="API158" s="274"/>
      <c r="APJ158" s="274"/>
      <c r="APK158" s="274"/>
      <c r="APL158" s="273"/>
      <c r="APM158" s="274"/>
      <c r="APN158" s="274"/>
      <c r="APO158" s="274"/>
      <c r="APP158" s="274"/>
      <c r="APQ158" s="274"/>
      <c r="APR158" s="273"/>
      <c r="APS158" s="274"/>
      <c r="APT158" s="274"/>
      <c r="APU158" s="274"/>
      <c r="APV158" s="274"/>
      <c r="APW158" s="274"/>
      <c r="APX158" s="273"/>
      <c r="APY158" s="274"/>
      <c r="APZ158" s="274"/>
      <c r="AQA158" s="274"/>
      <c r="AQB158" s="274"/>
      <c r="AQC158" s="274"/>
      <c r="AQD158" s="273"/>
      <c r="AQE158" s="274"/>
      <c r="AQF158" s="274"/>
      <c r="AQG158" s="274"/>
      <c r="AQH158" s="274"/>
      <c r="AQI158" s="274"/>
      <c r="AQJ158" s="273"/>
      <c r="AQK158" s="274"/>
      <c r="AQL158" s="274"/>
      <c r="AQM158" s="274"/>
      <c r="AQN158" s="274"/>
      <c r="AQO158" s="274"/>
      <c r="AQP158" s="273"/>
      <c r="AQQ158" s="274"/>
      <c r="AQR158" s="274"/>
      <c r="AQS158" s="274"/>
      <c r="AQT158" s="274"/>
      <c r="AQU158" s="274"/>
      <c r="AQV158" s="273"/>
      <c r="AQW158" s="274"/>
      <c r="AQX158" s="274"/>
      <c r="AQY158" s="274"/>
      <c r="AQZ158" s="274"/>
      <c r="ARA158" s="274"/>
      <c r="ARB158" s="273"/>
      <c r="ARC158" s="274"/>
      <c r="ARD158" s="274"/>
      <c r="ARE158" s="274"/>
      <c r="ARF158" s="274"/>
      <c r="ARG158" s="274"/>
      <c r="ARH158" s="273"/>
      <c r="ARI158" s="274"/>
      <c r="ARJ158" s="274"/>
      <c r="ARK158" s="274"/>
      <c r="ARL158" s="274"/>
      <c r="ARM158" s="274"/>
      <c r="ARN158" s="273"/>
      <c r="ARO158" s="274"/>
      <c r="ARP158" s="274"/>
      <c r="ARQ158" s="274"/>
      <c r="ARR158" s="274"/>
      <c r="ARS158" s="274"/>
      <c r="ART158" s="273"/>
      <c r="ARU158" s="274"/>
      <c r="ARV158" s="274"/>
      <c r="ARW158" s="274"/>
      <c r="ARX158" s="274"/>
      <c r="ARY158" s="274"/>
      <c r="ARZ158" s="273"/>
      <c r="ASA158" s="274"/>
      <c r="ASB158" s="274"/>
      <c r="ASC158" s="274"/>
      <c r="ASD158" s="274"/>
      <c r="ASE158" s="274"/>
      <c r="ASF158" s="273"/>
      <c r="ASG158" s="274"/>
      <c r="ASH158" s="274"/>
      <c r="ASI158" s="274"/>
      <c r="ASJ158" s="274"/>
      <c r="ASK158" s="274"/>
      <c r="ASL158" s="273"/>
      <c r="ASM158" s="274"/>
      <c r="ASN158" s="274"/>
      <c r="ASO158" s="274"/>
      <c r="ASP158" s="274"/>
      <c r="ASQ158" s="274"/>
      <c r="ASR158" s="273"/>
      <c r="ASS158" s="274"/>
      <c r="AST158" s="274"/>
      <c r="ASU158" s="274"/>
      <c r="ASV158" s="274"/>
      <c r="ASW158" s="274"/>
      <c r="ASX158" s="273"/>
      <c r="ASY158" s="274"/>
      <c r="ASZ158" s="274"/>
      <c r="ATA158" s="274"/>
      <c r="ATB158" s="274"/>
      <c r="ATC158" s="274"/>
      <c r="ATD158" s="273"/>
      <c r="ATE158" s="274"/>
      <c r="ATF158" s="274"/>
      <c r="ATG158" s="274"/>
      <c r="ATH158" s="274"/>
      <c r="ATI158" s="274"/>
      <c r="ATJ158" s="273"/>
      <c r="ATK158" s="274"/>
      <c r="ATL158" s="274"/>
      <c r="ATM158" s="274"/>
      <c r="ATN158" s="274"/>
      <c r="ATO158" s="274"/>
      <c r="ATP158" s="273"/>
      <c r="ATQ158" s="274"/>
      <c r="ATR158" s="274"/>
      <c r="ATS158" s="274"/>
      <c r="ATT158" s="274"/>
      <c r="ATU158" s="274"/>
      <c r="ATV158" s="273"/>
      <c r="ATW158" s="274"/>
      <c r="ATX158" s="274"/>
      <c r="ATY158" s="274"/>
      <c r="ATZ158" s="274"/>
      <c r="AUA158" s="274"/>
      <c r="AUB158" s="273"/>
      <c r="AUC158" s="274"/>
      <c r="AUD158" s="274"/>
      <c r="AUE158" s="274"/>
      <c r="AUF158" s="274"/>
      <c r="AUG158" s="274"/>
      <c r="AUH158" s="273"/>
      <c r="AUI158" s="274"/>
      <c r="AUJ158" s="274"/>
      <c r="AUK158" s="274"/>
      <c r="AUL158" s="274"/>
      <c r="AUM158" s="274"/>
      <c r="AUN158" s="273"/>
      <c r="AUO158" s="274"/>
      <c r="AUP158" s="274"/>
      <c r="AUQ158" s="274"/>
      <c r="AUR158" s="274"/>
      <c r="AUS158" s="274"/>
      <c r="AUT158" s="273"/>
      <c r="AUU158" s="274"/>
      <c r="AUV158" s="274"/>
      <c r="AUW158" s="274"/>
      <c r="AUX158" s="274"/>
      <c r="AUY158" s="274"/>
      <c r="AUZ158" s="273"/>
      <c r="AVA158" s="274"/>
      <c r="AVB158" s="274"/>
      <c r="AVC158" s="274"/>
      <c r="AVD158" s="274"/>
      <c r="AVE158" s="274"/>
      <c r="AVF158" s="273"/>
      <c r="AVG158" s="274"/>
      <c r="AVH158" s="274"/>
      <c r="AVI158" s="274"/>
      <c r="AVJ158" s="274"/>
      <c r="AVK158" s="274"/>
      <c r="AVL158" s="273"/>
      <c r="AVM158" s="274"/>
      <c r="AVN158" s="274"/>
      <c r="AVO158" s="274"/>
      <c r="AVP158" s="274"/>
      <c r="AVQ158" s="274"/>
      <c r="AVR158" s="273"/>
      <c r="AVS158" s="274"/>
      <c r="AVT158" s="274"/>
      <c r="AVU158" s="274"/>
      <c r="AVV158" s="274"/>
      <c r="AVW158" s="274"/>
      <c r="AVX158" s="273"/>
      <c r="AVY158" s="274"/>
      <c r="AVZ158" s="274"/>
      <c r="AWA158" s="274"/>
      <c r="AWB158" s="274"/>
      <c r="AWC158" s="274"/>
      <c r="AWD158" s="273"/>
      <c r="AWE158" s="274"/>
      <c r="AWF158" s="274"/>
      <c r="AWG158" s="274"/>
      <c r="AWH158" s="274"/>
      <c r="AWI158" s="274"/>
      <c r="AWJ158" s="273"/>
      <c r="AWK158" s="274"/>
      <c r="AWL158" s="274"/>
      <c r="AWM158" s="274"/>
      <c r="AWN158" s="274"/>
      <c r="AWO158" s="274"/>
      <c r="AWP158" s="273"/>
      <c r="AWQ158" s="274"/>
      <c r="AWR158" s="274"/>
      <c r="AWS158" s="274"/>
      <c r="AWT158" s="274"/>
      <c r="AWU158" s="274"/>
      <c r="AWV158" s="273"/>
      <c r="AWW158" s="274"/>
      <c r="AWX158" s="274"/>
      <c r="AWY158" s="274"/>
      <c r="AWZ158" s="274"/>
      <c r="AXA158" s="274"/>
      <c r="AXB158" s="273"/>
      <c r="AXC158" s="274"/>
      <c r="AXD158" s="274"/>
      <c r="AXE158" s="274"/>
      <c r="AXF158" s="274"/>
      <c r="AXG158" s="274"/>
      <c r="AXH158" s="273"/>
      <c r="AXI158" s="274"/>
      <c r="AXJ158" s="274"/>
      <c r="AXK158" s="274"/>
      <c r="AXL158" s="274"/>
      <c r="AXM158" s="274"/>
      <c r="AXN158" s="273"/>
      <c r="AXO158" s="274"/>
      <c r="AXP158" s="274"/>
      <c r="AXQ158" s="274"/>
      <c r="AXR158" s="274"/>
      <c r="AXS158" s="274"/>
      <c r="AXT158" s="273"/>
      <c r="AXU158" s="274"/>
      <c r="AXV158" s="274"/>
      <c r="AXW158" s="274"/>
      <c r="AXX158" s="274"/>
      <c r="AXY158" s="274"/>
      <c r="AXZ158" s="273"/>
      <c r="AYA158" s="274"/>
      <c r="AYB158" s="274"/>
      <c r="AYC158" s="274"/>
      <c r="AYD158" s="274"/>
      <c r="AYE158" s="274"/>
      <c r="AYF158" s="273"/>
      <c r="AYG158" s="274"/>
      <c r="AYH158" s="274"/>
      <c r="AYI158" s="274"/>
      <c r="AYJ158" s="274"/>
      <c r="AYK158" s="274"/>
      <c r="AYL158" s="273"/>
      <c r="AYM158" s="274"/>
      <c r="AYN158" s="274"/>
      <c r="AYO158" s="274"/>
      <c r="AYP158" s="274"/>
      <c r="AYQ158" s="274"/>
      <c r="AYR158" s="273"/>
      <c r="AYS158" s="274"/>
      <c r="AYT158" s="274"/>
      <c r="AYU158" s="274"/>
      <c r="AYV158" s="274"/>
      <c r="AYW158" s="274"/>
      <c r="AYX158" s="273"/>
      <c r="AYY158" s="274"/>
      <c r="AYZ158" s="274"/>
      <c r="AZA158" s="274"/>
      <c r="AZB158" s="274"/>
      <c r="AZC158" s="274"/>
      <c r="AZD158" s="273"/>
      <c r="AZE158" s="274"/>
      <c r="AZF158" s="274"/>
      <c r="AZG158" s="274"/>
      <c r="AZH158" s="274"/>
      <c r="AZI158" s="274"/>
      <c r="AZJ158" s="273"/>
      <c r="AZK158" s="274"/>
      <c r="AZL158" s="274"/>
      <c r="AZM158" s="274"/>
      <c r="AZN158" s="274"/>
      <c r="AZO158" s="274"/>
      <c r="AZP158" s="273"/>
      <c r="AZQ158" s="274"/>
      <c r="AZR158" s="274"/>
      <c r="AZS158" s="274"/>
      <c r="AZT158" s="274"/>
      <c r="AZU158" s="274"/>
      <c r="AZV158" s="273"/>
      <c r="AZW158" s="274"/>
      <c r="AZX158" s="274"/>
      <c r="AZY158" s="274"/>
      <c r="AZZ158" s="274"/>
      <c r="BAA158" s="274"/>
      <c r="BAB158" s="273"/>
      <c r="BAC158" s="274"/>
      <c r="BAD158" s="274"/>
      <c r="BAE158" s="274"/>
      <c r="BAF158" s="274"/>
      <c r="BAG158" s="274"/>
      <c r="BAH158" s="273"/>
      <c r="BAI158" s="274"/>
      <c r="BAJ158" s="274"/>
      <c r="BAK158" s="274"/>
      <c r="BAL158" s="274"/>
      <c r="BAM158" s="274"/>
      <c r="BAN158" s="273"/>
      <c r="BAO158" s="274"/>
      <c r="BAP158" s="274"/>
      <c r="BAQ158" s="274"/>
      <c r="BAR158" s="274"/>
      <c r="BAS158" s="274"/>
      <c r="BAT158" s="273"/>
      <c r="BAU158" s="274"/>
      <c r="BAV158" s="274"/>
      <c r="BAW158" s="274"/>
      <c r="BAX158" s="274"/>
      <c r="BAY158" s="274"/>
      <c r="BAZ158" s="273"/>
      <c r="BBA158" s="274"/>
      <c r="BBB158" s="274"/>
      <c r="BBC158" s="274"/>
      <c r="BBD158" s="274"/>
      <c r="BBE158" s="274"/>
      <c r="BBF158" s="273"/>
      <c r="BBG158" s="274"/>
      <c r="BBH158" s="274"/>
      <c r="BBI158" s="274"/>
      <c r="BBJ158" s="274"/>
      <c r="BBK158" s="274"/>
      <c r="BBL158" s="273"/>
      <c r="BBM158" s="274"/>
      <c r="BBN158" s="274"/>
      <c r="BBO158" s="274"/>
      <c r="BBP158" s="274"/>
      <c r="BBQ158" s="274"/>
      <c r="BBR158" s="273"/>
      <c r="BBS158" s="274"/>
      <c r="BBT158" s="274"/>
      <c r="BBU158" s="274"/>
      <c r="BBV158" s="274"/>
      <c r="BBW158" s="274"/>
      <c r="BBX158" s="273"/>
      <c r="BBY158" s="274"/>
      <c r="BBZ158" s="274"/>
      <c r="BCA158" s="274"/>
      <c r="BCB158" s="274"/>
      <c r="BCC158" s="274"/>
      <c r="BCD158" s="273"/>
      <c r="BCE158" s="274"/>
      <c r="BCF158" s="274"/>
      <c r="BCG158" s="274"/>
      <c r="BCH158" s="274"/>
      <c r="BCI158" s="274"/>
      <c r="BCJ158" s="273"/>
      <c r="BCK158" s="274"/>
      <c r="BCL158" s="274"/>
      <c r="BCM158" s="274"/>
      <c r="BCN158" s="274"/>
      <c r="BCO158" s="274"/>
      <c r="BCP158" s="273"/>
      <c r="BCQ158" s="274"/>
      <c r="BCR158" s="274"/>
      <c r="BCS158" s="274"/>
      <c r="BCT158" s="274"/>
      <c r="BCU158" s="274"/>
      <c r="BCV158" s="273"/>
      <c r="BCW158" s="274"/>
      <c r="BCX158" s="274"/>
      <c r="BCY158" s="274"/>
      <c r="BCZ158" s="274"/>
      <c r="BDA158" s="274"/>
      <c r="BDB158" s="273"/>
      <c r="BDC158" s="274"/>
      <c r="BDD158" s="274"/>
      <c r="BDE158" s="274"/>
      <c r="BDF158" s="274"/>
      <c r="BDG158" s="274"/>
      <c r="BDH158" s="273"/>
      <c r="BDI158" s="274"/>
      <c r="BDJ158" s="274"/>
      <c r="BDK158" s="274"/>
      <c r="BDL158" s="274"/>
      <c r="BDM158" s="274"/>
      <c r="BDN158" s="273"/>
      <c r="BDO158" s="274"/>
      <c r="BDP158" s="274"/>
      <c r="BDQ158" s="274"/>
      <c r="BDR158" s="274"/>
      <c r="BDS158" s="274"/>
      <c r="BDT158" s="273"/>
      <c r="BDU158" s="274"/>
      <c r="BDV158" s="274"/>
      <c r="BDW158" s="274"/>
      <c r="BDX158" s="274"/>
      <c r="BDY158" s="274"/>
      <c r="BDZ158" s="273"/>
      <c r="BEA158" s="274"/>
      <c r="BEB158" s="274"/>
      <c r="BEC158" s="274"/>
      <c r="BED158" s="274"/>
      <c r="BEE158" s="274"/>
      <c r="BEF158" s="273"/>
      <c r="BEG158" s="274"/>
      <c r="BEH158" s="274"/>
      <c r="BEI158" s="274"/>
      <c r="BEJ158" s="274"/>
      <c r="BEK158" s="274"/>
      <c r="BEL158" s="273"/>
      <c r="BEM158" s="274"/>
      <c r="BEN158" s="274"/>
      <c r="BEO158" s="274"/>
      <c r="BEP158" s="274"/>
      <c r="BEQ158" s="274"/>
      <c r="BER158" s="273"/>
      <c r="BES158" s="274"/>
      <c r="BET158" s="274"/>
      <c r="BEU158" s="274"/>
      <c r="BEV158" s="274"/>
      <c r="BEW158" s="274"/>
      <c r="BEX158" s="273"/>
      <c r="BEY158" s="274"/>
      <c r="BEZ158" s="274"/>
      <c r="BFA158" s="274"/>
      <c r="BFB158" s="274"/>
      <c r="BFC158" s="274"/>
      <c r="BFD158" s="273"/>
      <c r="BFE158" s="274"/>
      <c r="BFF158" s="274"/>
      <c r="BFG158" s="274"/>
      <c r="BFH158" s="274"/>
      <c r="BFI158" s="274"/>
      <c r="BFJ158" s="273"/>
      <c r="BFK158" s="274"/>
      <c r="BFL158" s="274"/>
      <c r="BFM158" s="274"/>
      <c r="BFN158" s="274"/>
      <c r="BFO158" s="274"/>
      <c r="BFP158" s="273"/>
      <c r="BFQ158" s="274"/>
      <c r="BFR158" s="274"/>
      <c r="BFS158" s="274"/>
      <c r="BFT158" s="274"/>
      <c r="BFU158" s="274"/>
      <c r="BFV158" s="273"/>
      <c r="BFW158" s="274"/>
      <c r="BFX158" s="274"/>
      <c r="BFY158" s="274"/>
      <c r="BFZ158" s="274"/>
      <c r="BGA158" s="274"/>
      <c r="BGB158" s="273"/>
      <c r="BGC158" s="274"/>
      <c r="BGD158" s="274"/>
      <c r="BGE158" s="274"/>
      <c r="BGF158" s="274"/>
      <c r="BGG158" s="274"/>
      <c r="BGH158" s="273"/>
      <c r="BGI158" s="274"/>
      <c r="BGJ158" s="274"/>
      <c r="BGK158" s="274"/>
      <c r="BGL158" s="274"/>
      <c r="BGM158" s="274"/>
      <c r="BGN158" s="273"/>
      <c r="BGO158" s="274"/>
      <c r="BGP158" s="274"/>
      <c r="BGQ158" s="274"/>
      <c r="BGR158" s="274"/>
      <c r="BGS158" s="274"/>
      <c r="BGT158" s="273"/>
      <c r="BGU158" s="274"/>
      <c r="BGV158" s="274"/>
      <c r="BGW158" s="274"/>
      <c r="BGX158" s="274"/>
      <c r="BGY158" s="274"/>
      <c r="BGZ158" s="273"/>
      <c r="BHA158" s="274"/>
      <c r="BHB158" s="274"/>
      <c r="BHC158" s="274"/>
      <c r="BHD158" s="274"/>
      <c r="BHE158" s="274"/>
      <c r="BHF158" s="273"/>
      <c r="BHG158" s="274"/>
      <c r="BHH158" s="274"/>
      <c r="BHI158" s="274"/>
      <c r="BHJ158" s="274"/>
      <c r="BHK158" s="274"/>
      <c r="BHL158" s="273"/>
      <c r="BHM158" s="274"/>
      <c r="BHN158" s="274"/>
      <c r="BHO158" s="274"/>
      <c r="BHP158" s="274"/>
      <c r="BHQ158" s="274"/>
      <c r="BHR158" s="273"/>
      <c r="BHS158" s="274"/>
      <c r="BHT158" s="274"/>
      <c r="BHU158" s="274"/>
      <c r="BHV158" s="274"/>
      <c r="BHW158" s="274"/>
      <c r="BHX158" s="273"/>
      <c r="BHY158" s="274"/>
      <c r="BHZ158" s="274"/>
      <c r="BIA158" s="274"/>
      <c r="BIB158" s="274"/>
      <c r="BIC158" s="274"/>
      <c r="BID158" s="273"/>
      <c r="BIE158" s="274"/>
      <c r="BIF158" s="274"/>
      <c r="BIG158" s="274"/>
      <c r="BIH158" s="274"/>
      <c r="BII158" s="274"/>
      <c r="BIJ158" s="273"/>
      <c r="BIK158" s="274"/>
      <c r="BIL158" s="274"/>
      <c r="BIM158" s="274"/>
      <c r="BIN158" s="274"/>
      <c r="BIO158" s="274"/>
      <c r="BIP158" s="273"/>
      <c r="BIQ158" s="274"/>
      <c r="BIR158" s="274"/>
      <c r="BIS158" s="274"/>
      <c r="BIT158" s="274"/>
      <c r="BIU158" s="274"/>
      <c r="BIV158" s="273"/>
      <c r="BIW158" s="274"/>
      <c r="BIX158" s="274"/>
      <c r="BIY158" s="274"/>
      <c r="BIZ158" s="274"/>
      <c r="BJA158" s="274"/>
      <c r="BJB158" s="273"/>
      <c r="BJC158" s="274"/>
      <c r="BJD158" s="274"/>
      <c r="BJE158" s="274"/>
      <c r="BJF158" s="274"/>
      <c r="BJG158" s="274"/>
      <c r="BJH158" s="273"/>
      <c r="BJI158" s="274"/>
      <c r="BJJ158" s="274"/>
      <c r="BJK158" s="274"/>
      <c r="BJL158" s="274"/>
      <c r="BJM158" s="274"/>
      <c r="BJN158" s="273"/>
      <c r="BJO158" s="274"/>
      <c r="BJP158" s="274"/>
      <c r="BJQ158" s="274"/>
      <c r="BJR158" s="274"/>
      <c r="BJS158" s="274"/>
      <c r="BJT158" s="273"/>
      <c r="BJU158" s="274"/>
      <c r="BJV158" s="274"/>
      <c r="BJW158" s="274"/>
      <c r="BJX158" s="274"/>
      <c r="BJY158" s="274"/>
      <c r="BJZ158" s="273"/>
      <c r="BKA158" s="274"/>
      <c r="BKB158" s="274"/>
      <c r="BKC158" s="274"/>
      <c r="BKD158" s="274"/>
      <c r="BKE158" s="274"/>
      <c r="BKF158" s="273"/>
      <c r="BKG158" s="274"/>
      <c r="BKH158" s="274"/>
      <c r="BKI158" s="274"/>
      <c r="BKJ158" s="274"/>
      <c r="BKK158" s="274"/>
      <c r="BKL158" s="273"/>
      <c r="BKM158" s="274"/>
      <c r="BKN158" s="274"/>
      <c r="BKO158" s="274"/>
      <c r="BKP158" s="274"/>
      <c r="BKQ158" s="274"/>
      <c r="BKR158" s="273"/>
      <c r="BKS158" s="274"/>
      <c r="BKT158" s="274"/>
      <c r="BKU158" s="274"/>
      <c r="BKV158" s="274"/>
      <c r="BKW158" s="274"/>
      <c r="BKX158" s="273"/>
      <c r="BKY158" s="274"/>
      <c r="BKZ158" s="274"/>
      <c r="BLA158" s="274"/>
      <c r="BLB158" s="274"/>
      <c r="BLC158" s="274"/>
      <c r="BLD158" s="273"/>
      <c r="BLE158" s="274"/>
      <c r="BLF158" s="274"/>
      <c r="BLG158" s="274"/>
      <c r="BLH158" s="274"/>
      <c r="BLI158" s="274"/>
      <c r="BLJ158" s="273"/>
      <c r="BLK158" s="274"/>
      <c r="BLL158" s="274"/>
      <c r="BLM158" s="274"/>
      <c r="BLN158" s="274"/>
      <c r="BLO158" s="274"/>
      <c r="BLP158" s="273"/>
      <c r="BLQ158" s="274"/>
      <c r="BLR158" s="274"/>
      <c r="BLS158" s="274"/>
      <c r="BLT158" s="274"/>
      <c r="BLU158" s="274"/>
      <c r="BLV158" s="273"/>
      <c r="BLW158" s="274"/>
      <c r="BLX158" s="274"/>
      <c r="BLY158" s="274"/>
      <c r="BLZ158" s="274"/>
      <c r="BMA158" s="274"/>
      <c r="BMB158" s="273"/>
      <c r="BMC158" s="274"/>
      <c r="BMD158" s="274"/>
      <c r="BME158" s="274"/>
      <c r="BMF158" s="274"/>
      <c r="BMG158" s="274"/>
      <c r="BMH158" s="273"/>
      <c r="BMI158" s="274"/>
      <c r="BMJ158" s="274"/>
      <c r="BMK158" s="274"/>
      <c r="BML158" s="274"/>
      <c r="BMM158" s="274"/>
      <c r="BMN158" s="273"/>
      <c r="BMO158" s="274"/>
      <c r="BMP158" s="274"/>
      <c r="BMQ158" s="274"/>
      <c r="BMR158" s="274"/>
      <c r="BMS158" s="274"/>
      <c r="BMT158" s="273"/>
      <c r="BMU158" s="274"/>
      <c r="BMV158" s="274"/>
      <c r="BMW158" s="274"/>
      <c r="BMX158" s="274"/>
      <c r="BMY158" s="274"/>
      <c r="BMZ158" s="273"/>
      <c r="BNA158" s="274"/>
      <c r="BNB158" s="274"/>
      <c r="BNC158" s="274"/>
      <c r="BND158" s="274"/>
      <c r="BNE158" s="274"/>
      <c r="BNF158" s="273"/>
      <c r="BNG158" s="274"/>
      <c r="BNH158" s="274"/>
      <c r="BNI158" s="274"/>
      <c r="BNJ158" s="274"/>
      <c r="BNK158" s="274"/>
      <c r="BNL158" s="273"/>
      <c r="BNM158" s="274"/>
      <c r="BNN158" s="274"/>
      <c r="BNO158" s="274"/>
      <c r="BNP158" s="274"/>
      <c r="BNQ158" s="274"/>
      <c r="BNR158" s="273"/>
      <c r="BNS158" s="274"/>
      <c r="BNT158" s="274"/>
      <c r="BNU158" s="274"/>
      <c r="BNV158" s="274"/>
      <c r="BNW158" s="274"/>
      <c r="BNX158" s="273"/>
      <c r="BNY158" s="274"/>
      <c r="BNZ158" s="274"/>
      <c r="BOA158" s="274"/>
      <c r="BOB158" s="274"/>
      <c r="BOC158" s="274"/>
      <c r="BOD158" s="273"/>
      <c r="BOE158" s="274"/>
      <c r="BOF158" s="274"/>
      <c r="BOG158" s="274"/>
      <c r="BOH158" s="274"/>
      <c r="BOI158" s="274"/>
      <c r="BOJ158" s="273"/>
      <c r="BOK158" s="274"/>
      <c r="BOL158" s="274"/>
      <c r="BOM158" s="274"/>
      <c r="BON158" s="274"/>
      <c r="BOO158" s="274"/>
      <c r="BOP158" s="273"/>
      <c r="BOQ158" s="274"/>
      <c r="BOR158" s="274"/>
      <c r="BOS158" s="274"/>
      <c r="BOT158" s="274"/>
      <c r="BOU158" s="274"/>
      <c r="BOV158" s="273"/>
      <c r="BOW158" s="274"/>
      <c r="BOX158" s="274"/>
      <c r="BOY158" s="274"/>
      <c r="BOZ158" s="274"/>
      <c r="BPA158" s="274"/>
      <c r="BPB158" s="273"/>
      <c r="BPC158" s="274"/>
      <c r="BPD158" s="274"/>
      <c r="BPE158" s="274"/>
      <c r="BPF158" s="274"/>
      <c r="BPG158" s="274"/>
      <c r="BPH158" s="273"/>
      <c r="BPI158" s="274"/>
      <c r="BPJ158" s="274"/>
      <c r="BPK158" s="274"/>
      <c r="BPL158" s="274"/>
      <c r="BPM158" s="274"/>
      <c r="BPN158" s="273"/>
      <c r="BPO158" s="274"/>
      <c r="BPP158" s="274"/>
      <c r="BPQ158" s="274"/>
      <c r="BPR158" s="274"/>
      <c r="BPS158" s="274"/>
      <c r="BPT158" s="273"/>
      <c r="BPU158" s="274"/>
      <c r="BPV158" s="274"/>
      <c r="BPW158" s="274"/>
      <c r="BPX158" s="274"/>
      <c r="BPY158" s="274"/>
      <c r="BPZ158" s="273"/>
      <c r="BQA158" s="274"/>
      <c r="BQB158" s="274"/>
      <c r="BQC158" s="274"/>
      <c r="BQD158" s="274"/>
      <c r="BQE158" s="274"/>
      <c r="BQF158" s="273"/>
      <c r="BQG158" s="274"/>
      <c r="BQH158" s="274"/>
      <c r="BQI158" s="274"/>
      <c r="BQJ158" s="274"/>
      <c r="BQK158" s="274"/>
      <c r="BQL158" s="273"/>
      <c r="BQM158" s="274"/>
      <c r="BQN158" s="274"/>
      <c r="BQO158" s="274"/>
      <c r="BQP158" s="274"/>
      <c r="BQQ158" s="274"/>
      <c r="BQR158" s="273"/>
      <c r="BQS158" s="274"/>
      <c r="BQT158" s="274"/>
      <c r="BQU158" s="274"/>
      <c r="BQV158" s="274"/>
      <c r="BQW158" s="274"/>
      <c r="BQX158" s="273"/>
      <c r="BQY158" s="274"/>
      <c r="BQZ158" s="274"/>
      <c r="BRA158" s="274"/>
      <c r="BRB158" s="274"/>
      <c r="BRC158" s="274"/>
      <c r="BRD158" s="273"/>
      <c r="BRE158" s="274"/>
      <c r="BRF158" s="274"/>
      <c r="BRG158" s="274"/>
      <c r="BRH158" s="274"/>
      <c r="BRI158" s="274"/>
      <c r="BRJ158" s="273"/>
      <c r="BRK158" s="274"/>
      <c r="BRL158" s="274"/>
      <c r="BRM158" s="274"/>
      <c r="BRN158" s="274"/>
      <c r="BRO158" s="274"/>
      <c r="BRP158" s="273"/>
      <c r="BRQ158" s="274"/>
      <c r="BRR158" s="274"/>
      <c r="BRS158" s="274"/>
      <c r="BRT158" s="274"/>
      <c r="BRU158" s="274"/>
      <c r="BRV158" s="273"/>
      <c r="BRW158" s="274"/>
      <c r="BRX158" s="274"/>
      <c r="BRY158" s="274"/>
      <c r="BRZ158" s="274"/>
      <c r="BSA158" s="274"/>
      <c r="BSB158" s="273"/>
      <c r="BSC158" s="274"/>
      <c r="BSD158" s="274"/>
      <c r="BSE158" s="274"/>
      <c r="BSF158" s="274"/>
      <c r="BSG158" s="274"/>
      <c r="BSH158" s="273"/>
      <c r="BSI158" s="274"/>
      <c r="BSJ158" s="274"/>
      <c r="BSK158" s="274"/>
      <c r="BSL158" s="274"/>
      <c r="BSM158" s="274"/>
      <c r="BSN158" s="273"/>
      <c r="BSO158" s="274"/>
      <c r="BSP158" s="274"/>
      <c r="BSQ158" s="274"/>
      <c r="BSR158" s="274"/>
      <c r="BSS158" s="274"/>
      <c r="BST158" s="273"/>
      <c r="BSU158" s="274"/>
      <c r="BSV158" s="274"/>
      <c r="BSW158" s="274"/>
      <c r="BSX158" s="274"/>
      <c r="BSY158" s="274"/>
      <c r="BSZ158" s="273"/>
      <c r="BTA158" s="274"/>
      <c r="BTB158" s="274"/>
      <c r="BTC158" s="274"/>
      <c r="BTD158" s="274"/>
      <c r="BTE158" s="274"/>
      <c r="BTF158" s="273"/>
      <c r="BTG158" s="274"/>
      <c r="BTH158" s="274"/>
      <c r="BTI158" s="274"/>
      <c r="BTJ158" s="274"/>
      <c r="BTK158" s="274"/>
      <c r="BTL158" s="273"/>
      <c r="BTM158" s="274"/>
      <c r="BTN158" s="274"/>
      <c r="BTO158" s="274"/>
      <c r="BTP158" s="274"/>
      <c r="BTQ158" s="274"/>
      <c r="BTR158" s="273"/>
      <c r="BTS158" s="274"/>
      <c r="BTT158" s="274"/>
      <c r="BTU158" s="274"/>
      <c r="BTV158" s="274"/>
      <c r="BTW158" s="274"/>
      <c r="BTX158" s="273"/>
      <c r="BTY158" s="274"/>
      <c r="BTZ158" s="274"/>
      <c r="BUA158" s="274"/>
      <c r="BUB158" s="274"/>
      <c r="BUC158" s="274"/>
      <c r="BUD158" s="273"/>
      <c r="BUE158" s="274"/>
      <c r="BUF158" s="274"/>
      <c r="BUG158" s="274"/>
      <c r="BUH158" s="274"/>
      <c r="BUI158" s="274"/>
      <c r="BUJ158" s="273"/>
      <c r="BUK158" s="274"/>
      <c r="BUL158" s="274"/>
      <c r="BUM158" s="274"/>
      <c r="BUN158" s="274"/>
      <c r="BUO158" s="274"/>
      <c r="BUP158" s="273"/>
      <c r="BUQ158" s="274"/>
      <c r="BUR158" s="274"/>
      <c r="BUS158" s="274"/>
      <c r="BUT158" s="274"/>
      <c r="BUU158" s="274"/>
      <c r="BUV158" s="273"/>
      <c r="BUW158" s="274"/>
      <c r="BUX158" s="274"/>
      <c r="BUY158" s="274"/>
      <c r="BUZ158" s="274"/>
      <c r="BVA158" s="274"/>
      <c r="BVB158" s="273"/>
      <c r="BVC158" s="274"/>
      <c r="BVD158" s="274"/>
      <c r="BVE158" s="274"/>
      <c r="BVF158" s="274"/>
      <c r="BVG158" s="274"/>
      <c r="BVH158" s="273"/>
      <c r="BVI158" s="274"/>
      <c r="BVJ158" s="274"/>
      <c r="BVK158" s="274"/>
      <c r="BVL158" s="274"/>
      <c r="BVM158" s="274"/>
      <c r="BVN158" s="273"/>
      <c r="BVO158" s="274"/>
      <c r="BVP158" s="274"/>
      <c r="BVQ158" s="274"/>
      <c r="BVR158" s="274"/>
      <c r="BVS158" s="274"/>
      <c r="BVT158" s="273"/>
      <c r="BVU158" s="274"/>
      <c r="BVV158" s="274"/>
      <c r="BVW158" s="274"/>
      <c r="BVX158" s="274"/>
      <c r="BVY158" s="274"/>
      <c r="BVZ158" s="273"/>
      <c r="BWA158" s="274"/>
      <c r="BWB158" s="274"/>
      <c r="BWC158" s="274"/>
      <c r="BWD158" s="274"/>
      <c r="BWE158" s="274"/>
      <c r="BWF158" s="273"/>
      <c r="BWG158" s="274"/>
      <c r="BWH158" s="274"/>
      <c r="BWI158" s="274"/>
      <c r="BWJ158" s="274"/>
      <c r="BWK158" s="274"/>
      <c r="BWL158" s="273"/>
      <c r="BWM158" s="274"/>
      <c r="BWN158" s="274"/>
      <c r="BWO158" s="274"/>
      <c r="BWP158" s="274"/>
      <c r="BWQ158" s="274"/>
      <c r="BWR158" s="273"/>
      <c r="BWS158" s="274"/>
      <c r="BWT158" s="274"/>
      <c r="BWU158" s="274"/>
      <c r="BWV158" s="274"/>
      <c r="BWW158" s="274"/>
      <c r="BWX158" s="273"/>
      <c r="BWY158" s="274"/>
      <c r="BWZ158" s="274"/>
      <c r="BXA158" s="274"/>
      <c r="BXB158" s="274"/>
      <c r="BXC158" s="274"/>
      <c r="BXD158" s="273"/>
      <c r="BXE158" s="274"/>
      <c r="BXF158" s="274"/>
      <c r="BXG158" s="274"/>
      <c r="BXH158" s="274"/>
      <c r="BXI158" s="274"/>
      <c r="BXJ158" s="273"/>
      <c r="BXK158" s="274"/>
      <c r="BXL158" s="274"/>
      <c r="BXM158" s="274"/>
      <c r="BXN158" s="274"/>
      <c r="BXO158" s="274"/>
      <c r="BXP158" s="273"/>
      <c r="BXQ158" s="274"/>
      <c r="BXR158" s="274"/>
      <c r="BXS158" s="274"/>
      <c r="BXT158" s="274"/>
      <c r="BXU158" s="274"/>
      <c r="BXV158" s="273"/>
      <c r="BXW158" s="274"/>
      <c r="BXX158" s="274"/>
      <c r="BXY158" s="274"/>
      <c r="BXZ158" s="274"/>
      <c r="BYA158" s="274"/>
      <c r="BYB158" s="273"/>
      <c r="BYC158" s="274"/>
      <c r="BYD158" s="274"/>
      <c r="BYE158" s="274"/>
      <c r="BYF158" s="274"/>
      <c r="BYG158" s="274"/>
      <c r="BYH158" s="273"/>
      <c r="BYI158" s="274"/>
      <c r="BYJ158" s="274"/>
      <c r="BYK158" s="274"/>
      <c r="BYL158" s="274"/>
      <c r="BYM158" s="274"/>
      <c r="BYN158" s="273"/>
      <c r="BYO158" s="274"/>
      <c r="BYP158" s="274"/>
      <c r="BYQ158" s="274"/>
      <c r="BYR158" s="274"/>
      <c r="BYS158" s="274"/>
      <c r="BYT158" s="273"/>
      <c r="BYU158" s="274"/>
      <c r="BYV158" s="274"/>
      <c r="BYW158" s="274"/>
      <c r="BYX158" s="274"/>
      <c r="BYY158" s="274"/>
      <c r="BYZ158" s="273"/>
      <c r="BZA158" s="274"/>
      <c r="BZB158" s="274"/>
      <c r="BZC158" s="274"/>
      <c r="BZD158" s="274"/>
      <c r="BZE158" s="274"/>
      <c r="BZF158" s="273"/>
      <c r="BZG158" s="274"/>
      <c r="BZH158" s="274"/>
      <c r="BZI158" s="274"/>
      <c r="BZJ158" s="274"/>
      <c r="BZK158" s="274"/>
      <c r="BZL158" s="273"/>
      <c r="BZM158" s="274"/>
      <c r="BZN158" s="274"/>
      <c r="BZO158" s="274"/>
      <c r="BZP158" s="274"/>
      <c r="BZQ158" s="274"/>
      <c r="BZR158" s="273"/>
      <c r="BZS158" s="274"/>
      <c r="BZT158" s="274"/>
      <c r="BZU158" s="274"/>
      <c r="BZV158" s="274"/>
      <c r="BZW158" s="274"/>
      <c r="BZX158" s="273"/>
      <c r="BZY158" s="274"/>
      <c r="BZZ158" s="274"/>
      <c r="CAA158" s="274"/>
      <c r="CAB158" s="274"/>
      <c r="CAC158" s="274"/>
      <c r="CAD158" s="273"/>
      <c r="CAE158" s="274"/>
      <c r="CAF158" s="274"/>
      <c r="CAG158" s="274"/>
      <c r="CAH158" s="274"/>
      <c r="CAI158" s="274"/>
      <c r="CAJ158" s="273"/>
      <c r="CAK158" s="274"/>
      <c r="CAL158" s="274"/>
      <c r="CAM158" s="274"/>
      <c r="CAN158" s="274"/>
      <c r="CAO158" s="274"/>
      <c r="CAP158" s="273"/>
      <c r="CAQ158" s="274"/>
      <c r="CAR158" s="274"/>
      <c r="CAS158" s="274"/>
      <c r="CAT158" s="274"/>
      <c r="CAU158" s="274"/>
      <c r="CAV158" s="273"/>
      <c r="CAW158" s="274"/>
      <c r="CAX158" s="274"/>
      <c r="CAY158" s="274"/>
      <c r="CAZ158" s="274"/>
      <c r="CBA158" s="274"/>
      <c r="CBB158" s="273"/>
      <c r="CBC158" s="274"/>
      <c r="CBD158" s="274"/>
      <c r="CBE158" s="274"/>
      <c r="CBF158" s="274"/>
      <c r="CBG158" s="274"/>
      <c r="CBH158" s="273"/>
      <c r="CBI158" s="274"/>
      <c r="CBJ158" s="274"/>
      <c r="CBK158" s="274"/>
      <c r="CBL158" s="274"/>
      <c r="CBM158" s="274"/>
      <c r="CBN158" s="273"/>
      <c r="CBO158" s="274"/>
      <c r="CBP158" s="274"/>
      <c r="CBQ158" s="274"/>
      <c r="CBR158" s="274"/>
      <c r="CBS158" s="274"/>
      <c r="CBT158" s="273"/>
      <c r="CBU158" s="274"/>
      <c r="CBV158" s="274"/>
      <c r="CBW158" s="274"/>
      <c r="CBX158" s="274"/>
      <c r="CBY158" s="274"/>
      <c r="CBZ158" s="273"/>
      <c r="CCA158" s="274"/>
      <c r="CCB158" s="274"/>
      <c r="CCC158" s="274"/>
      <c r="CCD158" s="274"/>
      <c r="CCE158" s="274"/>
      <c r="CCF158" s="273"/>
      <c r="CCG158" s="274"/>
      <c r="CCH158" s="274"/>
      <c r="CCI158" s="274"/>
      <c r="CCJ158" s="274"/>
      <c r="CCK158" s="274"/>
      <c r="CCL158" s="273"/>
      <c r="CCM158" s="274"/>
      <c r="CCN158" s="274"/>
      <c r="CCO158" s="274"/>
      <c r="CCP158" s="274"/>
      <c r="CCQ158" s="274"/>
      <c r="CCR158" s="273"/>
      <c r="CCS158" s="274"/>
      <c r="CCT158" s="274"/>
      <c r="CCU158" s="274"/>
      <c r="CCV158" s="274"/>
      <c r="CCW158" s="274"/>
      <c r="CCX158" s="273"/>
      <c r="CCY158" s="274"/>
      <c r="CCZ158" s="274"/>
      <c r="CDA158" s="274"/>
      <c r="CDB158" s="274"/>
      <c r="CDC158" s="274"/>
      <c r="CDD158" s="273"/>
      <c r="CDE158" s="274"/>
      <c r="CDF158" s="274"/>
      <c r="CDG158" s="274"/>
      <c r="CDH158" s="274"/>
      <c r="CDI158" s="274"/>
      <c r="CDJ158" s="273"/>
      <c r="CDK158" s="274"/>
      <c r="CDL158" s="274"/>
      <c r="CDM158" s="274"/>
      <c r="CDN158" s="274"/>
      <c r="CDO158" s="274"/>
      <c r="CDP158" s="273"/>
      <c r="CDQ158" s="274"/>
      <c r="CDR158" s="274"/>
      <c r="CDS158" s="274"/>
      <c r="CDT158" s="274"/>
      <c r="CDU158" s="274"/>
      <c r="CDV158" s="273"/>
      <c r="CDW158" s="274"/>
      <c r="CDX158" s="274"/>
      <c r="CDY158" s="274"/>
      <c r="CDZ158" s="274"/>
      <c r="CEA158" s="274"/>
      <c r="CEB158" s="273"/>
      <c r="CEC158" s="274"/>
      <c r="CED158" s="274"/>
      <c r="CEE158" s="274"/>
      <c r="CEF158" s="274"/>
      <c r="CEG158" s="274"/>
      <c r="CEH158" s="273"/>
      <c r="CEI158" s="274"/>
      <c r="CEJ158" s="274"/>
      <c r="CEK158" s="274"/>
      <c r="CEL158" s="274"/>
      <c r="CEM158" s="274"/>
      <c r="CEN158" s="273"/>
      <c r="CEO158" s="274"/>
      <c r="CEP158" s="274"/>
      <c r="CEQ158" s="274"/>
      <c r="CER158" s="274"/>
      <c r="CES158" s="274"/>
      <c r="CET158" s="273"/>
      <c r="CEU158" s="274"/>
      <c r="CEV158" s="274"/>
      <c r="CEW158" s="274"/>
      <c r="CEX158" s="274"/>
      <c r="CEY158" s="274"/>
      <c r="CEZ158" s="273"/>
      <c r="CFA158" s="274"/>
      <c r="CFB158" s="274"/>
      <c r="CFC158" s="274"/>
      <c r="CFD158" s="274"/>
      <c r="CFE158" s="274"/>
      <c r="CFF158" s="273"/>
      <c r="CFG158" s="274"/>
      <c r="CFH158" s="274"/>
      <c r="CFI158" s="274"/>
      <c r="CFJ158" s="274"/>
      <c r="CFK158" s="274"/>
      <c r="CFL158" s="273"/>
      <c r="CFM158" s="274"/>
      <c r="CFN158" s="274"/>
      <c r="CFO158" s="274"/>
      <c r="CFP158" s="274"/>
      <c r="CFQ158" s="274"/>
      <c r="CFR158" s="273"/>
      <c r="CFS158" s="274"/>
      <c r="CFT158" s="274"/>
      <c r="CFU158" s="274"/>
      <c r="CFV158" s="274"/>
      <c r="CFW158" s="274"/>
      <c r="CFX158" s="273"/>
      <c r="CFY158" s="274"/>
      <c r="CFZ158" s="274"/>
      <c r="CGA158" s="274"/>
      <c r="CGB158" s="274"/>
      <c r="CGC158" s="274"/>
      <c r="CGD158" s="273"/>
      <c r="CGE158" s="274"/>
      <c r="CGF158" s="274"/>
      <c r="CGG158" s="274"/>
      <c r="CGH158" s="274"/>
      <c r="CGI158" s="274"/>
      <c r="CGJ158" s="273"/>
      <c r="CGK158" s="274"/>
      <c r="CGL158" s="274"/>
      <c r="CGM158" s="274"/>
      <c r="CGN158" s="274"/>
      <c r="CGO158" s="274"/>
      <c r="CGP158" s="273"/>
      <c r="CGQ158" s="274"/>
      <c r="CGR158" s="274"/>
      <c r="CGS158" s="274"/>
      <c r="CGT158" s="274"/>
      <c r="CGU158" s="274"/>
      <c r="CGV158" s="273"/>
      <c r="CGW158" s="274"/>
      <c r="CGX158" s="274"/>
      <c r="CGY158" s="274"/>
      <c r="CGZ158" s="274"/>
      <c r="CHA158" s="274"/>
      <c r="CHB158" s="273"/>
      <c r="CHC158" s="274"/>
      <c r="CHD158" s="274"/>
      <c r="CHE158" s="274"/>
      <c r="CHF158" s="274"/>
      <c r="CHG158" s="274"/>
      <c r="CHH158" s="273"/>
      <c r="CHI158" s="274"/>
      <c r="CHJ158" s="274"/>
      <c r="CHK158" s="274"/>
      <c r="CHL158" s="274"/>
      <c r="CHM158" s="274"/>
      <c r="CHN158" s="273"/>
      <c r="CHO158" s="274"/>
      <c r="CHP158" s="274"/>
      <c r="CHQ158" s="274"/>
      <c r="CHR158" s="274"/>
      <c r="CHS158" s="274"/>
      <c r="CHT158" s="273"/>
      <c r="CHU158" s="274"/>
      <c r="CHV158" s="274"/>
      <c r="CHW158" s="274"/>
      <c r="CHX158" s="274"/>
      <c r="CHY158" s="274"/>
      <c r="CHZ158" s="273"/>
      <c r="CIA158" s="274"/>
      <c r="CIB158" s="274"/>
      <c r="CIC158" s="274"/>
      <c r="CID158" s="274"/>
      <c r="CIE158" s="274"/>
      <c r="CIF158" s="273"/>
      <c r="CIG158" s="274"/>
      <c r="CIH158" s="274"/>
      <c r="CII158" s="274"/>
      <c r="CIJ158" s="274"/>
      <c r="CIK158" s="274"/>
      <c r="CIL158" s="273"/>
      <c r="CIM158" s="274"/>
      <c r="CIN158" s="274"/>
      <c r="CIO158" s="274"/>
      <c r="CIP158" s="274"/>
      <c r="CIQ158" s="274"/>
      <c r="CIR158" s="273"/>
      <c r="CIS158" s="274"/>
      <c r="CIT158" s="274"/>
      <c r="CIU158" s="274"/>
      <c r="CIV158" s="274"/>
      <c r="CIW158" s="274"/>
      <c r="CIX158" s="273"/>
      <c r="CIY158" s="274"/>
      <c r="CIZ158" s="274"/>
      <c r="CJA158" s="274"/>
      <c r="CJB158" s="274"/>
      <c r="CJC158" s="274"/>
      <c r="CJD158" s="273"/>
      <c r="CJE158" s="274"/>
      <c r="CJF158" s="274"/>
      <c r="CJG158" s="274"/>
      <c r="CJH158" s="274"/>
      <c r="CJI158" s="274"/>
      <c r="CJJ158" s="273"/>
      <c r="CJK158" s="274"/>
      <c r="CJL158" s="274"/>
      <c r="CJM158" s="274"/>
      <c r="CJN158" s="274"/>
      <c r="CJO158" s="274"/>
      <c r="CJP158" s="273"/>
      <c r="CJQ158" s="274"/>
      <c r="CJR158" s="274"/>
      <c r="CJS158" s="274"/>
      <c r="CJT158" s="274"/>
      <c r="CJU158" s="274"/>
      <c r="CJV158" s="273"/>
      <c r="CJW158" s="274"/>
      <c r="CJX158" s="274"/>
      <c r="CJY158" s="274"/>
      <c r="CJZ158" s="274"/>
      <c r="CKA158" s="274"/>
      <c r="CKB158" s="273"/>
      <c r="CKC158" s="274"/>
      <c r="CKD158" s="274"/>
      <c r="CKE158" s="274"/>
      <c r="CKF158" s="274"/>
      <c r="CKG158" s="274"/>
      <c r="CKH158" s="273"/>
      <c r="CKI158" s="274"/>
      <c r="CKJ158" s="274"/>
      <c r="CKK158" s="274"/>
      <c r="CKL158" s="274"/>
      <c r="CKM158" s="274"/>
      <c r="CKN158" s="273"/>
      <c r="CKO158" s="274"/>
      <c r="CKP158" s="274"/>
      <c r="CKQ158" s="274"/>
      <c r="CKR158" s="274"/>
      <c r="CKS158" s="274"/>
      <c r="CKT158" s="273"/>
      <c r="CKU158" s="274"/>
      <c r="CKV158" s="274"/>
      <c r="CKW158" s="274"/>
      <c r="CKX158" s="274"/>
      <c r="CKY158" s="274"/>
      <c r="CKZ158" s="273"/>
      <c r="CLA158" s="274"/>
      <c r="CLB158" s="274"/>
      <c r="CLC158" s="274"/>
      <c r="CLD158" s="274"/>
      <c r="CLE158" s="274"/>
      <c r="CLF158" s="273"/>
      <c r="CLG158" s="274"/>
      <c r="CLH158" s="274"/>
      <c r="CLI158" s="274"/>
      <c r="CLJ158" s="274"/>
      <c r="CLK158" s="274"/>
      <c r="CLL158" s="273"/>
      <c r="CLM158" s="274"/>
      <c r="CLN158" s="274"/>
      <c r="CLO158" s="274"/>
      <c r="CLP158" s="274"/>
      <c r="CLQ158" s="274"/>
      <c r="CLR158" s="273"/>
      <c r="CLS158" s="274"/>
      <c r="CLT158" s="274"/>
      <c r="CLU158" s="274"/>
      <c r="CLV158" s="274"/>
      <c r="CLW158" s="274"/>
      <c r="CLX158" s="273"/>
      <c r="CLY158" s="274"/>
      <c r="CLZ158" s="274"/>
      <c r="CMA158" s="274"/>
      <c r="CMB158" s="274"/>
      <c r="CMC158" s="274"/>
      <c r="CMD158" s="273"/>
      <c r="CME158" s="274"/>
      <c r="CMF158" s="274"/>
      <c r="CMG158" s="274"/>
      <c r="CMH158" s="274"/>
      <c r="CMI158" s="274"/>
      <c r="CMJ158" s="273"/>
      <c r="CMK158" s="274"/>
      <c r="CML158" s="274"/>
      <c r="CMM158" s="274"/>
      <c r="CMN158" s="274"/>
      <c r="CMO158" s="274"/>
      <c r="CMP158" s="273"/>
      <c r="CMQ158" s="274"/>
      <c r="CMR158" s="274"/>
      <c r="CMS158" s="274"/>
      <c r="CMT158" s="274"/>
      <c r="CMU158" s="274"/>
      <c r="CMV158" s="273"/>
      <c r="CMW158" s="274"/>
      <c r="CMX158" s="274"/>
      <c r="CMY158" s="274"/>
      <c r="CMZ158" s="274"/>
      <c r="CNA158" s="274"/>
      <c r="CNB158" s="273"/>
      <c r="CNC158" s="274"/>
      <c r="CND158" s="274"/>
      <c r="CNE158" s="274"/>
      <c r="CNF158" s="274"/>
      <c r="CNG158" s="274"/>
      <c r="CNH158" s="273"/>
      <c r="CNI158" s="274"/>
      <c r="CNJ158" s="274"/>
      <c r="CNK158" s="274"/>
      <c r="CNL158" s="274"/>
      <c r="CNM158" s="274"/>
      <c r="CNN158" s="273"/>
      <c r="CNO158" s="274"/>
      <c r="CNP158" s="274"/>
      <c r="CNQ158" s="274"/>
      <c r="CNR158" s="274"/>
      <c r="CNS158" s="274"/>
      <c r="CNT158" s="273"/>
      <c r="CNU158" s="274"/>
      <c r="CNV158" s="274"/>
      <c r="CNW158" s="274"/>
      <c r="CNX158" s="274"/>
      <c r="CNY158" s="274"/>
      <c r="CNZ158" s="273"/>
      <c r="COA158" s="274"/>
      <c r="COB158" s="274"/>
      <c r="COC158" s="274"/>
      <c r="COD158" s="274"/>
      <c r="COE158" s="274"/>
      <c r="COF158" s="273"/>
      <c r="COG158" s="274"/>
      <c r="COH158" s="274"/>
      <c r="COI158" s="274"/>
      <c r="COJ158" s="274"/>
      <c r="COK158" s="274"/>
      <c r="COL158" s="273"/>
      <c r="COM158" s="274"/>
      <c r="CON158" s="274"/>
      <c r="COO158" s="274"/>
      <c r="COP158" s="274"/>
      <c r="COQ158" s="274"/>
      <c r="COR158" s="273"/>
      <c r="COS158" s="274"/>
      <c r="COT158" s="274"/>
      <c r="COU158" s="274"/>
      <c r="COV158" s="274"/>
      <c r="COW158" s="274"/>
      <c r="COX158" s="273"/>
      <c r="COY158" s="274"/>
      <c r="COZ158" s="274"/>
      <c r="CPA158" s="274"/>
      <c r="CPB158" s="274"/>
      <c r="CPC158" s="274"/>
      <c r="CPD158" s="273"/>
      <c r="CPE158" s="274"/>
      <c r="CPF158" s="274"/>
      <c r="CPG158" s="274"/>
      <c r="CPH158" s="274"/>
      <c r="CPI158" s="274"/>
      <c r="CPJ158" s="273"/>
      <c r="CPK158" s="274"/>
      <c r="CPL158" s="274"/>
      <c r="CPM158" s="274"/>
      <c r="CPN158" s="274"/>
      <c r="CPO158" s="274"/>
      <c r="CPP158" s="273"/>
      <c r="CPQ158" s="274"/>
      <c r="CPR158" s="274"/>
      <c r="CPS158" s="274"/>
      <c r="CPT158" s="274"/>
      <c r="CPU158" s="274"/>
      <c r="CPV158" s="273"/>
      <c r="CPW158" s="274"/>
      <c r="CPX158" s="274"/>
      <c r="CPY158" s="274"/>
      <c r="CPZ158" s="274"/>
      <c r="CQA158" s="274"/>
      <c r="CQB158" s="273"/>
      <c r="CQC158" s="274"/>
      <c r="CQD158" s="274"/>
      <c r="CQE158" s="274"/>
      <c r="CQF158" s="274"/>
      <c r="CQG158" s="274"/>
      <c r="CQH158" s="273"/>
      <c r="CQI158" s="274"/>
      <c r="CQJ158" s="274"/>
      <c r="CQK158" s="274"/>
      <c r="CQL158" s="274"/>
      <c r="CQM158" s="274"/>
      <c r="CQN158" s="273"/>
      <c r="CQO158" s="274"/>
      <c r="CQP158" s="274"/>
      <c r="CQQ158" s="274"/>
      <c r="CQR158" s="274"/>
      <c r="CQS158" s="274"/>
      <c r="CQT158" s="273"/>
      <c r="CQU158" s="274"/>
      <c r="CQV158" s="274"/>
      <c r="CQW158" s="274"/>
      <c r="CQX158" s="274"/>
      <c r="CQY158" s="274"/>
      <c r="CQZ158" s="273"/>
      <c r="CRA158" s="274"/>
      <c r="CRB158" s="274"/>
      <c r="CRC158" s="274"/>
      <c r="CRD158" s="274"/>
      <c r="CRE158" s="274"/>
      <c r="CRF158" s="273"/>
      <c r="CRG158" s="274"/>
      <c r="CRH158" s="274"/>
      <c r="CRI158" s="274"/>
      <c r="CRJ158" s="274"/>
      <c r="CRK158" s="274"/>
      <c r="CRL158" s="273"/>
      <c r="CRM158" s="274"/>
      <c r="CRN158" s="274"/>
      <c r="CRO158" s="274"/>
      <c r="CRP158" s="274"/>
      <c r="CRQ158" s="274"/>
      <c r="CRR158" s="273"/>
      <c r="CRS158" s="274"/>
      <c r="CRT158" s="274"/>
      <c r="CRU158" s="274"/>
      <c r="CRV158" s="274"/>
      <c r="CRW158" s="274"/>
      <c r="CRX158" s="273"/>
      <c r="CRY158" s="274"/>
      <c r="CRZ158" s="274"/>
      <c r="CSA158" s="274"/>
      <c r="CSB158" s="274"/>
      <c r="CSC158" s="274"/>
      <c r="CSD158" s="273"/>
      <c r="CSE158" s="274"/>
      <c r="CSF158" s="274"/>
      <c r="CSG158" s="274"/>
      <c r="CSH158" s="274"/>
      <c r="CSI158" s="274"/>
      <c r="CSJ158" s="273"/>
      <c r="CSK158" s="274"/>
      <c r="CSL158" s="274"/>
      <c r="CSM158" s="274"/>
      <c r="CSN158" s="274"/>
      <c r="CSO158" s="274"/>
      <c r="CSP158" s="273"/>
      <c r="CSQ158" s="274"/>
      <c r="CSR158" s="274"/>
      <c r="CSS158" s="274"/>
      <c r="CST158" s="274"/>
      <c r="CSU158" s="274"/>
      <c r="CSV158" s="273"/>
      <c r="CSW158" s="274"/>
      <c r="CSX158" s="274"/>
      <c r="CSY158" s="274"/>
      <c r="CSZ158" s="274"/>
      <c r="CTA158" s="274"/>
      <c r="CTB158" s="273"/>
      <c r="CTC158" s="274"/>
      <c r="CTD158" s="274"/>
      <c r="CTE158" s="274"/>
      <c r="CTF158" s="274"/>
      <c r="CTG158" s="274"/>
      <c r="CTH158" s="273"/>
      <c r="CTI158" s="274"/>
      <c r="CTJ158" s="274"/>
      <c r="CTK158" s="274"/>
      <c r="CTL158" s="274"/>
      <c r="CTM158" s="274"/>
      <c r="CTN158" s="273"/>
      <c r="CTO158" s="274"/>
      <c r="CTP158" s="274"/>
      <c r="CTQ158" s="274"/>
      <c r="CTR158" s="274"/>
      <c r="CTS158" s="274"/>
      <c r="CTT158" s="273"/>
      <c r="CTU158" s="274"/>
      <c r="CTV158" s="274"/>
      <c r="CTW158" s="274"/>
      <c r="CTX158" s="274"/>
      <c r="CTY158" s="274"/>
      <c r="CTZ158" s="273"/>
      <c r="CUA158" s="274"/>
      <c r="CUB158" s="274"/>
      <c r="CUC158" s="274"/>
      <c r="CUD158" s="274"/>
      <c r="CUE158" s="274"/>
      <c r="CUF158" s="273"/>
      <c r="CUG158" s="274"/>
      <c r="CUH158" s="274"/>
      <c r="CUI158" s="274"/>
      <c r="CUJ158" s="274"/>
      <c r="CUK158" s="274"/>
      <c r="CUL158" s="273"/>
      <c r="CUM158" s="274"/>
      <c r="CUN158" s="274"/>
      <c r="CUO158" s="274"/>
      <c r="CUP158" s="274"/>
      <c r="CUQ158" s="274"/>
      <c r="CUR158" s="273"/>
      <c r="CUS158" s="274"/>
      <c r="CUT158" s="274"/>
      <c r="CUU158" s="274"/>
      <c r="CUV158" s="274"/>
      <c r="CUW158" s="274"/>
      <c r="CUX158" s="273"/>
      <c r="CUY158" s="274"/>
      <c r="CUZ158" s="274"/>
      <c r="CVA158" s="274"/>
      <c r="CVB158" s="274"/>
      <c r="CVC158" s="274"/>
      <c r="CVD158" s="273"/>
      <c r="CVE158" s="274"/>
      <c r="CVF158" s="274"/>
      <c r="CVG158" s="274"/>
      <c r="CVH158" s="274"/>
      <c r="CVI158" s="274"/>
      <c r="CVJ158" s="273"/>
      <c r="CVK158" s="274"/>
      <c r="CVL158" s="274"/>
      <c r="CVM158" s="274"/>
      <c r="CVN158" s="274"/>
      <c r="CVO158" s="274"/>
      <c r="CVP158" s="273"/>
      <c r="CVQ158" s="274"/>
      <c r="CVR158" s="274"/>
      <c r="CVS158" s="274"/>
      <c r="CVT158" s="274"/>
      <c r="CVU158" s="274"/>
      <c r="CVV158" s="273"/>
      <c r="CVW158" s="274"/>
      <c r="CVX158" s="274"/>
      <c r="CVY158" s="274"/>
      <c r="CVZ158" s="274"/>
      <c r="CWA158" s="274"/>
      <c r="CWB158" s="273"/>
      <c r="CWC158" s="274"/>
      <c r="CWD158" s="274"/>
      <c r="CWE158" s="274"/>
      <c r="CWF158" s="274"/>
      <c r="CWG158" s="274"/>
      <c r="CWH158" s="273"/>
      <c r="CWI158" s="274"/>
      <c r="CWJ158" s="274"/>
      <c r="CWK158" s="274"/>
      <c r="CWL158" s="274"/>
      <c r="CWM158" s="274"/>
      <c r="CWN158" s="273"/>
      <c r="CWO158" s="274"/>
      <c r="CWP158" s="274"/>
      <c r="CWQ158" s="274"/>
      <c r="CWR158" s="274"/>
      <c r="CWS158" s="274"/>
      <c r="CWT158" s="273"/>
      <c r="CWU158" s="274"/>
      <c r="CWV158" s="274"/>
      <c r="CWW158" s="274"/>
      <c r="CWX158" s="274"/>
      <c r="CWY158" s="274"/>
      <c r="CWZ158" s="273"/>
      <c r="CXA158" s="274"/>
      <c r="CXB158" s="274"/>
      <c r="CXC158" s="274"/>
      <c r="CXD158" s="274"/>
      <c r="CXE158" s="274"/>
      <c r="CXF158" s="273"/>
      <c r="CXG158" s="274"/>
      <c r="CXH158" s="274"/>
      <c r="CXI158" s="274"/>
      <c r="CXJ158" s="274"/>
      <c r="CXK158" s="274"/>
      <c r="CXL158" s="273"/>
      <c r="CXM158" s="274"/>
      <c r="CXN158" s="274"/>
      <c r="CXO158" s="274"/>
      <c r="CXP158" s="274"/>
      <c r="CXQ158" s="274"/>
      <c r="CXR158" s="273"/>
      <c r="CXS158" s="274"/>
      <c r="CXT158" s="274"/>
      <c r="CXU158" s="274"/>
      <c r="CXV158" s="274"/>
      <c r="CXW158" s="274"/>
      <c r="CXX158" s="273"/>
      <c r="CXY158" s="274"/>
      <c r="CXZ158" s="274"/>
      <c r="CYA158" s="274"/>
      <c r="CYB158" s="274"/>
      <c r="CYC158" s="274"/>
      <c r="CYD158" s="273"/>
      <c r="CYE158" s="274"/>
      <c r="CYF158" s="274"/>
      <c r="CYG158" s="274"/>
      <c r="CYH158" s="274"/>
      <c r="CYI158" s="274"/>
      <c r="CYJ158" s="273"/>
      <c r="CYK158" s="274"/>
      <c r="CYL158" s="274"/>
      <c r="CYM158" s="274"/>
      <c r="CYN158" s="274"/>
      <c r="CYO158" s="274"/>
      <c r="CYP158" s="273"/>
      <c r="CYQ158" s="274"/>
      <c r="CYR158" s="274"/>
      <c r="CYS158" s="274"/>
      <c r="CYT158" s="274"/>
      <c r="CYU158" s="274"/>
      <c r="CYV158" s="273"/>
      <c r="CYW158" s="274"/>
      <c r="CYX158" s="274"/>
      <c r="CYY158" s="274"/>
      <c r="CYZ158" s="274"/>
      <c r="CZA158" s="274"/>
      <c r="CZB158" s="273"/>
      <c r="CZC158" s="274"/>
      <c r="CZD158" s="274"/>
      <c r="CZE158" s="274"/>
      <c r="CZF158" s="274"/>
      <c r="CZG158" s="274"/>
      <c r="CZH158" s="273"/>
      <c r="CZI158" s="274"/>
      <c r="CZJ158" s="274"/>
      <c r="CZK158" s="274"/>
      <c r="CZL158" s="274"/>
      <c r="CZM158" s="274"/>
      <c r="CZN158" s="273"/>
      <c r="CZO158" s="274"/>
      <c r="CZP158" s="274"/>
      <c r="CZQ158" s="274"/>
      <c r="CZR158" s="274"/>
      <c r="CZS158" s="274"/>
      <c r="CZT158" s="273"/>
      <c r="CZU158" s="274"/>
      <c r="CZV158" s="274"/>
      <c r="CZW158" s="274"/>
      <c r="CZX158" s="274"/>
      <c r="CZY158" s="274"/>
      <c r="CZZ158" s="273"/>
      <c r="DAA158" s="274"/>
      <c r="DAB158" s="274"/>
      <c r="DAC158" s="274"/>
      <c r="DAD158" s="274"/>
      <c r="DAE158" s="274"/>
      <c r="DAF158" s="273"/>
      <c r="DAG158" s="274"/>
      <c r="DAH158" s="274"/>
      <c r="DAI158" s="274"/>
      <c r="DAJ158" s="274"/>
      <c r="DAK158" s="274"/>
      <c r="DAL158" s="273"/>
      <c r="DAM158" s="274"/>
      <c r="DAN158" s="274"/>
      <c r="DAO158" s="274"/>
      <c r="DAP158" s="274"/>
      <c r="DAQ158" s="274"/>
      <c r="DAR158" s="273"/>
      <c r="DAS158" s="274"/>
      <c r="DAT158" s="274"/>
      <c r="DAU158" s="274"/>
      <c r="DAV158" s="274"/>
      <c r="DAW158" s="274"/>
      <c r="DAX158" s="273"/>
      <c r="DAY158" s="274"/>
      <c r="DAZ158" s="274"/>
      <c r="DBA158" s="274"/>
      <c r="DBB158" s="274"/>
      <c r="DBC158" s="274"/>
      <c r="DBD158" s="273"/>
      <c r="DBE158" s="274"/>
      <c r="DBF158" s="274"/>
      <c r="DBG158" s="274"/>
      <c r="DBH158" s="274"/>
      <c r="DBI158" s="274"/>
      <c r="DBJ158" s="273"/>
      <c r="DBK158" s="274"/>
      <c r="DBL158" s="274"/>
      <c r="DBM158" s="274"/>
      <c r="DBN158" s="274"/>
      <c r="DBO158" s="274"/>
      <c r="DBP158" s="273"/>
      <c r="DBQ158" s="274"/>
      <c r="DBR158" s="274"/>
      <c r="DBS158" s="274"/>
      <c r="DBT158" s="274"/>
      <c r="DBU158" s="274"/>
      <c r="DBV158" s="273"/>
      <c r="DBW158" s="274"/>
      <c r="DBX158" s="274"/>
      <c r="DBY158" s="274"/>
      <c r="DBZ158" s="274"/>
      <c r="DCA158" s="274"/>
      <c r="DCB158" s="273"/>
      <c r="DCC158" s="274"/>
      <c r="DCD158" s="274"/>
      <c r="DCE158" s="274"/>
      <c r="DCF158" s="274"/>
      <c r="DCG158" s="274"/>
      <c r="DCH158" s="273"/>
      <c r="DCI158" s="274"/>
      <c r="DCJ158" s="274"/>
      <c r="DCK158" s="274"/>
      <c r="DCL158" s="274"/>
      <c r="DCM158" s="274"/>
      <c r="DCN158" s="273"/>
      <c r="DCO158" s="274"/>
      <c r="DCP158" s="274"/>
      <c r="DCQ158" s="274"/>
      <c r="DCR158" s="274"/>
      <c r="DCS158" s="274"/>
      <c r="DCT158" s="273"/>
      <c r="DCU158" s="274"/>
      <c r="DCV158" s="274"/>
      <c r="DCW158" s="274"/>
      <c r="DCX158" s="274"/>
      <c r="DCY158" s="274"/>
      <c r="DCZ158" s="273"/>
      <c r="DDA158" s="274"/>
      <c r="DDB158" s="274"/>
      <c r="DDC158" s="274"/>
      <c r="DDD158" s="274"/>
      <c r="DDE158" s="274"/>
      <c r="DDF158" s="273"/>
      <c r="DDG158" s="274"/>
      <c r="DDH158" s="274"/>
      <c r="DDI158" s="274"/>
      <c r="DDJ158" s="274"/>
      <c r="DDK158" s="274"/>
      <c r="DDL158" s="273"/>
      <c r="DDM158" s="274"/>
      <c r="DDN158" s="274"/>
      <c r="DDO158" s="274"/>
      <c r="DDP158" s="274"/>
      <c r="DDQ158" s="274"/>
      <c r="DDR158" s="273"/>
      <c r="DDS158" s="274"/>
      <c r="DDT158" s="274"/>
      <c r="DDU158" s="274"/>
      <c r="DDV158" s="274"/>
      <c r="DDW158" s="274"/>
      <c r="DDX158" s="273"/>
      <c r="DDY158" s="274"/>
      <c r="DDZ158" s="274"/>
      <c r="DEA158" s="274"/>
      <c r="DEB158" s="274"/>
      <c r="DEC158" s="274"/>
      <c r="DED158" s="273"/>
      <c r="DEE158" s="274"/>
      <c r="DEF158" s="274"/>
      <c r="DEG158" s="274"/>
      <c r="DEH158" s="274"/>
      <c r="DEI158" s="274"/>
      <c r="DEJ158" s="273"/>
      <c r="DEK158" s="274"/>
      <c r="DEL158" s="274"/>
      <c r="DEM158" s="274"/>
      <c r="DEN158" s="274"/>
      <c r="DEO158" s="274"/>
      <c r="DEP158" s="273"/>
      <c r="DEQ158" s="274"/>
      <c r="DER158" s="274"/>
      <c r="DES158" s="274"/>
      <c r="DET158" s="274"/>
      <c r="DEU158" s="274"/>
      <c r="DEV158" s="273"/>
      <c r="DEW158" s="274"/>
      <c r="DEX158" s="274"/>
      <c r="DEY158" s="274"/>
      <c r="DEZ158" s="274"/>
      <c r="DFA158" s="274"/>
      <c r="DFB158" s="273"/>
      <c r="DFC158" s="274"/>
      <c r="DFD158" s="274"/>
      <c r="DFE158" s="274"/>
      <c r="DFF158" s="274"/>
      <c r="DFG158" s="274"/>
      <c r="DFH158" s="273"/>
      <c r="DFI158" s="274"/>
      <c r="DFJ158" s="274"/>
      <c r="DFK158" s="274"/>
      <c r="DFL158" s="274"/>
      <c r="DFM158" s="274"/>
      <c r="DFN158" s="273"/>
      <c r="DFO158" s="274"/>
      <c r="DFP158" s="274"/>
      <c r="DFQ158" s="274"/>
      <c r="DFR158" s="274"/>
      <c r="DFS158" s="274"/>
      <c r="DFT158" s="273"/>
      <c r="DFU158" s="274"/>
      <c r="DFV158" s="274"/>
      <c r="DFW158" s="274"/>
      <c r="DFX158" s="274"/>
      <c r="DFY158" s="274"/>
      <c r="DFZ158" s="273"/>
      <c r="DGA158" s="274"/>
      <c r="DGB158" s="274"/>
      <c r="DGC158" s="274"/>
      <c r="DGD158" s="274"/>
      <c r="DGE158" s="274"/>
      <c r="DGF158" s="273"/>
      <c r="DGG158" s="274"/>
      <c r="DGH158" s="274"/>
      <c r="DGI158" s="274"/>
      <c r="DGJ158" s="274"/>
      <c r="DGK158" s="274"/>
      <c r="DGL158" s="273"/>
      <c r="DGM158" s="274"/>
      <c r="DGN158" s="274"/>
      <c r="DGO158" s="274"/>
      <c r="DGP158" s="274"/>
      <c r="DGQ158" s="274"/>
      <c r="DGR158" s="273"/>
      <c r="DGS158" s="274"/>
      <c r="DGT158" s="274"/>
      <c r="DGU158" s="274"/>
      <c r="DGV158" s="274"/>
      <c r="DGW158" s="274"/>
      <c r="DGX158" s="273"/>
      <c r="DGY158" s="274"/>
      <c r="DGZ158" s="274"/>
      <c r="DHA158" s="274"/>
      <c r="DHB158" s="274"/>
      <c r="DHC158" s="274"/>
      <c r="DHD158" s="273"/>
      <c r="DHE158" s="274"/>
      <c r="DHF158" s="274"/>
      <c r="DHG158" s="274"/>
      <c r="DHH158" s="274"/>
      <c r="DHI158" s="274"/>
      <c r="DHJ158" s="273"/>
      <c r="DHK158" s="274"/>
      <c r="DHL158" s="274"/>
      <c r="DHM158" s="274"/>
      <c r="DHN158" s="274"/>
      <c r="DHO158" s="274"/>
      <c r="DHP158" s="273"/>
      <c r="DHQ158" s="274"/>
      <c r="DHR158" s="274"/>
      <c r="DHS158" s="274"/>
      <c r="DHT158" s="274"/>
      <c r="DHU158" s="274"/>
      <c r="DHV158" s="273"/>
      <c r="DHW158" s="274"/>
      <c r="DHX158" s="274"/>
      <c r="DHY158" s="274"/>
      <c r="DHZ158" s="274"/>
      <c r="DIA158" s="274"/>
      <c r="DIB158" s="273"/>
      <c r="DIC158" s="274"/>
      <c r="DID158" s="274"/>
      <c r="DIE158" s="274"/>
      <c r="DIF158" s="274"/>
      <c r="DIG158" s="274"/>
      <c r="DIH158" s="273"/>
      <c r="DII158" s="274"/>
      <c r="DIJ158" s="274"/>
      <c r="DIK158" s="274"/>
      <c r="DIL158" s="274"/>
      <c r="DIM158" s="274"/>
      <c r="DIN158" s="273"/>
      <c r="DIO158" s="274"/>
      <c r="DIP158" s="274"/>
      <c r="DIQ158" s="274"/>
      <c r="DIR158" s="274"/>
      <c r="DIS158" s="274"/>
      <c r="DIT158" s="273"/>
      <c r="DIU158" s="274"/>
      <c r="DIV158" s="274"/>
      <c r="DIW158" s="274"/>
      <c r="DIX158" s="274"/>
      <c r="DIY158" s="274"/>
      <c r="DIZ158" s="273"/>
      <c r="DJA158" s="274"/>
      <c r="DJB158" s="274"/>
      <c r="DJC158" s="274"/>
      <c r="DJD158" s="274"/>
      <c r="DJE158" s="274"/>
      <c r="DJF158" s="273"/>
      <c r="DJG158" s="274"/>
      <c r="DJH158" s="274"/>
      <c r="DJI158" s="274"/>
      <c r="DJJ158" s="274"/>
      <c r="DJK158" s="274"/>
      <c r="DJL158" s="273"/>
      <c r="DJM158" s="274"/>
      <c r="DJN158" s="274"/>
      <c r="DJO158" s="274"/>
      <c r="DJP158" s="274"/>
      <c r="DJQ158" s="274"/>
      <c r="DJR158" s="273"/>
      <c r="DJS158" s="274"/>
      <c r="DJT158" s="274"/>
      <c r="DJU158" s="274"/>
      <c r="DJV158" s="274"/>
      <c r="DJW158" s="274"/>
      <c r="DJX158" s="273"/>
      <c r="DJY158" s="274"/>
      <c r="DJZ158" s="274"/>
      <c r="DKA158" s="274"/>
      <c r="DKB158" s="274"/>
      <c r="DKC158" s="274"/>
      <c r="DKD158" s="273"/>
      <c r="DKE158" s="274"/>
      <c r="DKF158" s="274"/>
      <c r="DKG158" s="274"/>
      <c r="DKH158" s="274"/>
      <c r="DKI158" s="274"/>
      <c r="DKJ158" s="273"/>
      <c r="DKK158" s="274"/>
      <c r="DKL158" s="274"/>
      <c r="DKM158" s="274"/>
      <c r="DKN158" s="274"/>
      <c r="DKO158" s="274"/>
      <c r="DKP158" s="273"/>
      <c r="DKQ158" s="274"/>
      <c r="DKR158" s="274"/>
      <c r="DKS158" s="274"/>
      <c r="DKT158" s="274"/>
      <c r="DKU158" s="274"/>
      <c r="DKV158" s="273"/>
      <c r="DKW158" s="274"/>
      <c r="DKX158" s="274"/>
      <c r="DKY158" s="274"/>
      <c r="DKZ158" s="274"/>
      <c r="DLA158" s="274"/>
      <c r="DLB158" s="273"/>
      <c r="DLC158" s="274"/>
      <c r="DLD158" s="274"/>
      <c r="DLE158" s="274"/>
      <c r="DLF158" s="274"/>
      <c r="DLG158" s="274"/>
      <c r="DLH158" s="273"/>
      <c r="DLI158" s="274"/>
      <c r="DLJ158" s="274"/>
      <c r="DLK158" s="274"/>
      <c r="DLL158" s="274"/>
      <c r="DLM158" s="274"/>
      <c r="DLN158" s="273"/>
      <c r="DLO158" s="274"/>
      <c r="DLP158" s="274"/>
      <c r="DLQ158" s="274"/>
      <c r="DLR158" s="274"/>
      <c r="DLS158" s="274"/>
      <c r="DLT158" s="273"/>
      <c r="DLU158" s="274"/>
      <c r="DLV158" s="274"/>
      <c r="DLW158" s="274"/>
      <c r="DLX158" s="274"/>
      <c r="DLY158" s="274"/>
      <c r="DLZ158" s="273"/>
      <c r="DMA158" s="274"/>
      <c r="DMB158" s="274"/>
      <c r="DMC158" s="274"/>
      <c r="DMD158" s="274"/>
      <c r="DME158" s="274"/>
      <c r="DMF158" s="273"/>
      <c r="DMG158" s="274"/>
      <c r="DMH158" s="274"/>
      <c r="DMI158" s="274"/>
      <c r="DMJ158" s="274"/>
      <c r="DMK158" s="274"/>
      <c r="DML158" s="273"/>
      <c r="DMM158" s="274"/>
      <c r="DMN158" s="274"/>
      <c r="DMO158" s="274"/>
      <c r="DMP158" s="274"/>
      <c r="DMQ158" s="274"/>
      <c r="DMR158" s="273"/>
      <c r="DMS158" s="274"/>
      <c r="DMT158" s="274"/>
      <c r="DMU158" s="274"/>
      <c r="DMV158" s="274"/>
      <c r="DMW158" s="274"/>
      <c r="DMX158" s="273"/>
      <c r="DMY158" s="274"/>
      <c r="DMZ158" s="274"/>
      <c r="DNA158" s="274"/>
      <c r="DNB158" s="274"/>
      <c r="DNC158" s="274"/>
      <c r="DND158" s="273"/>
      <c r="DNE158" s="274"/>
      <c r="DNF158" s="274"/>
      <c r="DNG158" s="274"/>
      <c r="DNH158" s="274"/>
      <c r="DNI158" s="274"/>
      <c r="DNJ158" s="273"/>
      <c r="DNK158" s="274"/>
      <c r="DNL158" s="274"/>
      <c r="DNM158" s="274"/>
      <c r="DNN158" s="274"/>
      <c r="DNO158" s="274"/>
      <c r="DNP158" s="273"/>
      <c r="DNQ158" s="274"/>
      <c r="DNR158" s="274"/>
      <c r="DNS158" s="274"/>
      <c r="DNT158" s="274"/>
      <c r="DNU158" s="274"/>
      <c r="DNV158" s="273"/>
      <c r="DNW158" s="274"/>
      <c r="DNX158" s="274"/>
      <c r="DNY158" s="274"/>
      <c r="DNZ158" s="274"/>
      <c r="DOA158" s="274"/>
      <c r="DOB158" s="273"/>
      <c r="DOC158" s="274"/>
      <c r="DOD158" s="274"/>
      <c r="DOE158" s="274"/>
      <c r="DOF158" s="274"/>
      <c r="DOG158" s="274"/>
      <c r="DOH158" s="273"/>
      <c r="DOI158" s="274"/>
      <c r="DOJ158" s="274"/>
      <c r="DOK158" s="274"/>
      <c r="DOL158" s="274"/>
      <c r="DOM158" s="274"/>
      <c r="DON158" s="273"/>
      <c r="DOO158" s="274"/>
      <c r="DOP158" s="274"/>
      <c r="DOQ158" s="274"/>
      <c r="DOR158" s="274"/>
      <c r="DOS158" s="274"/>
      <c r="DOT158" s="273"/>
      <c r="DOU158" s="274"/>
      <c r="DOV158" s="274"/>
      <c r="DOW158" s="274"/>
      <c r="DOX158" s="274"/>
      <c r="DOY158" s="274"/>
      <c r="DOZ158" s="273"/>
      <c r="DPA158" s="274"/>
      <c r="DPB158" s="274"/>
      <c r="DPC158" s="274"/>
      <c r="DPD158" s="274"/>
      <c r="DPE158" s="274"/>
      <c r="DPF158" s="273"/>
      <c r="DPG158" s="274"/>
      <c r="DPH158" s="274"/>
      <c r="DPI158" s="274"/>
      <c r="DPJ158" s="274"/>
      <c r="DPK158" s="274"/>
      <c r="DPL158" s="273"/>
      <c r="DPM158" s="274"/>
      <c r="DPN158" s="274"/>
      <c r="DPO158" s="274"/>
      <c r="DPP158" s="274"/>
      <c r="DPQ158" s="274"/>
      <c r="DPR158" s="273"/>
      <c r="DPS158" s="274"/>
      <c r="DPT158" s="274"/>
      <c r="DPU158" s="274"/>
      <c r="DPV158" s="274"/>
      <c r="DPW158" s="274"/>
      <c r="DPX158" s="273"/>
      <c r="DPY158" s="274"/>
      <c r="DPZ158" s="274"/>
      <c r="DQA158" s="274"/>
      <c r="DQB158" s="274"/>
      <c r="DQC158" s="274"/>
      <c r="DQD158" s="273"/>
      <c r="DQE158" s="274"/>
      <c r="DQF158" s="274"/>
      <c r="DQG158" s="274"/>
      <c r="DQH158" s="274"/>
      <c r="DQI158" s="274"/>
      <c r="DQJ158" s="273"/>
      <c r="DQK158" s="274"/>
      <c r="DQL158" s="274"/>
      <c r="DQM158" s="274"/>
      <c r="DQN158" s="274"/>
      <c r="DQO158" s="274"/>
      <c r="DQP158" s="273"/>
      <c r="DQQ158" s="274"/>
      <c r="DQR158" s="274"/>
      <c r="DQS158" s="274"/>
      <c r="DQT158" s="274"/>
      <c r="DQU158" s="274"/>
      <c r="DQV158" s="273"/>
      <c r="DQW158" s="274"/>
      <c r="DQX158" s="274"/>
      <c r="DQY158" s="274"/>
      <c r="DQZ158" s="274"/>
      <c r="DRA158" s="274"/>
      <c r="DRB158" s="273"/>
      <c r="DRC158" s="274"/>
      <c r="DRD158" s="274"/>
      <c r="DRE158" s="274"/>
      <c r="DRF158" s="274"/>
      <c r="DRG158" s="274"/>
      <c r="DRH158" s="273"/>
      <c r="DRI158" s="274"/>
      <c r="DRJ158" s="274"/>
      <c r="DRK158" s="274"/>
      <c r="DRL158" s="274"/>
      <c r="DRM158" s="274"/>
      <c r="DRN158" s="273"/>
      <c r="DRO158" s="274"/>
      <c r="DRP158" s="274"/>
      <c r="DRQ158" s="274"/>
      <c r="DRR158" s="274"/>
      <c r="DRS158" s="274"/>
      <c r="DRT158" s="273"/>
      <c r="DRU158" s="274"/>
      <c r="DRV158" s="274"/>
      <c r="DRW158" s="274"/>
      <c r="DRX158" s="274"/>
      <c r="DRY158" s="274"/>
      <c r="DRZ158" s="273"/>
      <c r="DSA158" s="274"/>
      <c r="DSB158" s="274"/>
      <c r="DSC158" s="274"/>
      <c r="DSD158" s="274"/>
      <c r="DSE158" s="274"/>
      <c r="DSF158" s="273"/>
      <c r="DSG158" s="274"/>
      <c r="DSH158" s="274"/>
      <c r="DSI158" s="274"/>
      <c r="DSJ158" s="274"/>
      <c r="DSK158" s="274"/>
      <c r="DSL158" s="273"/>
      <c r="DSM158" s="274"/>
      <c r="DSN158" s="274"/>
      <c r="DSO158" s="274"/>
      <c r="DSP158" s="274"/>
      <c r="DSQ158" s="274"/>
      <c r="DSR158" s="273"/>
      <c r="DSS158" s="274"/>
      <c r="DST158" s="274"/>
      <c r="DSU158" s="274"/>
      <c r="DSV158" s="274"/>
      <c r="DSW158" s="274"/>
      <c r="DSX158" s="273"/>
      <c r="DSY158" s="274"/>
      <c r="DSZ158" s="274"/>
      <c r="DTA158" s="274"/>
      <c r="DTB158" s="274"/>
      <c r="DTC158" s="274"/>
      <c r="DTD158" s="273"/>
      <c r="DTE158" s="274"/>
      <c r="DTF158" s="274"/>
      <c r="DTG158" s="274"/>
      <c r="DTH158" s="274"/>
      <c r="DTI158" s="274"/>
      <c r="DTJ158" s="273"/>
      <c r="DTK158" s="274"/>
      <c r="DTL158" s="274"/>
      <c r="DTM158" s="274"/>
      <c r="DTN158" s="274"/>
      <c r="DTO158" s="274"/>
      <c r="DTP158" s="273"/>
      <c r="DTQ158" s="274"/>
      <c r="DTR158" s="274"/>
      <c r="DTS158" s="274"/>
      <c r="DTT158" s="274"/>
      <c r="DTU158" s="274"/>
      <c r="DTV158" s="273"/>
      <c r="DTW158" s="274"/>
      <c r="DTX158" s="274"/>
      <c r="DTY158" s="274"/>
      <c r="DTZ158" s="274"/>
      <c r="DUA158" s="274"/>
      <c r="DUB158" s="273"/>
      <c r="DUC158" s="274"/>
      <c r="DUD158" s="274"/>
      <c r="DUE158" s="274"/>
      <c r="DUF158" s="274"/>
      <c r="DUG158" s="274"/>
      <c r="DUH158" s="273"/>
      <c r="DUI158" s="274"/>
      <c r="DUJ158" s="274"/>
      <c r="DUK158" s="274"/>
      <c r="DUL158" s="274"/>
      <c r="DUM158" s="274"/>
      <c r="DUN158" s="273"/>
      <c r="DUO158" s="274"/>
      <c r="DUP158" s="274"/>
      <c r="DUQ158" s="274"/>
      <c r="DUR158" s="274"/>
      <c r="DUS158" s="274"/>
      <c r="DUT158" s="273"/>
      <c r="DUU158" s="274"/>
      <c r="DUV158" s="274"/>
      <c r="DUW158" s="274"/>
      <c r="DUX158" s="274"/>
      <c r="DUY158" s="274"/>
      <c r="DUZ158" s="273"/>
      <c r="DVA158" s="274"/>
      <c r="DVB158" s="274"/>
      <c r="DVC158" s="274"/>
      <c r="DVD158" s="274"/>
      <c r="DVE158" s="274"/>
      <c r="DVF158" s="273"/>
      <c r="DVG158" s="274"/>
      <c r="DVH158" s="274"/>
      <c r="DVI158" s="274"/>
      <c r="DVJ158" s="274"/>
      <c r="DVK158" s="274"/>
      <c r="DVL158" s="273"/>
      <c r="DVM158" s="274"/>
      <c r="DVN158" s="274"/>
      <c r="DVO158" s="274"/>
      <c r="DVP158" s="274"/>
      <c r="DVQ158" s="274"/>
      <c r="DVR158" s="273"/>
      <c r="DVS158" s="274"/>
      <c r="DVT158" s="274"/>
      <c r="DVU158" s="274"/>
      <c r="DVV158" s="274"/>
      <c r="DVW158" s="274"/>
      <c r="DVX158" s="273"/>
      <c r="DVY158" s="274"/>
      <c r="DVZ158" s="274"/>
      <c r="DWA158" s="274"/>
      <c r="DWB158" s="274"/>
      <c r="DWC158" s="274"/>
      <c r="DWD158" s="273"/>
      <c r="DWE158" s="274"/>
      <c r="DWF158" s="274"/>
      <c r="DWG158" s="274"/>
      <c r="DWH158" s="274"/>
      <c r="DWI158" s="274"/>
      <c r="DWJ158" s="273"/>
      <c r="DWK158" s="274"/>
      <c r="DWL158" s="274"/>
      <c r="DWM158" s="274"/>
      <c r="DWN158" s="274"/>
      <c r="DWO158" s="274"/>
      <c r="DWP158" s="273"/>
      <c r="DWQ158" s="274"/>
      <c r="DWR158" s="274"/>
      <c r="DWS158" s="274"/>
      <c r="DWT158" s="274"/>
      <c r="DWU158" s="274"/>
      <c r="DWV158" s="273"/>
      <c r="DWW158" s="274"/>
      <c r="DWX158" s="274"/>
      <c r="DWY158" s="274"/>
      <c r="DWZ158" s="274"/>
      <c r="DXA158" s="274"/>
      <c r="DXB158" s="273"/>
      <c r="DXC158" s="274"/>
      <c r="DXD158" s="274"/>
      <c r="DXE158" s="274"/>
      <c r="DXF158" s="274"/>
      <c r="DXG158" s="274"/>
      <c r="DXH158" s="273"/>
      <c r="DXI158" s="274"/>
      <c r="DXJ158" s="274"/>
      <c r="DXK158" s="274"/>
      <c r="DXL158" s="274"/>
      <c r="DXM158" s="274"/>
      <c r="DXN158" s="273"/>
      <c r="DXO158" s="274"/>
      <c r="DXP158" s="274"/>
      <c r="DXQ158" s="274"/>
      <c r="DXR158" s="274"/>
      <c r="DXS158" s="274"/>
      <c r="DXT158" s="273"/>
      <c r="DXU158" s="274"/>
      <c r="DXV158" s="274"/>
      <c r="DXW158" s="274"/>
      <c r="DXX158" s="274"/>
      <c r="DXY158" s="274"/>
      <c r="DXZ158" s="273"/>
      <c r="DYA158" s="274"/>
      <c r="DYB158" s="274"/>
      <c r="DYC158" s="274"/>
      <c r="DYD158" s="274"/>
      <c r="DYE158" s="274"/>
      <c r="DYF158" s="273"/>
      <c r="DYG158" s="274"/>
      <c r="DYH158" s="274"/>
      <c r="DYI158" s="274"/>
      <c r="DYJ158" s="274"/>
      <c r="DYK158" s="274"/>
      <c r="DYL158" s="273"/>
      <c r="DYM158" s="274"/>
      <c r="DYN158" s="274"/>
      <c r="DYO158" s="274"/>
      <c r="DYP158" s="274"/>
      <c r="DYQ158" s="274"/>
      <c r="DYR158" s="273"/>
      <c r="DYS158" s="274"/>
      <c r="DYT158" s="274"/>
      <c r="DYU158" s="274"/>
      <c r="DYV158" s="274"/>
      <c r="DYW158" s="274"/>
      <c r="DYX158" s="273"/>
      <c r="DYY158" s="274"/>
      <c r="DYZ158" s="274"/>
      <c r="DZA158" s="274"/>
      <c r="DZB158" s="274"/>
      <c r="DZC158" s="274"/>
      <c r="DZD158" s="273"/>
      <c r="DZE158" s="274"/>
      <c r="DZF158" s="274"/>
      <c r="DZG158" s="274"/>
      <c r="DZH158" s="274"/>
      <c r="DZI158" s="274"/>
      <c r="DZJ158" s="273"/>
      <c r="DZK158" s="274"/>
      <c r="DZL158" s="274"/>
      <c r="DZM158" s="274"/>
      <c r="DZN158" s="274"/>
      <c r="DZO158" s="274"/>
      <c r="DZP158" s="273"/>
      <c r="DZQ158" s="274"/>
      <c r="DZR158" s="274"/>
      <c r="DZS158" s="274"/>
      <c r="DZT158" s="274"/>
      <c r="DZU158" s="274"/>
      <c r="DZV158" s="273"/>
      <c r="DZW158" s="274"/>
      <c r="DZX158" s="274"/>
      <c r="DZY158" s="274"/>
      <c r="DZZ158" s="274"/>
      <c r="EAA158" s="274"/>
      <c r="EAB158" s="273"/>
      <c r="EAC158" s="274"/>
      <c r="EAD158" s="274"/>
      <c r="EAE158" s="274"/>
      <c r="EAF158" s="274"/>
      <c r="EAG158" s="274"/>
      <c r="EAH158" s="273"/>
      <c r="EAI158" s="274"/>
      <c r="EAJ158" s="274"/>
      <c r="EAK158" s="274"/>
      <c r="EAL158" s="274"/>
      <c r="EAM158" s="274"/>
      <c r="EAN158" s="273"/>
      <c r="EAO158" s="274"/>
      <c r="EAP158" s="274"/>
      <c r="EAQ158" s="274"/>
      <c r="EAR158" s="274"/>
      <c r="EAS158" s="274"/>
      <c r="EAT158" s="273"/>
      <c r="EAU158" s="274"/>
      <c r="EAV158" s="274"/>
      <c r="EAW158" s="274"/>
      <c r="EAX158" s="274"/>
      <c r="EAY158" s="274"/>
      <c r="EAZ158" s="273"/>
      <c r="EBA158" s="274"/>
      <c r="EBB158" s="274"/>
      <c r="EBC158" s="274"/>
      <c r="EBD158" s="274"/>
      <c r="EBE158" s="274"/>
      <c r="EBF158" s="273"/>
      <c r="EBG158" s="274"/>
      <c r="EBH158" s="274"/>
      <c r="EBI158" s="274"/>
      <c r="EBJ158" s="274"/>
      <c r="EBK158" s="274"/>
      <c r="EBL158" s="273"/>
      <c r="EBM158" s="274"/>
      <c r="EBN158" s="274"/>
      <c r="EBO158" s="274"/>
      <c r="EBP158" s="274"/>
      <c r="EBQ158" s="274"/>
      <c r="EBR158" s="273"/>
      <c r="EBS158" s="274"/>
      <c r="EBT158" s="274"/>
      <c r="EBU158" s="274"/>
      <c r="EBV158" s="274"/>
      <c r="EBW158" s="274"/>
      <c r="EBX158" s="273"/>
      <c r="EBY158" s="274"/>
      <c r="EBZ158" s="274"/>
      <c r="ECA158" s="274"/>
      <c r="ECB158" s="274"/>
      <c r="ECC158" s="274"/>
      <c r="ECD158" s="273"/>
      <c r="ECE158" s="274"/>
      <c r="ECF158" s="274"/>
      <c r="ECG158" s="274"/>
      <c r="ECH158" s="274"/>
      <c r="ECI158" s="274"/>
      <c r="ECJ158" s="273"/>
      <c r="ECK158" s="274"/>
      <c r="ECL158" s="274"/>
      <c r="ECM158" s="274"/>
      <c r="ECN158" s="274"/>
      <c r="ECO158" s="274"/>
      <c r="ECP158" s="273"/>
      <c r="ECQ158" s="274"/>
      <c r="ECR158" s="274"/>
      <c r="ECS158" s="274"/>
      <c r="ECT158" s="274"/>
      <c r="ECU158" s="274"/>
      <c r="ECV158" s="273"/>
      <c r="ECW158" s="274"/>
      <c r="ECX158" s="274"/>
      <c r="ECY158" s="274"/>
      <c r="ECZ158" s="274"/>
      <c r="EDA158" s="274"/>
      <c r="EDB158" s="273"/>
      <c r="EDC158" s="274"/>
      <c r="EDD158" s="274"/>
      <c r="EDE158" s="274"/>
      <c r="EDF158" s="274"/>
      <c r="EDG158" s="274"/>
      <c r="EDH158" s="273"/>
      <c r="EDI158" s="274"/>
      <c r="EDJ158" s="274"/>
      <c r="EDK158" s="274"/>
      <c r="EDL158" s="274"/>
      <c r="EDM158" s="274"/>
      <c r="EDN158" s="273"/>
      <c r="EDO158" s="274"/>
      <c r="EDP158" s="274"/>
      <c r="EDQ158" s="274"/>
      <c r="EDR158" s="274"/>
      <c r="EDS158" s="274"/>
      <c r="EDT158" s="273"/>
      <c r="EDU158" s="274"/>
      <c r="EDV158" s="274"/>
      <c r="EDW158" s="274"/>
      <c r="EDX158" s="274"/>
      <c r="EDY158" s="274"/>
      <c r="EDZ158" s="273"/>
      <c r="EEA158" s="274"/>
      <c r="EEB158" s="274"/>
      <c r="EEC158" s="274"/>
      <c r="EED158" s="274"/>
      <c r="EEE158" s="274"/>
      <c r="EEF158" s="273"/>
      <c r="EEG158" s="274"/>
      <c r="EEH158" s="274"/>
      <c r="EEI158" s="274"/>
      <c r="EEJ158" s="274"/>
      <c r="EEK158" s="274"/>
      <c r="EEL158" s="273"/>
      <c r="EEM158" s="274"/>
      <c r="EEN158" s="274"/>
      <c r="EEO158" s="274"/>
      <c r="EEP158" s="274"/>
      <c r="EEQ158" s="274"/>
      <c r="EER158" s="273"/>
      <c r="EES158" s="274"/>
      <c r="EET158" s="274"/>
      <c r="EEU158" s="274"/>
      <c r="EEV158" s="274"/>
      <c r="EEW158" s="274"/>
      <c r="EEX158" s="273"/>
      <c r="EEY158" s="274"/>
      <c r="EEZ158" s="274"/>
      <c r="EFA158" s="274"/>
      <c r="EFB158" s="274"/>
      <c r="EFC158" s="274"/>
      <c r="EFD158" s="273"/>
      <c r="EFE158" s="274"/>
      <c r="EFF158" s="274"/>
      <c r="EFG158" s="274"/>
      <c r="EFH158" s="274"/>
      <c r="EFI158" s="274"/>
      <c r="EFJ158" s="273"/>
      <c r="EFK158" s="274"/>
      <c r="EFL158" s="274"/>
      <c r="EFM158" s="274"/>
      <c r="EFN158" s="274"/>
      <c r="EFO158" s="274"/>
      <c r="EFP158" s="273"/>
      <c r="EFQ158" s="274"/>
      <c r="EFR158" s="274"/>
      <c r="EFS158" s="274"/>
      <c r="EFT158" s="274"/>
      <c r="EFU158" s="274"/>
      <c r="EFV158" s="273"/>
      <c r="EFW158" s="274"/>
      <c r="EFX158" s="274"/>
      <c r="EFY158" s="274"/>
      <c r="EFZ158" s="274"/>
      <c r="EGA158" s="274"/>
      <c r="EGB158" s="273"/>
      <c r="EGC158" s="274"/>
      <c r="EGD158" s="274"/>
      <c r="EGE158" s="274"/>
      <c r="EGF158" s="274"/>
      <c r="EGG158" s="274"/>
      <c r="EGH158" s="273"/>
      <c r="EGI158" s="274"/>
      <c r="EGJ158" s="274"/>
      <c r="EGK158" s="274"/>
      <c r="EGL158" s="274"/>
      <c r="EGM158" s="274"/>
      <c r="EGN158" s="273"/>
      <c r="EGO158" s="274"/>
      <c r="EGP158" s="274"/>
      <c r="EGQ158" s="274"/>
      <c r="EGR158" s="274"/>
      <c r="EGS158" s="274"/>
      <c r="EGT158" s="273"/>
      <c r="EGU158" s="274"/>
      <c r="EGV158" s="274"/>
      <c r="EGW158" s="274"/>
      <c r="EGX158" s="274"/>
      <c r="EGY158" s="274"/>
      <c r="EGZ158" s="273"/>
      <c r="EHA158" s="274"/>
      <c r="EHB158" s="274"/>
      <c r="EHC158" s="274"/>
      <c r="EHD158" s="274"/>
      <c r="EHE158" s="274"/>
      <c r="EHF158" s="273"/>
      <c r="EHG158" s="274"/>
      <c r="EHH158" s="274"/>
      <c r="EHI158" s="274"/>
      <c r="EHJ158" s="274"/>
      <c r="EHK158" s="274"/>
      <c r="EHL158" s="273"/>
      <c r="EHM158" s="274"/>
      <c r="EHN158" s="274"/>
      <c r="EHO158" s="274"/>
      <c r="EHP158" s="274"/>
      <c r="EHQ158" s="274"/>
      <c r="EHR158" s="273"/>
      <c r="EHS158" s="274"/>
      <c r="EHT158" s="274"/>
      <c r="EHU158" s="274"/>
      <c r="EHV158" s="274"/>
      <c r="EHW158" s="274"/>
      <c r="EHX158" s="273"/>
      <c r="EHY158" s="274"/>
      <c r="EHZ158" s="274"/>
      <c r="EIA158" s="274"/>
      <c r="EIB158" s="274"/>
      <c r="EIC158" s="274"/>
      <c r="EID158" s="273"/>
      <c r="EIE158" s="274"/>
      <c r="EIF158" s="274"/>
      <c r="EIG158" s="274"/>
      <c r="EIH158" s="274"/>
      <c r="EII158" s="274"/>
      <c r="EIJ158" s="273"/>
      <c r="EIK158" s="274"/>
      <c r="EIL158" s="274"/>
      <c r="EIM158" s="274"/>
      <c r="EIN158" s="274"/>
      <c r="EIO158" s="274"/>
      <c r="EIP158" s="273"/>
      <c r="EIQ158" s="274"/>
      <c r="EIR158" s="274"/>
      <c r="EIS158" s="274"/>
      <c r="EIT158" s="274"/>
      <c r="EIU158" s="274"/>
      <c r="EIV158" s="273"/>
      <c r="EIW158" s="274"/>
      <c r="EIX158" s="274"/>
      <c r="EIY158" s="274"/>
      <c r="EIZ158" s="274"/>
      <c r="EJA158" s="274"/>
      <c r="EJB158" s="273"/>
      <c r="EJC158" s="274"/>
      <c r="EJD158" s="274"/>
      <c r="EJE158" s="274"/>
      <c r="EJF158" s="274"/>
      <c r="EJG158" s="274"/>
      <c r="EJH158" s="273"/>
      <c r="EJI158" s="274"/>
      <c r="EJJ158" s="274"/>
      <c r="EJK158" s="274"/>
      <c r="EJL158" s="274"/>
      <c r="EJM158" s="274"/>
      <c r="EJN158" s="273"/>
      <c r="EJO158" s="274"/>
      <c r="EJP158" s="274"/>
      <c r="EJQ158" s="274"/>
      <c r="EJR158" s="274"/>
      <c r="EJS158" s="274"/>
      <c r="EJT158" s="273"/>
      <c r="EJU158" s="274"/>
      <c r="EJV158" s="274"/>
      <c r="EJW158" s="274"/>
      <c r="EJX158" s="274"/>
      <c r="EJY158" s="274"/>
      <c r="EJZ158" s="273"/>
      <c r="EKA158" s="274"/>
      <c r="EKB158" s="274"/>
      <c r="EKC158" s="274"/>
      <c r="EKD158" s="274"/>
      <c r="EKE158" s="274"/>
      <c r="EKF158" s="273"/>
      <c r="EKG158" s="274"/>
      <c r="EKH158" s="274"/>
      <c r="EKI158" s="274"/>
      <c r="EKJ158" s="274"/>
      <c r="EKK158" s="274"/>
      <c r="EKL158" s="273"/>
      <c r="EKM158" s="274"/>
      <c r="EKN158" s="274"/>
      <c r="EKO158" s="274"/>
      <c r="EKP158" s="274"/>
      <c r="EKQ158" s="274"/>
      <c r="EKR158" s="273"/>
      <c r="EKS158" s="274"/>
      <c r="EKT158" s="274"/>
      <c r="EKU158" s="274"/>
      <c r="EKV158" s="274"/>
      <c r="EKW158" s="274"/>
      <c r="EKX158" s="273"/>
      <c r="EKY158" s="274"/>
      <c r="EKZ158" s="274"/>
      <c r="ELA158" s="274"/>
      <c r="ELB158" s="274"/>
      <c r="ELC158" s="274"/>
      <c r="ELD158" s="273"/>
      <c r="ELE158" s="274"/>
      <c r="ELF158" s="274"/>
      <c r="ELG158" s="274"/>
      <c r="ELH158" s="274"/>
      <c r="ELI158" s="274"/>
      <c r="ELJ158" s="273"/>
      <c r="ELK158" s="274"/>
      <c r="ELL158" s="274"/>
      <c r="ELM158" s="274"/>
      <c r="ELN158" s="274"/>
      <c r="ELO158" s="274"/>
      <c r="ELP158" s="273"/>
      <c r="ELQ158" s="274"/>
      <c r="ELR158" s="274"/>
      <c r="ELS158" s="274"/>
      <c r="ELT158" s="274"/>
      <c r="ELU158" s="274"/>
      <c r="ELV158" s="273"/>
      <c r="ELW158" s="274"/>
      <c r="ELX158" s="274"/>
      <c r="ELY158" s="274"/>
      <c r="ELZ158" s="274"/>
      <c r="EMA158" s="274"/>
      <c r="EMB158" s="273"/>
      <c r="EMC158" s="274"/>
      <c r="EMD158" s="274"/>
      <c r="EME158" s="274"/>
      <c r="EMF158" s="274"/>
      <c r="EMG158" s="274"/>
      <c r="EMH158" s="273"/>
      <c r="EMI158" s="274"/>
      <c r="EMJ158" s="274"/>
      <c r="EMK158" s="274"/>
      <c r="EML158" s="274"/>
      <c r="EMM158" s="274"/>
      <c r="EMN158" s="273"/>
      <c r="EMO158" s="274"/>
      <c r="EMP158" s="274"/>
      <c r="EMQ158" s="274"/>
      <c r="EMR158" s="274"/>
      <c r="EMS158" s="274"/>
      <c r="EMT158" s="273"/>
      <c r="EMU158" s="274"/>
      <c r="EMV158" s="274"/>
      <c r="EMW158" s="274"/>
      <c r="EMX158" s="274"/>
      <c r="EMY158" s="274"/>
      <c r="EMZ158" s="273"/>
      <c r="ENA158" s="274"/>
      <c r="ENB158" s="274"/>
      <c r="ENC158" s="274"/>
      <c r="END158" s="274"/>
      <c r="ENE158" s="274"/>
      <c r="ENF158" s="273"/>
      <c r="ENG158" s="274"/>
      <c r="ENH158" s="274"/>
      <c r="ENI158" s="274"/>
      <c r="ENJ158" s="274"/>
      <c r="ENK158" s="274"/>
      <c r="ENL158" s="273"/>
      <c r="ENM158" s="274"/>
      <c r="ENN158" s="274"/>
      <c r="ENO158" s="274"/>
      <c r="ENP158" s="274"/>
      <c r="ENQ158" s="274"/>
      <c r="ENR158" s="273"/>
      <c r="ENS158" s="274"/>
      <c r="ENT158" s="274"/>
      <c r="ENU158" s="274"/>
      <c r="ENV158" s="274"/>
      <c r="ENW158" s="274"/>
      <c r="ENX158" s="273"/>
      <c r="ENY158" s="274"/>
      <c r="ENZ158" s="274"/>
      <c r="EOA158" s="274"/>
      <c r="EOB158" s="274"/>
      <c r="EOC158" s="274"/>
      <c r="EOD158" s="273"/>
      <c r="EOE158" s="274"/>
      <c r="EOF158" s="274"/>
      <c r="EOG158" s="274"/>
      <c r="EOH158" s="274"/>
      <c r="EOI158" s="274"/>
      <c r="EOJ158" s="273"/>
      <c r="EOK158" s="274"/>
      <c r="EOL158" s="274"/>
      <c r="EOM158" s="274"/>
      <c r="EON158" s="274"/>
      <c r="EOO158" s="274"/>
      <c r="EOP158" s="273"/>
      <c r="EOQ158" s="274"/>
      <c r="EOR158" s="274"/>
      <c r="EOS158" s="274"/>
      <c r="EOT158" s="274"/>
      <c r="EOU158" s="274"/>
      <c r="EOV158" s="273"/>
      <c r="EOW158" s="274"/>
      <c r="EOX158" s="274"/>
      <c r="EOY158" s="274"/>
      <c r="EOZ158" s="274"/>
      <c r="EPA158" s="274"/>
      <c r="EPB158" s="273"/>
      <c r="EPC158" s="274"/>
      <c r="EPD158" s="274"/>
      <c r="EPE158" s="274"/>
      <c r="EPF158" s="274"/>
      <c r="EPG158" s="274"/>
      <c r="EPH158" s="273"/>
      <c r="EPI158" s="274"/>
      <c r="EPJ158" s="274"/>
      <c r="EPK158" s="274"/>
      <c r="EPL158" s="274"/>
      <c r="EPM158" s="274"/>
      <c r="EPN158" s="273"/>
      <c r="EPO158" s="274"/>
      <c r="EPP158" s="274"/>
      <c r="EPQ158" s="274"/>
      <c r="EPR158" s="274"/>
      <c r="EPS158" s="274"/>
      <c r="EPT158" s="273"/>
      <c r="EPU158" s="274"/>
      <c r="EPV158" s="274"/>
      <c r="EPW158" s="274"/>
      <c r="EPX158" s="274"/>
      <c r="EPY158" s="274"/>
      <c r="EPZ158" s="273"/>
      <c r="EQA158" s="274"/>
      <c r="EQB158" s="274"/>
      <c r="EQC158" s="274"/>
      <c r="EQD158" s="274"/>
      <c r="EQE158" s="274"/>
      <c r="EQF158" s="273"/>
      <c r="EQG158" s="274"/>
      <c r="EQH158" s="274"/>
      <c r="EQI158" s="274"/>
      <c r="EQJ158" s="274"/>
      <c r="EQK158" s="274"/>
      <c r="EQL158" s="273"/>
      <c r="EQM158" s="274"/>
      <c r="EQN158" s="274"/>
      <c r="EQO158" s="274"/>
      <c r="EQP158" s="274"/>
      <c r="EQQ158" s="274"/>
      <c r="EQR158" s="273"/>
      <c r="EQS158" s="274"/>
      <c r="EQT158" s="274"/>
      <c r="EQU158" s="274"/>
      <c r="EQV158" s="274"/>
      <c r="EQW158" s="274"/>
      <c r="EQX158" s="273"/>
      <c r="EQY158" s="274"/>
      <c r="EQZ158" s="274"/>
      <c r="ERA158" s="274"/>
      <c r="ERB158" s="274"/>
      <c r="ERC158" s="274"/>
      <c r="ERD158" s="273"/>
      <c r="ERE158" s="274"/>
      <c r="ERF158" s="274"/>
      <c r="ERG158" s="274"/>
      <c r="ERH158" s="274"/>
      <c r="ERI158" s="274"/>
      <c r="ERJ158" s="273"/>
      <c r="ERK158" s="274"/>
      <c r="ERL158" s="274"/>
      <c r="ERM158" s="274"/>
      <c r="ERN158" s="274"/>
      <c r="ERO158" s="274"/>
      <c r="ERP158" s="273"/>
      <c r="ERQ158" s="274"/>
      <c r="ERR158" s="274"/>
      <c r="ERS158" s="274"/>
      <c r="ERT158" s="274"/>
      <c r="ERU158" s="274"/>
      <c r="ERV158" s="273"/>
      <c r="ERW158" s="274"/>
      <c r="ERX158" s="274"/>
      <c r="ERY158" s="274"/>
      <c r="ERZ158" s="274"/>
      <c r="ESA158" s="274"/>
      <c r="ESB158" s="273"/>
      <c r="ESC158" s="274"/>
      <c r="ESD158" s="274"/>
      <c r="ESE158" s="274"/>
      <c r="ESF158" s="274"/>
      <c r="ESG158" s="274"/>
      <c r="ESH158" s="273"/>
      <c r="ESI158" s="274"/>
      <c r="ESJ158" s="274"/>
      <c r="ESK158" s="274"/>
      <c r="ESL158" s="274"/>
      <c r="ESM158" s="274"/>
      <c r="ESN158" s="273"/>
      <c r="ESO158" s="274"/>
      <c r="ESP158" s="274"/>
      <c r="ESQ158" s="274"/>
      <c r="ESR158" s="274"/>
      <c r="ESS158" s="274"/>
      <c r="EST158" s="273"/>
      <c r="ESU158" s="274"/>
      <c r="ESV158" s="274"/>
      <c r="ESW158" s="274"/>
      <c r="ESX158" s="274"/>
      <c r="ESY158" s="274"/>
      <c r="ESZ158" s="273"/>
      <c r="ETA158" s="274"/>
      <c r="ETB158" s="274"/>
      <c r="ETC158" s="274"/>
      <c r="ETD158" s="274"/>
      <c r="ETE158" s="274"/>
      <c r="ETF158" s="273"/>
      <c r="ETG158" s="274"/>
      <c r="ETH158" s="274"/>
      <c r="ETI158" s="274"/>
      <c r="ETJ158" s="274"/>
      <c r="ETK158" s="274"/>
      <c r="ETL158" s="273"/>
      <c r="ETM158" s="274"/>
      <c r="ETN158" s="274"/>
      <c r="ETO158" s="274"/>
      <c r="ETP158" s="274"/>
      <c r="ETQ158" s="274"/>
      <c r="ETR158" s="273"/>
      <c r="ETS158" s="274"/>
      <c r="ETT158" s="274"/>
      <c r="ETU158" s="274"/>
      <c r="ETV158" s="274"/>
      <c r="ETW158" s="274"/>
      <c r="ETX158" s="273"/>
      <c r="ETY158" s="274"/>
      <c r="ETZ158" s="274"/>
      <c r="EUA158" s="274"/>
      <c r="EUB158" s="274"/>
      <c r="EUC158" s="274"/>
      <c r="EUD158" s="273"/>
      <c r="EUE158" s="274"/>
      <c r="EUF158" s="274"/>
      <c r="EUG158" s="274"/>
      <c r="EUH158" s="274"/>
      <c r="EUI158" s="274"/>
      <c r="EUJ158" s="273"/>
      <c r="EUK158" s="274"/>
      <c r="EUL158" s="274"/>
      <c r="EUM158" s="274"/>
      <c r="EUN158" s="274"/>
      <c r="EUO158" s="274"/>
      <c r="EUP158" s="273"/>
      <c r="EUQ158" s="274"/>
      <c r="EUR158" s="274"/>
      <c r="EUS158" s="274"/>
      <c r="EUT158" s="274"/>
      <c r="EUU158" s="274"/>
      <c r="EUV158" s="273"/>
      <c r="EUW158" s="274"/>
      <c r="EUX158" s="274"/>
      <c r="EUY158" s="274"/>
      <c r="EUZ158" s="274"/>
      <c r="EVA158" s="274"/>
      <c r="EVB158" s="273"/>
      <c r="EVC158" s="274"/>
      <c r="EVD158" s="274"/>
      <c r="EVE158" s="274"/>
      <c r="EVF158" s="274"/>
      <c r="EVG158" s="274"/>
      <c r="EVH158" s="273"/>
      <c r="EVI158" s="274"/>
      <c r="EVJ158" s="274"/>
      <c r="EVK158" s="274"/>
      <c r="EVL158" s="274"/>
      <c r="EVM158" s="274"/>
      <c r="EVN158" s="273"/>
      <c r="EVO158" s="274"/>
      <c r="EVP158" s="274"/>
      <c r="EVQ158" s="274"/>
      <c r="EVR158" s="274"/>
      <c r="EVS158" s="274"/>
      <c r="EVT158" s="273"/>
      <c r="EVU158" s="274"/>
      <c r="EVV158" s="274"/>
      <c r="EVW158" s="274"/>
      <c r="EVX158" s="274"/>
      <c r="EVY158" s="274"/>
      <c r="EVZ158" s="273"/>
      <c r="EWA158" s="274"/>
      <c r="EWB158" s="274"/>
      <c r="EWC158" s="274"/>
      <c r="EWD158" s="274"/>
      <c r="EWE158" s="274"/>
      <c r="EWF158" s="273"/>
      <c r="EWG158" s="274"/>
      <c r="EWH158" s="274"/>
      <c r="EWI158" s="274"/>
      <c r="EWJ158" s="274"/>
      <c r="EWK158" s="274"/>
      <c r="EWL158" s="273"/>
      <c r="EWM158" s="274"/>
      <c r="EWN158" s="274"/>
      <c r="EWO158" s="274"/>
      <c r="EWP158" s="274"/>
      <c r="EWQ158" s="274"/>
      <c r="EWR158" s="273"/>
      <c r="EWS158" s="274"/>
      <c r="EWT158" s="274"/>
      <c r="EWU158" s="274"/>
      <c r="EWV158" s="274"/>
      <c r="EWW158" s="274"/>
      <c r="EWX158" s="273"/>
      <c r="EWY158" s="274"/>
      <c r="EWZ158" s="274"/>
      <c r="EXA158" s="274"/>
      <c r="EXB158" s="274"/>
      <c r="EXC158" s="274"/>
      <c r="EXD158" s="273"/>
      <c r="EXE158" s="274"/>
      <c r="EXF158" s="274"/>
      <c r="EXG158" s="274"/>
      <c r="EXH158" s="274"/>
      <c r="EXI158" s="274"/>
      <c r="EXJ158" s="273"/>
      <c r="EXK158" s="274"/>
      <c r="EXL158" s="274"/>
      <c r="EXM158" s="274"/>
      <c r="EXN158" s="274"/>
      <c r="EXO158" s="274"/>
      <c r="EXP158" s="273"/>
      <c r="EXQ158" s="274"/>
      <c r="EXR158" s="274"/>
      <c r="EXS158" s="274"/>
      <c r="EXT158" s="274"/>
      <c r="EXU158" s="274"/>
      <c r="EXV158" s="273"/>
      <c r="EXW158" s="274"/>
      <c r="EXX158" s="274"/>
      <c r="EXY158" s="274"/>
      <c r="EXZ158" s="274"/>
      <c r="EYA158" s="274"/>
      <c r="EYB158" s="273"/>
      <c r="EYC158" s="274"/>
      <c r="EYD158" s="274"/>
      <c r="EYE158" s="274"/>
      <c r="EYF158" s="274"/>
      <c r="EYG158" s="274"/>
      <c r="EYH158" s="273"/>
      <c r="EYI158" s="274"/>
      <c r="EYJ158" s="274"/>
      <c r="EYK158" s="274"/>
      <c r="EYL158" s="274"/>
      <c r="EYM158" s="274"/>
      <c r="EYN158" s="273"/>
      <c r="EYO158" s="274"/>
      <c r="EYP158" s="274"/>
      <c r="EYQ158" s="274"/>
      <c r="EYR158" s="274"/>
      <c r="EYS158" s="274"/>
      <c r="EYT158" s="273"/>
      <c r="EYU158" s="274"/>
      <c r="EYV158" s="274"/>
      <c r="EYW158" s="274"/>
      <c r="EYX158" s="274"/>
      <c r="EYY158" s="274"/>
      <c r="EYZ158" s="273"/>
      <c r="EZA158" s="274"/>
      <c r="EZB158" s="274"/>
      <c r="EZC158" s="274"/>
      <c r="EZD158" s="274"/>
      <c r="EZE158" s="274"/>
      <c r="EZF158" s="273"/>
      <c r="EZG158" s="274"/>
      <c r="EZH158" s="274"/>
      <c r="EZI158" s="274"/>
      <c r="EZJ158" s="274"/>
      <c r="EZK158" s="274"/>
      <c r="EZL158" s="273"/>
      <c r="EZM158" s="274"/>
      <c r="EZN158" s="274"/>
      <c r="EZO158" s="274"/>
      <c r="EZP158" s="274"/>
      <c r="EZQ158" s="274"/>
      <c r="EZR158" s="273"/>
      <c r="EZS158" s="274"/>
      <c r="EZT158" s="274"/>
      <c r="EZU158" s="274"/>
      <c r="EZV158" s="274"/>
      <c r="EZW158" s="274"/>
      <c r="EZX158" s="273"/>
      <c r="EZY158" s="274"/>
      <c r="EZZ158" s="274"/>
      <c r="FAA158" s="274"/>
      <c r="FAB158" s="274"/>
      <c r="FAC158" s="274"/>
      <c r="FAD158" s="273"/>
      <c r="FAE158" s="274"/>
      <c r="FAF158" s="274"/>
      <c r="FAG158" s="274"/>
      <c r="FAH158" s="274"/>
      <c r="FAI158" s="274"/>
      <c r="FAJ158" s="273"/>
      <c r="FAK158" s="274"/>
      <c r="FAL158" s="274"/>
      <c r="FAM158" s="274"/>
      <c r="FAN158" s="274"/>
      <c r="FAO158" s="274"/>
      <c r="FAP158" s="273"/>
      <c r="FAQ158" s="274"/>
      <c r="FAR158" s="274"/>
      <c r="FAS158" s="274"/>
      <c r="FAT158" s="274"/>
      <c r="FAU158" s="274"/>
      <c r="FAV158" s="273"/>
      <c r="FAW158" s="274"/>
      <c r="FAX158" s="274"/>
      <c r="FAY158" s="274"/>
      <c r="FAZ158" s="274"/>
      <c r="FBA158" s="274"/>
      <c r="FBB158" s="273"/>
      <c r="FBC158" s="274"/>
      <c r="FBD158" s="274"/>
      <c r="FBE158" s="274"/>
      <c r="FBF158" s="274"/>
      <c r="FBG158" s="274"/>
      <c r="FBH158" s="273"/>
      <c r="FBI158" s="274"/>
      <c r="FBJ158" s="274"/>
      <c r="FBK158" s="274"/>
      <c r="FBL158" s="274"/>
      <c r="FBM158" s="274"/>
      <c r="FBN158" s="273"/>
      <c r="FBO158" s="274"/>
      <c r="FBP158" s="274"/>
      <c r="FBQ158" s="274"/>
      <c r="FBR158" s="274"/>
      <c r="FBS158" s="274"/>
      <c r="FBT158" s="273"/>
      <c r="FBU158" s="274"/>
      <c r="FBV158" s="274"/>
      <c r="FBW158" s="274"/>
      <c r="FBX158" s="274"/>
      <c r="FBY158" s="274"/>
      <c r="FBZ158" s="273"/>
      <c r="FCA158" s="274"/>
      <c r="FCB158" s="274"/>
      <c r="FCC158" s="274"/>
      <c r="FCD158" s="274"/>
      <c r="FCE158" s="274"/>
      <c r="FCF158" s="273"/>
      <c r="FCG158" s="274"/>
      <c r="FCH158" s="274"/>
      <c r="FCI158" s="274"/>
      <c r="FCJ158" s="274"/>
      <c r="FCK158" s="274"/>
      <c r="FCL158" s="273"/>
      <c r="FCM158" s="274"/>
      <c r="FCN158" s="274"/>
      <c r="FCO158" s="274"/>
      <c r="FCP158" s="274"/>
      <c r="FCQ158" s="274"/>
      <c r="FCR158" s="273"/>
      <c r="FCS158" s="274"/>
      <c r="FCT158" s="274"/>
      <c r="FCU158" s="274"/>
      <c r="FCV158" s="274"/>
      <c r="FCW158" s="274"/>
      <c r="FCX158" s="273"/>
      <c r="FCY158" s="274"/>
      <c r="FCZ158" s="274"/>
      <c r="FDA158" s="274"/>
      <c r="FDB158" s="274"/>
      <c r="FDC158" s="274"/>
      <c r="FDD158" s="273"/>
      <c r="FDE158" s="274"/>
      <c r="FDF158" s="274"/>
      <c r="FDG158" s="274"/>
      <c r="FDH158" s="274"/>
      <c r="FDI158" s="274"/>
      <c r="FDJ158" s="273"/>
      <c r="FDK158" s="274"/>
      <c r="FDL158" s="274"/>
      <c r="FDM158" s="274"/>
      <c r="FDN158" s="274"/>
      <c r="FDO158" s="274"/>
      <c r="FDP158" s="273"/>
      <c r="FDQ158" s="274"/>
      <c r="FDR158" s="274"/>
      <c r="FDS158" s="274"/>
      <c r="FDT158" s="274"/>
      <c r="FDU158" s="274"/>
      <c r="FDV158" s="273"/>
      <c r="FDW158" s="274"/>
      <c r="FDX158" s="274"/>
      <c r="FDY158" s="274"/>
      <c r="FDZ158" s="274"/>
      <c r="FEA158" s="274"/>
      <c r="FEB158" s="273"/>
      <c r="FEC158" s="274"/>
      <c r="FED158" s="274"/>
      <c r="FEE158" s="274"/>
      <c r="FEF158" s="274"/>
      <c r="FEG158" s="274"/>
      <c r="FEH158" s="273"/>
      <c r="FEI158" s="274"/>
      <c r="FEJ158" s="274"/>
      <c r="FEK158" s="274"/>
      <c r="FEL158" s="274"/>
      <c r="FEM158" s="274"/>
      <c r="FEN158" s="273"/>
      <c r="FEO158" s="274"/>
      <c r="FEP158" s="274"/>
      <c r="FEQ158" s="274"/>
      <c r="FER158" s="274"/>
      <c r="FES158" s="274"/>
      <c r="FET158" s="273"/>
      <c r="FEU158" s="274"/>
      <c r="FEV158" s="274"/>
      <c r="FEW158" s="274"/>
      <c r="FEX158" s="274"/>
      <c r="FEY158" s="274"/>
      <c r="FEZ158" s="273"/>
      <c r="FFA158" s="274"/>
      <c r="FFB158" s="274"/>
      <c r="FFC158" s="274"/>
      <c r="FFD158" s="274"/>
      <c r="FFE158" s="274"/>
      <c r="FFF158" s="273"/>
      <c r="FFG158" s="274"/>
      <c r="FFH158" s="274"/>
      <c r="FFI158" s="274"/>
      <c r="FFJ158" s="274"/>
      <c r="FFK158" s="274"/>
      <c r="FFL158" s="273"/>
      <c r="FFM158" s="274"/>
      <c r="FFN158" s="274"/>
      <c r="FFO158" s="274"/>
      <c r="FFP158" s="274"/>
      <c r="FFQ158" s="274"/>
      <c r="FFR158" s="273"/>
      <c r="FFS158" s="274"/>
      <c r="FFT158" s="274"/>
      <c r="FFU158" s="274"/>
      <c r="FFV158" s="274"/>
      <c r="FFW158" s="274"/>
      <c r="FFX158" s="273"/>
      <c r="FFY158" s="274"/>
      <c r="FFZ158" s="274"/>
      <c r="FGA158" s="274"/>
      <c r="FGB158" s="274"/>
      <c r="FGC158" s="274"/>
      <c r="FGD158" s="273"/>
      <c r="FGE158" s="274"/>
      <c r="FGF158" s="274"/>
      <c r="FGG158" s="274"/>
      <c r="FGH158" s="274"/>
      <c r="FGI158" s="274"/>
      <c r="FGJ158" s="273"/>
      <c r="FGK158" s="274"/>
      <c r="FGL158" s="274"/>
      <c r="FGM158" s="274"/>
      <c r="FGN158" s="274"/>
      <c r="FGO158" s="274"/>
      <c r="FGP158" s="273"/>
      <c r="FGQ158" s="274"/>
      <c r="FGR158" s="274"/>
      <c r="FGS158" s="274"/>
      <c r="FGT158" s="274"/>
      <c r="FGU158" s="274"/>
      <c r="FGV158" s="273"/>
      <c r="FGW158" s="274"/>
      <c r="FGX158" s="274"/>
      <c r="FGY158" s="274"/>
      <c r="FGZ158" s="274"/>
      <c r="FHA158" s="274"/>
      <c r="FHB158" s="273"/>
      <c r="FHC158" s="274"/>
      <c r="FHD158" s="274"/>
      <c r="FHE158" s="274"/>
      <c r="FHF158" s="274"/>
      <c r="FHG158" s="274"/>
      <c r="FHH158" s="273"/>
      <c r="FHI158" s="274"/>
      <c r="FHJ158" s="274"/>
      <c r="FHK158" s="274"/>
      <c r="FHL158" s="274"/>
      <c r="FHM158" s="274"/>
      <c r="FHN158" s="273"/>
      <c r="FHO158" s="274"/>
      <c r="FHP158" s="274"/>
      <c r="FHQ158" s="274"/>
      <c r="FHR158" s="274"/>
      <c r="FHS158" s="274"/>
      <c r="FHT158" s="273"/>
      <c r="FHU158" s="274"/>
      <c r="FHV158" s="274"/>
      <c r="FHW158" s="274"/>
      <c r="FHX158" s="274"/>
      <c r="FHY158" s="274"/>
      <c r="FHZ158" s="273"/>
      <c r="FIA158" s="274"/>
      <c r="FIB158" s="274"/>
      <c r="FIC158" s="274"/>
      <c r="FID158" s="274"/>
      <c r="FIE158" s="274"/>
      <c r="FIF158" s="273"/>
      <c r="FIG158" s="274"/>
      <c r="FIH158" s="274"/>
      <c r="FII158" s="274"/>
      <c r="FIJ158" s="274"/>
      <c r="FIK158" s="274"/>
      <c r="FIL158" s="273"/>
      <c r="FIM158" s="274"/>
      <c r="FIN158" s="274"/>
      <c r="FIO158" s="274"/>
      <c r="FIP158" s="274"/>
      <c r="FIQ158" s="274"/>
      <c r="FIR158" s="273"/>
      <c r="FIS158" s="274"/>
      <c r="FIT158" s="274"/>
      <c r="FIU158" s="274"/>
      <c r="FIV158" s="274"/>
      <c r="FIW158" s="274"/>
      <c r="FIX158" s="273"/>
      <c r="FIY158" s="274"/>
      <c r="FIZ158" s="274"/>
      <c r="FJA158" s="274"/>
      <c r="FJB158" s="274"/>
      <c r="FJC158" s="274"/>
      <c r="FJD158" s="273"/>
      <c r="FJE158" s="274"/>
      <c r="FJF158" s="274"/>
      <c r="FJG158" s="274"/>
      <c r="FJH158" s="274"/>
      <c r="FJI158" s="274"/>
      <c r="FJJ158" s="273"/>
      <c r="FJK158" s="274"/>
      <c r="FJL158" s="274"/>
      <c r="FJM158" s="274"/>
      <c r="FJN158" s="274"/>
      <c r="FJO158" s="274"/>
      <c r="FJP158" s="273"/>
      <c r="FJQ158" s="274"/>
      <c r="FJR158" s="274"/>
      <c r="FJS158" s="274"/>
      <c r="FJT158" s="274"/>
      <c r="FJU158" s="274"/>
      <c r="FJV158" s="273"/>
      <c r="FJW158" s="274"/>
      <c r="FJX158" s="274"/>
      <c r="FJY158" s="274"/>
      <c r="FJZ158" s="274"/>
      <c r="FKA158" s="274"/>
      <c r="FKB158" s="273"/>
      <c r="FKC158" s="274"/>
      <c r="FKD158" s="274"/>
      <c r="FKE158" s="274"/>
      <c r="FKF158" s="274"/>
      <c r="FKG158" s="274"/>
      <c r="FKH158" s="273"/>
      <c r="FKI158" s="274"/>
      <c r="FKJ158" s="274"/>
      <c r="FKK158" s="274"/>
      <c r="FKL158" s="274"/>
      <c r="FKM158" s="274"/>
      <c r="FKN158" s="273"/>
      <c r="FKO158" s="274"/>
      <c r="FKP158" s="274"/>
      <c r="FKQ158" s="274"/>
      <c r="FKR158" s="274"/>
      <c r="FKS158" s="274"/>
      <c r="FKT158" s="273"/>
      <c r="FKU158" s="274"/>
      <c r="FKV158" s="274"/>
      <c r="FKW158" s="274"/>
      <c r="FKX158" s="274"/>
      <c r="FKY158" s="274"/>
      <c r="FKZ158" s="273"/>
      <c r="FLA158" s="274"/>
      <c r="FLB158" s="274"/>
      <c r="FLC158" s="274"/>
      <c r="FLD158" s="274"/>
      <c r="FLE158" s="274"/>
      <c r="FLF158" s="273"/>
      <c r="FLG158" s="274"/>
      <c r="FLH158" s="274"/>
      <c r="FLI158" s="274"/>
      <c r="FLJ158" s="274"/>
      <c r="FLK158" s="274"/>
      <c r="FLL158" s="273"/>
      <c r="FLM158" s="274"/>
      <c r="FLN158" s="274"/>
      <c r="FLO158" s="274"/>
      <c r="FLP158" s="274"/>
      <c r="FLQ158" s="274"/>
      <c r="FLR158" s="273"/>
      <c r="FLS158" s="274"/>
      <c r="FLT158" s="274"/>
      <c r="FLU158" s="274"/>
      <c r="FLV158" s="274"/>
      <c r="FLW158" s="274"/>
      <c r="FLX158" s="273"/>
      <c r="FLY158" s="274"/>
      <c r="FLZ158" s="274"/>
      <c r="FMA158" s="274"/>
      <c r="FMB158" s="274"/>
      <c r="FMC158" s="274"/>
      <c r="FMD158" s="273"/>
      <c r="FME158" s="274"/>
      <c r="FMF158" s="274"/>
      <c r="FMG158" s="274"/>
      <c r="FMH158" s="274"/>
      <c r="FMI158" s="274"/>
      <c r="FMJ158" s="273"/>
      <c r="FMK158" s="274"/>
      <c r="FML158" s="274"/>
      <c r="FMM158" s="274"/>
      <c r="FMN158" s="274"/>
      <c r="FMO158" s="274"/>
      <c r="FMP158" s="273"/>
      <c r="FMQ158" s="274"/>
      <c r="FMR158" s="274"/>
      <c r="FMS158" s="274"/>
      <c r="FMT158" s="274"/>
      <c r="FMU158" s="274"/>
      <c r="FMV158" s="273"/>
      <c r="FMW158" s="274"/>
      <c r="FMX158" s="274"/>
      <c r="FMY158" s="274"/>
      <c r="FMZ158" s="274"/>
      <c r="FNA158" s="274"/>
      <c r="FNB158" s="273"/>
      <c r="FNC158" s="274"/>
      <c r="FND158" s="274"/>
      <c r="FNE158" s="274"/>
      <c r="FNF158" s="274"/>
      <c r="FNG158" s="274"/>
      <c r="FNH158" s="273"/>
      <c r="FNI158" s="274"/>
      <c r="FNJ158" s="274"/>
      <c r="FNK158" s="274"/>
      <c r="FNL158" s="274"/>
      <c r="FNM158" s="274"/>
      <c r="FNN158" s="273"/>
      <c r="FNO158" s="274"/>
      <c r="FNP158" s="274"/>
      <c r="FNQ158" s="274"/>
      <c r="FNR158" s="274"/>
      <c r="FNS158" s="274"/>
      <c r="FNT158" s="273"/>
      <c r="FNU158" s="274"/>
      <c r="FNV158" s="274"/>
      <c r="FNW158" s="274"/>
      <c r="FNX158" s="274"/>
      <c r="FNY158" s="274"/>
      <c r="FNZ158" s="273"/>
      <c r="FOA158" s="274"/>
      <c r="FOB158" s="274"/>
      <c r="FOC158" s="274"/>
      <c r="FOD158" s="274"/>
      <c r="FOE158" s="274"/>
      <c r="FOF158" s="273"/>
      <c r="FOG158" s="274"/>
      <c r="FOH158" s="274"/>
      <c r="FOI158" s="274"/>
      <c r="FOJ158" s="274"/>
      <c r="FOK158" s="274"/>
      <c r="FOL158" s="273"/>
      <c r="FOM158" s="274"/>
      <c r="FON158" s="274"/>
      <c r="FOO158" s="274"/>
      <c r="FOP158" s="274"/>
      <c r="FOQ158" s="274"/>
      <c r="FOR158" s="273"/>
      <c r="FOS158" s="274"/>
      <c r="FOT158" s="274"/>
      <c r="FOU158" s="274"/>
      <c r="FOV158" s="274"/>
      <c r="FOW158" s="274"/>
      <c r="FOX158" s="273"/>
      <c r="FOY158" s="274"/>
      <c r="FOZ158" s="274"/>
      <c r="FPA158" s="274"/>
      <c r="FPB158" s="274"/>
      <c r="FPC158" s="274"/>
      <c r="FPD158" s="273"/>
      <c r="FPE158" s="274"/>
      <c r="FPF158" s="274"/>
      <c r="FPG158" s="274"/>
      <c r="FPH158" s="274"/>
      <c r="FPI158" s="274"/>
      <c r="FPJ158" s="273"/>
      <c r="FPK158" s="274"/>
      <c r="FPL158" s="274"/>
      <c r="FPM158" s="274"/>
      <c r="FPN158" s="274"/>
      <c r="FPO158" s="274"/>
      <c r="FPP158" s="273"/>
      <c r="FPQ158" s="274"/>
      <c r="FPR158" s="274"/>
      <c r="FPS158" s="274"/>
      <c r="FPT158" s="274"/>
      <c r="FPU158" s="274"/>
      <c r="FPV158" s="273"/>
      <c r="FPW158" s="274"/>
      <c r="FPX158" s="274"/>
      <c r="FPY158" s="274"/>
      <c r="FPZ158" s="274"/>
      <c r="FQA158" s="274"/>
      <c r="FQB158" s="273"/>
      <c r="FQC158" s="274"/>
      <c r="FQD158" s="274"/>
      <c r="FQE158" s="274"/>
      <c r="FQF158" s="274"/>
      <c r="FQG158" s="274"/>
      <c r="FQH158" s="273"/>
      <c r="FQI158" s="274"/>
      <c r="FQJ158" s="274"/>
      <c r="FQK158" s="274"/>
      <c r="FQL158" s="274"/>
      <c r="FQM158" s="274"/>
      <c r="FQN158" s="273"/>
      <c r="FQO158" s="274"/>
      <c r="FQP158" s="274"/>
      <c r="FQQ158" s="274"/>
      <c r="FQR158" s="274"/>
      <c r="FQS158" s="274"/>
      <c r="FQT158" s="273"/>
      <c r="FQU158" s="274"/>
      <c r="FQV158" s="274"/>
      <c r="FQW158" s="274"/>
      <c r="FQX158" s="274"/>
      <c r="FQY158" s="274"/>
      <c r="FQZ158" s="273"/>
      <c r="FRA158" s="274"/>
      <c r="FRB158" s="274"/>
      <c r="FRC158" s="274"/>
      <c r="FRD158" s="274"/>
      <c r="FRE158" s="274"/>
      <c r="FRF158" s="273"/>
      <c r="FRG158" s="274"/>
      <c r="FRH158" s="274"/>
      <c r="FRI158" s="274"/>
      <c r="FRJ158" s="274"/>
      <c r="FRK158" s="274"/>
      <c r="FRL158" s="273"/>
      <c r="FRM158" s="274"/>
      <c r="FRN158" s="274"/>
      <c r="FRO158" s="274"/>
      <c r="FRP158" s="274"/>
      <c r="FRQ158" s="274"/>
      <c r="FRR158" s="273"/>
      <c r="FRS158" s="274"/>
      <c r="FRT158" s="274"/>
      <c r="FRU158" s="274"/>
      <c r="FRV158" s="274"/>
      <c r="FRW158" s="274"/>
      <c r="FRX158" s="273"/>
      <c r="FRY158" s="274"/>
      <c r="FRZ158" s="274"/>
      <c r="FSA158" s="274"/>
      <c r="FSB158" s="274"/>
      <c r="FSC158" s="274"/>
      <c r="FSD158" s="273"/>
      <c r="FSE158" s="274"/>
      <c r="FSF158" s="274"/>
      <c r="FSG158" s="274"/>
      <c r="FSH158" s="274"/>
      <c r="FSI158" s="274"/>
      <c r="FSJ158" s="273"/>
      <c r="FSK158" s="274"/>
      <c r="FSL158" s="274"/>
      <c r="FSM158" s="274"/>
      <c r="FSN158" s="274"/>
      <c r="FSO158" s="274"/>
      <c r="FSP158" s="273"/>
      <c r="FSQ158" s="274"/>
      <c r="FSR158" s="274"/>
      <c r="FSS158" s="274"/>
      <c r="FST158" s="274"/>
      <c r="FSU158" s="274"/>
      <c r="FSV158" s="273"/>
      <c r="FSW158" s="274"/>
      <c r="FSX158" s="274"/>
      <c r="FSY158" s="274"/>
      <c r="FSZ158" s="274"/>
      <c r="FTA158" s="274"/>
      <c r="FTB158" s="273"/>
      <c r="FTC158" s="274"/>
      <c r="FTD158" s="274"/>
      <c r="FTE158" s="274"/>
      <c r="FTF158" s="274"/>
      <c r="FTG158" s="274"/>
      <c r="FTH158" s="273"/>
      <c r="FTI158" s="274"/>
      <c r="FTJ158" s="274"/>
      <c r="FTK158" s="274"/>
      <c r="FTL158" s="274"/>
      <c r="FTM158" s="274"/>
      <c r="FTN158" s="273"/>
      <c r="FTO158" s="274"/>
      <c r="FTP158" s="274"/>
      <c r="FTQ158" s="274"/>
      <c r="FTR158" s="274"/>
      <c r="FTS158" s="274"/>
      <c r="FTT158" s="273"/>
      <c r="FTU158" s="274"/>
      <c r="FTV158" s="274"/>
      <c r="FTW158" s="274"/>
      <c r="FTX158" s="274"/>
      <c r="FTY158" s="274"/>
      <c r="FTZ158" s="273"/>
      <c r="FUA158" s="274"/>
      <c r="FUB158" s="274"/>
      <c r="FUC158" s="274"/>
      <c r="FUD158" s="274"/>
      <c r="FUE158" s="274"/>
      <c r="FUF158" s="273"/>
      <c r="FUG158" s="274"/>
      <c r="FUH158" s="274"/>
      <c r="FUI158" s="274"/>
      <c r="FUJ158" s="274"/>
      <c r="FUK158" s="274"/>
      <c r="FUL158" s="273"/>
      <c r="FUM158" s="274"/>
      <c r="FUN158" s="274"/>
      <c r="FUO158" s="274"/>
      <c r="FUP158" s="274"/>
      <c r="FUQ158" s="274"/>
      <c r="FUR158" s="273"/>
      <c r="FUS158" s="274"/>
      <c r="FUT158" s="274"/>
      <c r="FUU158" s="274"/>
      <c r="FUV158" s="274"/>
      <c r="FUW158" s="274"/>
      <c r="FUX158" s="273"/>
      <c r="FUY158" s="274"/>
      <c r="FUZ158" s="274"/>
      <c r="FVA158" s="274"/>
      <c r="FVB158" s="274"/>
      <c r="FVC158" s="274"/>
      <c r="FVD158" s="273"/>
      <c r="FVE158" s="274"/>
      <c r="FVF158" s="274"/>
      <c r="FVG158" s="274"/>
      <c r="FVH158" s="274"/>
      <c r="FVI158" s="274"/>
      <c r="FVJ158" s="273"/>
      <c r="FVK158" s="274"/>
      <c r="FVL158" s="274"/>
      <c r="FVM158" s="274"/>
      <c r="FVN158" s="274"/>
      <c r="FVO158" s="274"/>
      <c r="FVP158" s="273"/>
      <c r="FVQ158" s="274"/>
      <c r="FVR158" s="274"/>
      <c r="FVS158" s="274"/>
      <c r="FVT158" s="274"/>
      <c r="FVU158" s="274"/>
      <c r="FVV158" s="273"/>
      <c r="FVW158" s="274"/>
      <c r="FVX158" s="274"/>
      <c r="FVY158" s="274"/>
      <c r="FVZ158" s="274"/>
      <c r="FWA158" s="274"/>
      <c r="FWB158" s="273"/>
      <c r="FWC158" s="274"/>
      <c r="FWD158" s="274"/>
      <c r="FWE158" s="274"/>
      <c r="FWF158" s="274"/>
      <c r="FWG158" s="274"/>
      <c r="FWH158" s="273"/>
      <c r="FWI158" s="274"/>
      <c r="FWJ158" s="274"/>
      <c r="FWK158" s="274"/>
      <c r="FWL158" s="274"/>
      <c r="FWM158" s="274"/>
      <c r="FWN158" s="273"/>
      <c r="FWO158" s="274"/>
      <c r="FWP158" s="274"/>
      <c r="FWQ158" s="274"/>
      <c r="FWR158" s="274"/>
      <c r="FWS158" s="274"/>
      <c r="FWT158" s="273"/>
      <c r="FWU158" s="274"/>
      <c r="FWV158" s="274"/>
      <c r="FWW158" s="274"/>
      <c r="FWX158" s="274"/>
      <c r="FWY158" s="274"/>
      <c r="FWZ158" s="273"/>
      <c r="FXA158" s="274"/>
      <c r="FXB158" s="274"/>
      <c r="FXC158" s="274"/>
      <c r="FXD158" s="274"/>
      <c r="FXE158" s="274"/>
      <c r="FXF158" s="273"/>
      <c r="FXG158" s="274"/>
      <c r="FXH158" s="274"/>
      <c r="FXI158" s="274"/>
      <c r="FXJ158" s="274"/>
      <c r="FXK158" s="274"/>
      <c r="FXL158" s="273"/>
      <c r="FXM158" s="274"/>
      <c r="FXN158" s="274"/>
      <c r="FXO158" s="274"/>
      <c r="FXP158" s="274"/>
      <c r="FXQ158" s="274"/>
      <c r="FXR158" s="273"/>
      <c r="FXS158" s="274"/>
      <c r="FXT158" s="274"/>
      <c r="FXU158" s="274"/>
      <c r="FXV158" s="274"/>
      <c r="FXW158" s="274"/>
      <c r="FXX158" s="273"/>
      <c r="FXY158" s="274"/>
      <c r="FXZ158" s="274"/>
      <c r="FYA158" s="274"/>
      <c r="FYB158" s="274"/>
      <c r="FYC158" s="274"/>
      <c r="FYD158" s="273"/>
      <c r="FYE158" s="274"/>
      <c r="FYF158" s="274"/>
      <c r="FYG158" s="274"/>
      <c r="FYH158" s="274"/>
      <c r="FYI158" s="274"/>
      <c r="FYJ158" s="273"/>
      <c r="FYK158" s="274"/>
      <c r="FYL158" s="274"/>
      <c r="FYM158" s="274"/>
      <c r="FYN158" s="274"/>
      <c r="FYO158" s="274"/>
      <c r="FYP158" s="273"/>
      <c r="FYQ158" s="274"/>
      <c r="FYR158" s="274"/>
      <c r="FYS158" s="274"/>
      <c r="FYT158" s="274"/>
      <c r="FYU158" s="274"/>
      <c r="FYV158" s="273"/>
      <c r="FYW158" s="274"/>
      <c r="FYX158" s="274"/>
      <c r="FYY158" s="274"/>
      <c r="FYZ158" s="274"/>
      <c r="FZA158" s="274"/>
      <c r="FZB158" s="273"/>
      <c r="FZC158" s="274"/>
      <c r="FZD158" s="274"/>
      <c r="FZE158" s="274"/>
      <c r="FZF158" s="274"/>
      <c r="FZG158" s="274"/>
      <c r="FZH158" s="273"/>
      <c r="FZI158" s="274"/>
      <c r="FZJ158" s="274"/>
      <c r="FZK158" s="274"/>
      <c r="FZL158" s="274"/>
      <c r="FZM158" s="274"/>
      <c r="FZN158" s="273"/>
      <c r="FZO158" s="274"/>
      <c r="FZP158" s="274"/>
      <c r="FZQ158" s="274"/>
      <c r="FZR158" s="274"/>
      <c r="FZS158" s="274"/>
      <c r="FZT158" s="273"/>
      <c r="FZU158" s="274"/>
      <c r="FZV158" s="274"/>
      <c r="FZW158" s="274"/>
      <c r="FZX158" s="274"/>
      <c r="FZY158" s="274"/>
      <c r="FZZ158" s="273"/>
      <c r="GAA158" s="274"/>
      <c r="GAB158" s="274"/>
      <c r="GAC158" s="274"/>
      <c r="GAD158" s="274"/>
      <c r="GAE158" s="274"/>
      <c r="GAF158" s="273"/>
      <c r="GAG158" s="274"/>
      <c r="GAH158" s="274"/>
      <c r="GAI158" s="274"/>
      <c r="GAJ158" s="274"/>
      <c r="GAK158" s="274"/>
      <c r="GAL158" s="273"/>
      <c r="GAM158" s="274"/>
      <c r="GAN158" s="274"/>
      <c r="GAO158" s="274"/>
      <c r="GAP158" s="274"/>
      <c r="GAQ158" s="274"/>
      <c r="GAR158" s="273"/>
      <c r="GAS158" s="274"/>
      <c r="GAT158" s="274"/>
      <c r="GAU158" s="274"/>
      <c r="GAV158" s="274"/>
      <c r="GAW158" s="274"/>
      <c r="GAX158" s="273"/>
      <c r="GAY158" s="274"/>
      <c r="GAZ158" s="274"/>
      <c r="GBA158" s="274"/>
      <c r="GBB158" s="274"/>
      <c r="GBC158" s="274"/>
      <c r="GBD158" s="273"/>
      <c r="GBE158" s="274"/>
      <c r="GBF158" s="274"/>
      <c r="GBG158" s="274"/>
      <c r="GBH158" s="274"/>
      <c r="GBI158" s="274"/>
      <c r="GBJ158" s="273"/>
      <c r="GBK158" s="274"/>
      <c r="GBL158" s="274"/>
      <c r="GBM158" s="274"/>
      <c r="GBN158" s="274"/>
      <c r="GBO158" s="274"/>
      <c r="GBP158" s="273"/>
      <c r="GBQ158" s="274"/>
      <c r="GBR158" s="274"/>
      <c r="GBS158" s="274"/>
      <c r="GBT158" s="274"/>
      <c r="GBU158" s="274"/>
      <c r="GBV158" s="273"/>
      <c r="GBW158" s="274"/>
      <c r="GBX158" s="274"/>
      <c r="GBY158" s="274"/>
      <c r="GBZ158" s="274"/>
      <c r="GCA158" s="274"/>
      <c r="GCB158" s="273"/>
      <c r="GCC158" s="274"/>
      <c r="GCD158" s="274"/>
      <c r="GCE158" s="274"/>
      <c r="GCF158" s="274"/>
      <c r="GCG158" s="274"/>
      <c r="GCH158" s="273"/>
      <c r="GCI158" s="274"/>
      <c r="GCJ158" s="274"/>
      <c r="GCK158" s="274"/>
      <c r="GCL158" s="274"/>
      <c r="GCM158" s="274"/>
      <c r="GCN158" s="273"/>
      <c r="GCO158" s="274"/>
      <c r="GCP158" s="274"/>
      <c r="GCQ158" s="274"/>
      <c r="GCR158" s="274"/>
      <c r="GCS158" s="274"/>
      <c r="GCT158" s="273"/>
      <c r="GCU158" s="274"/>
      <c r="GCV158" s="274"/>
      <c r="GCW158" s="274"/>
      <c r="GCX158" s="274"/>
      <c r="GCY158" s="274"/>
      <c r="GCZ158" s="273"/>
      <c r="GDA158" s="274"/>
      <c r="GDB158" s="274"/>
      <c r="GDC158" s="274"/>
      <c r="GDD158" s="274"/>
      <c r="GDE158" s="274"/>
      <c r="GDF158" s="273"/>
      <c r="GDG158" s="274"/>
      <c r="GDH158" s="274"/>
      <c r="GDI158" s="274"/>
      <c r="GDJ158" s="274"/>
      <c r="GDK158" s="274"/>
      <c r="GDL158" s="273"/>
      <c r="GDM158" s="274"/>
      <c r="GDN158" s="274"/>
      <c r="GDO158" s="274"/>
      <c r="GDP158" s="274"/>
      <c r="GDQ158" s="274"/>
      <c r="GDR158" s="273"/>
      <c r="GDS158" s="274"/>
      <c r="GDT158" s="274"/>
      <c r="GDU158" s="274"/>
      <c r="GDV158" s="274"/>
      <c r="GDW158" s="274"/>
      <c r="GDX158" s="273"/>
      <c r="GDY158" s="274"/>
      <c r="GDZ158" s="274"/>
      <c r="GEA158" s="274"/>
      <c r="GEB158" s="274"/>
      <c r="GEC158" s="274"/>
      <c r="GED158" s="273"/>
      <c r="GEE158" s="274"/>
      <c r="GEF158" s="274"/>
      <c r="GEG158" s="274"/>
      <c r="GEH158" s="274"/>
      <c r="GEI158" s="274"/>
      <c r="GEJ158" s="273"/>
      <c r="GEK158" s="274"/>
      <c r="GEL158" s="274"/>
      <c r="GEM158" s="274"/>
      <c r="GEN158" s="274"/>
      <c r="GEO158" s="274"/>
      <c r="GEP158" s="273"/>
      <c r="GEQ158" s="274"/>
      <c r="GER158" s="274"/>
      <c r="GES158" s="274"/>
      <c r="GET158" s="274"/>
      <c r="GEU158" s="274"/>
      <c r="GEV158" s="273"/>
      <c r="GEW158" s="274"/>
      <c r="GEX158" s="274"/>
      <c r="GEY158" s="274"/>
      <c r="GEZ158" s="274"/>
      <c r="GFA158" s="274"/>
      <c r="GFB158" s="273"/>
      <c r="GFC158" s="274"/>
      <c r="GFD158" s="274"/>
      <c r="GFE158" s="274"/>
      <c r="GFF158" s="274"/>
      <c r="GFG158" s="274"/>
      <c r="GFH158" s="273"/>
      <c r="GFI158" s="274"/>
      <c r="GFJ158" s="274"/>
      <c r="GFK158" s="274"/>
      <c r="GFL158" s="274"/>
      <c r="GFM158" s="274"/>
      <c r="GFN158" s="273"/>
      <c r="GFO158" s="274"/>
      <c r="GFP158" s="274"/>
      <c r="GFQ158" s="274"/>
      <c r="GFR158" s="274"/>
      <c r="GFS158" s="274"/>
      <c r="GFT158" s="273"/>
      <c r="GFU158" s="274"/>
      <c r="GFV158" s="274"/>
      <c r="GFW158" s="274"/>
      <c r="GFX158" s="274"/>
      <c r="GFY158" s="274"/>
      <c r="GFZ158" s="273"/>
      <c r="GGA158" s="274"/>
      <c r="GGB158" s="274"/>
      <c r="GGC158" s="274"/>
      <c r="GGD158" s="274"/>
      <c r="GGE158" s="274"/>
      <c r="GGF158" s="273"/>
      <c r="GGG158" s="274"/>
      <c r="GGH158" s="274"/>
      <c r="GGI158" s="274"/>
      <c r="GGJ158" s="274"/>
      <c r="GGK158" s="274"/>
      <c r="GGL158" s="273"/>
      <c r="GGM158" s="274"/>
      <c r="GGN158" s="274"/>
      <c r="GGO158" s="274"/>
      <c r="GGP158" s="274"/>
      <c r="GGQ158" s="274"/>
      <c r="GGR158" s="273"/>
      <c r="GGS158" s="274"/>
      <c r="GGT158" s="274"/>
      <c r="GGU158" s="274"/>
      <c r="GGV158" s="274"/>
      <c r="GGW158" s="274"/>
      <c r="GGX158" s="273"/>
      <c r="GGY158" s="274"/>
      <c r="GGZ158" s="274"/>
      <c r="GHA158" s="274"/>
      <c r="GHB158" s="274"/>
      <c r="GHC158" s="274"/>
      <c r="GHD158" s="273"/>
      <c r="GHE158" s="274"/>
      <c r="GHF158" s="274"/>
      <c r="GHG158" s="274"/>
      <c r="GHH158" s="274"/>
      <c r="GHI158" s="274"/>
      <c r="GHJ158" s="273"/>
      <c r="GHK158" s="274"/>
      <c r="GHL158" s="274"/>
      <c r="GHM158" s="274"/>
      <c r="GHN158" s="274"/>
      <c r="GHO158" s="274"/>
      <c r="GHP158" s="273"/>
      <c r="GHQ158" s="274"/>
      <c r="GHR158" s="274"/>
      <c r="GHS158" s="274"/>
      <c r="GHT158" s="274"/>
      <c r="GHU158" s="274"/>
      <c r="GHV158" s="273"/>
      <c r="GHW158" s="274"/>
      <c r="GHX158" s="274"/>
      <c r="GHY158" s="274"/>
      <c r="GHZ158" s="274"/>
      <c r="GIA158" s="274"/>
      <c r="GIB158" s="273"/>
      <c r="GIC158" s="274"/>
      <c r="GID158" s="274"/>
      <c r="GIE158" s="274"/>
      <c r="GIF158" s="274"/>
      <c r="GIG158" s="274"/>
      <c r="GIH158" s="273"/>
      <c r="GII158" s="274"/>
      <c r="GIJ158" s="274"/>
      <c r="GIK158" s="274"/>
      <c r="GIL158" s="274"/>
      <c r="GIM158" s="274"/>
      <c r="GIN158" s="273"/>
      <c r="GIO158" s="274"/>
      <c r="GIP158" s="274"/>
      <c r="GIQ158" s="274"/>
      <c r="GIR158" s="274"/>
      <c r="GIS158" s="274"/>
      <c r="GIT158" s="273"/>
      <c r="GIU158" s="274"/>
      <c r="GIV158" s="274"/>
      <c r="GIW158" s="274"/>
      <c r="GIX158" s="274"/>
      <c r="GIY158" s="274"/>
      <c r="GIZ158" s="273"/>
      <c r="GJA158" s="274"/>
      <c r="GJB158" s="274"/>
      <c r="GJC158" s="274"/>
      <c r="GJD158" s="274"/>
      <c r="GJE158" s="274"/>
      <c r="GJF158" s="273"/>
      <c r="GJG158" s="274"/>
      <c r="GJH158" s="274"/>
      <c r="GJI158" s="274"/>
      <c r="GJJ158" s="274"/>
      <c r="GJK158" s="274"/>
      <c r="GJL158" s="273"/>
      <c r="GJM158" s="274"/>
      <c r="GJN158" s="274"/>
      <c r="GJO158" s="274"/>
      <c r="GJP158" s="274"/>
      <c r="GJQ158" s="274"/>
      <c r="GJR158" s="273"/>
      <c r="GJS158" s="274"/>
      <c r="GJT158" s="274"/>
      <c r="GJU158" s="274"/>
      <c r="GJV158" s="274"/>
      <c r="GJW158" s="274"/>
      <c r="GJX158" s="273"/>
      <c r="GJY158" s="274"/>
      <c r="GJZ158" s="274"/>
      <c r="GKA158" s="274"/>
      <c r="GKB158" s="274"/>
      <c r="GKC158" s="274"/>
      <c r="GKD158" s="273"/>
      <c r="GKE158" s="274"/>
      <c r="GKF158" s="274"/>
      <c r="GKG158" s="274"/>
      <c r="GKH158" s="274"/>
      <c r="GKI158" s="274"/>
      <c r="GKJ158" s="273"/>
      <c r="GKK158" s="274"/>
      <c r="GKL158" s="274"/>
      <c r="GKM158" s="274"/>
      <c r="GKN158" s="274"/>
      <c r="GKO158" s="274"/>
      <c r="GKP158" s="273"/>
      <c r="GKQ158" s="274"/>
      <c r="GKR158" s="274"/>
      <c r="GKS158" s="274"/>
      <c r="GKT158" s="274"/>
      <c r="GKU158" s="274"/>
      <c r="GKV158" s="273"/>
      <c r="GKW158" s="274"/>
      <c r="GKX158" s="274"/>
      <c r="GKY158" s="274"/>
      <c r="GKZ158" s="274"/>
      <c r="GLA158" s="274"/>
      <c r="GLB158" s="273"/>
      <c r="GLC158" s="274"/>
      <c r="GLD158" s="274"/>
      <c r="GLE158" s="274"/>
      <c r="GLF158" s="274"/>
      <c r="GLG158" s="274"/>
      <c r="GLH158" s="273"/>
      <c r="GLI158" s="274"/>
      <c r="GLJ158" s="274"/>
      <c r="GLK158" s="274"/>
      <c r="GLL158" s="274"/>
      <c r="GLM158" s="274"/>
      <c r="GLN158" s="273"/>
      <c r="GLO158" s="274"/>
      <c r="GLP158" s="274"/>
      <c r="GLQ158" s="274"/>
      <c r="GLR158" s="274"/>
      <c r="GLS158" s="274"/>
      <c r="GLT158" s="273"/>
      <c r="GLU158" s="274"/>
      <c r="GLV158" s="274"/>
      <c r="GLW158" s="274"/>
      <c r="GLX158" s="274"/>
      <c r="GLY158" s="274"/>
      <c r="GLZ158" s="273"/>
      <c r="GMA158" s="274"/>
      <c r="GMB158" s="274"/>
      <c r="GMC158" s="274"/>
      <c r="GMD158" s="274"/>
      <c r="GME158" s="274"/>
      <c r="GMF158" s="273"/>
      <c r="GMG158" s="274"/>
      <c r="GMH158" s="274"/>
      <c r="GMI158" s="274"/>
      <c r="GMJ158" s="274"/>
      <c r="GMK158" s="274"/>
      <c r="GML158" s="273"/>
      <c r="GMM158" s="274"/>
      <c r="GMN158" s="274"/>
      <c r="GMO158" s="274"/>
      <c r="GMP158" s="274"/>
      <c r="GMQ158" s="274"/>
      <c r="GMR158" s="273"/>
      <c r="GMS158" s="274"/>
      <c r="GMT158" s="274"/>
      <c r="GMU158" s="274"/>
      <c r="GMV158" s="274"/>
      <c r="GMW158" s="274"/>
      <c r="GMX158" s="273"/>
      <c r="GMY158" s="274"/>
      <c r="GMZ158" s="274"/>
      <c r="GNA158" s="274"/>
      <c r="GNB158" s="274"/>
      <c r="GNC158" s="274"/>
      <c r="GND158" s="273"/>
      <c r="GNE158" s="274"/>
      <c r="GNF158" s="274"/>
      <c r="GNG158" s="274"/>
      <c r="GNH158" s="274"/>
      <c r="GNI158" s="274"/>
      <c r="GNJ158" s="273"/>
      <c r="GNK158" s="274"/>
      <c r="GNL158" s="274"/>
      <c r="GNM158" s="274"/>
      <c r="GNN158" s="274"/>
      <c r="GNO158" s="274"/>
      <c r="GNP158" s="273"/>
      <c r="GNQ158" s="274"/>
      <c r="GNR158" s="274"/>
      <c r="GNS158" s="274"/>
      <c r="GNT158" s="274"/>
      <c r="GNU158" s="274"/>
      <c r="GNV158" s="273"/>
      <c r="GNW158" s="274"/>
      <c r="GNX158" s="274"/>
      <c r="GNY158" s="274"/>
      <c r="GNZ158" s="274"/>
      <c r="GOA158" s="274"/>
      <c r="GOB158" s="273"/>
      <c r="GOC158" s="274"/>
      <c r="GOD158" s="274"/>
      <c r="GOE158" s="274"/>
      <c r="GOF158" s="274"/>
      <c r="GOG158" s="274"/>
      <c r="GOH158" s="273"/>
      <c r="GOI158" s="274"/>
      <c r="GOJ158" s="274"/>
      <c r="GOK158" s="274"/>
      <c r="GOL158" s="274"/>
      <c r="GOM158" s="274"/>
      <c r="GON158" s="273"/>
      <c r="GOO158" s="274"/>
      <c r="GOP158" s="274"/>
      <c r="GOQ158" s="274"/>
      <c r="GOR158" s="274"/>
      <c r="GOS158" s="274"/>
      <c r="GOT158" s="273"/>
      <c r="GOU158" s="274"/>
      <c r="GOV158" s="274"/>
      <c r="GOW158" s="274"/>
      <c r="GOX158" s="274"/>
      <c r="GOY158" s="274"/>
      <c r="GOZ158" s="273"/>
      <c r="GPA158" s="274"/>
      <c r="GPB158" s="274"/>
      <c r="GPC158" s="274"/>
      <c r="GPD158" s="274"/>
      <c r="GPE158" s="274"/>
      <c r="GPF158" s="273"/>
      <c r="GPG158" s="274"/>
      <c r="GPH158" s="274"/>
      <c r="GPI158" s="274"/>
      <c r="GPJ158" s="274"/>
      <c r="GPK158" s="274"/>
      <c r="GPL158" s="273"/>
      <c r="GPM158" s="274"/>
      <c r="GPN158" s="274"/>
      <c r="GPO158" s="274"/>
      <c r="GPP158" s="274"/>
      <c r="GPQ158" s="274"/>
      <c r="GPR158" s="273"/>
      <c r="GPS158" s="274"/>
      <c r="GPT158" s="274"/>
      <c r="GPU158" s="274"/>
      <c r="GPV158" s="274"/>
      <c r="GPW158" s="274"/>
      <c r="GPX158" s="273"/>
      <c r="GPY158" s="274"/>
      <c r="GPZ158" s="274"/>
      <c r="GQA158" s="274"/>
      <c r="GQB158" s="274"/>
      <c r="GQC158" s="274"/>
      <c r="GQD158" s="273"/>
      <c r="GQE158" s="274"/>
      <c r="GQF158" s="274"/>
      <c r="GQG158" s="274"/>
      <c r="GQH158" s="274"/>
      <c r="GQI158" s="274"/>
      <c r="GQJ158" s="273"/>
      <c r="GQK158" s="274"/>
      <c r="GQL158" s="274"/>
      <c r="GQM158" s="274"/>
      <c r="GQN158" s="274"/>
      <c r="GQO158" s="274"/>
      <c r="GQP158" s="273"/>
      <c r="GQQ158" s="274"/>
      <c r="GQR158" s="274"/>
      <c r="GQS158" s="274"/>
      <c r="GQT158" s="274"/>
      <c r="GQU158" s="274"/>
      <c r="GQV158" s="273"/>
      <c r="GQW158" s="274"/>
      <c r="GQX158" s="274"/>
      <c r="GQY158" s="274"/>
      <c r="GQZ158" s="274"/>
      <c r="GRA158" s="274"/>
      <c r="GRB158" s="273"/>
      <c r="GRC158" s="274"/>
      <c r="GRD158" s="274"/>
      <c r="GRE158" s="274"/>
      <c r="GRF158" s="274"/>
      <c r="GRG158" s="274"/>
      <c r="GRH158" s="273"/>
      <c r="GRI158" s="274"/>
      <c r="GRJ158" s="274"/>
      <c r="GRK158" s="274"/>
      <c r="GRL158" s="274"/>
      <c r="GRM158" s="274"/>
      <c r="GRN158" s="273"/>
      <c r="GRO158" s="274"/>
      <c r="GRP158" s="274"/>
      <c r="GRQ158" s="274"/>
      <c r="GRR158" s="274"/>
      <c r="GRS158" s="274"/>
      <c r="GRT158" s="273"/>
      <c r="GRU158" s="274"/>
      <c r="GRV158" s="274"/>
      <c r="GRW158" s="274"/>
      <c r="GRX158" s="274"/>
      <c r="GRY158" s="274"/>
      <c r="GRZ158" s="273"/>
      <c r="GSA158" s="274"/>
      <c r="GSB158" s="274"/>
      <c r="GSC158" s="274"/>
      <c r="GSD158" s="274"/>
      <c r="GSE158" s="274"/>
      <c r="GSF158" s="273"/>
      <c r="GSG158" s="274"/>
      <c r="GSH158" s="274"/>
      <c r="GSI158" s="274"/>
      <c r="GSJ158" s="274"/>
      <c r="GSK158" s="274"/>
      <c r="GSL158" s="273"/>
      <c r="GSM158" s="274"/>
      <c r="GSN158" s="274"/>
      <c r="GSO158" s="274"/>
      <c r="GSP158" s="274"/>
      <c r="GSQ158" s="274"/>
      <c r="GSR158" s="273"/>
      <c r="GSS158" s="274"/>
      <c r="GST158" s="274"/>
      <c r="GSU158" s="274"/>
      <c r="GSV158" s="274"/>
      <c r="GSW158" s="274"/>
      <c r="GSX158" s="273"/>
      <c r="GSY158" s="274"/>
      <c r="GSZ158" s="274"/>
      <c r="GTA158" s="274"/>
      <c r="GTB158" s="274"/>
      <c r="GTC158" s="274"/>
      <c r="GTD158" s="273"/>
      <c r="GTE158" s="274"/>
      <c r="GTF158" s="274"/>
      <c r="GTG158" s="274"/>
      <c r="GTH158" s="274"/>
      <c r="GTI158" s="274"/>
      <c r="GTJ158" s="273"/>
      <c r="GTK158" s="274"/>
      <c r="GTL158" s="274"/>
      <c r="GTM158" s="274"/>
      <c r="GTN158" s="274"/>
      <c r="GTO158" s="274"/>
      <c r="GTP158" s="273"/>
      <c r="GTQ158" s="274"/>
      <c r="GTR158" s="274"/>
      <c r="GTS158" s="274"/>
      <c r="GTT158" s="274"/>
      <c r="GTU158" s="274"/>
      <c r="GTV158" s="273"/>
      <c r="GTW158" s="274"/>
      <c r="GTX158" s="274"/>
      <c r="GTY158" s="274"/>
      <c r="GTZ158" s="274"/>
      <c r="GUA158" s="274"/>
      <c r="GUB158" s="273"/>
      <c r="GUC158" s="274"/>
      <c r="GUD158" s="274"/>
      <c r="GUE158" s="274"/>
      <c r="GUF158" s="274"/>
      <c r="GUG158" s="274"/>
      <c r="GUH158" s="273"/>
      <c r="GUI158" s="274"/>
      <c r="GUJ158" s="274"/>
      <c r="GUK158" s="274"/>
      <c r="GUL158" s="274"/>
      <c r="GUM158" s="274"/>
      <c r="GUN158" s="273"/>
      <c r="GUO158" s="274"/>
      <c r="GUP158" s="274"/>
      <c r="GUQ158" s="274"/>
      <c r="GUR158" s="274"/>
      <c r="GUS158" s="274"/>
      <c r="GUT158" s="273"/>
      <c r="GUU158" s="274"/>
      <c r="GUV158" s="274"/>
      <c r="GUW158" s="274"/>
      <c r="GUX158" s="274"/>
      <c r="GUY158" s="274"/>
      <c r="GUZ158" s="273"/>
      <c r="GVA158" s="274"/>
      <c r="GVB158" s="274"/>
      <c r="GVC158" s="274"/>
      <c r="GVD158" s="274"/>
      <c r="GVE158" s="274"/>
      <c r="GVF158" s="273"/>
      <c r="GVG158" s="274"/>
      <c r="GVH158" s="274"/>
      <c r="GVI158" s="274"/>
      <c r="GVJ158" s="274"/>
      <c r="GVK158" s="274"/>
      <c r="GVL158" s="273"/>
      <c r="GVM158" s="274"/>
      <c r="GVN158" s="274"/>
      <c r="GVO158" s="274"/>
      <c r="GVP158" s="274"/>
      <c r="GVQ158" s="274"/>
      <c r="GVR158" s="273"/>
      <c r="GVS158" s="274"/>
      <c r="GVT158" s="274"/>
      <c r="GVU158" s="274"/>
      <c r="GVV158" s="274"/>
      <c r="GVW158" s="274"/>
      <c r="GVX158" s="273"/>
      <c r="GVY158" s="274"/>
      <c r="GVZ158" s="274"/>
      <c r="GWA158" s="274"/>
      <c r="GWB158" s="274"/>
      <c r="GWC158" s="274"/>
      <c r="GWD158" s="273"/>
      <c r="GWE158" s="274"/>
      <c r="GWF158" s="274"/>
      <c r="GWG158" s="274"/>
      <c r="GWH158" s="274"/>
      <c r="GWI158" s="274"/>
      <c r="GWJ158" s="273"/>
      <c r="GWK158" s="274"/>
      <c r="GWL158" s="274"/>
      <c r="GWM158" s="274"/>
      <c r="GWN158" s="274"/>
      <c r="GWO158" s="274"/>
      <c r="GWP158" s="273"/>
      <c r="GWQ158" s="274"/>
      <c r="GWR158" s="274"/>
      <c r="GWS158" s="274"/>
      <c r="GWT158" s="274"/>
      <c r="GWU158" s="274"/>
      <c r="GWV158" s="273"/>
      <c r="GWW158" s="274"/>
      <c r="GWX158" s="274"/>
      <c r="GWY158" s="274"/>
      <c r="GWZ158" s="274"/>
      <c r="GXA158" s="274"/>
      <c r="GXB158" s="273"/>
      <c r="GXC158" s="274"/>
      <c r="GXD158" s="274"/>
      <c r="GXE158" s="274"/>
      <c r="GXF158" s="274"/>
      <c r="GXG158" s="274"/>
      <c r="GXH158" s="273"/>
      <c r="GXI158" s="274"/>
      <c r="GXJ158" s="274"/>
      <c r="GXK158" s="274"/>
      <c r="GXL158" s="274"/>
      <c r="GXM158" s="274"/>
      <c r="GXN158" s="273"/>
      <c r="GXO158" s="274"/>
      <c r="GXP158" s="274"/>
      <c r="GXQ158" s="274"/>
      <c r="GXR158" s="274"/>
      <c r="GXS158" s="274"/>
      <c r="GXT158" s="273"/>
      <c r="GXU158" s="274"/>
      <c r="GXV158" s="274"/>
      <c r="GXW158" s="274"/>
      <c r="GXX158" s="274"/>
      <c r="GXY158" s="274"/>
      <c r="GXZ158" s="273"/>
      <c r="GYA158" s="274"/>
      <c r="GYB158" s="274"/>
      <c r="GYC158" s="274"/>
      <c r="GYD158" s="274"/>
      <c r="GYE158" s="274"/>
      <c r="GYF158" s="273"/>
      <c r="GYG158" s="274"/>
      <c r="GYH158" s="274"/>
      <c r="GYI158" s="274"/>
      <c r="GYJ158" s="274"/>
      <c r="GYK158" s="274"/>
      <c r="GYL158" s="273"/>
      <c r="GYM158" s="274"/>
      <c r="GYN158" s="274"/>
      <c r="GYO158" s="274"/>
      <c r="GYP158" s="274"/>
      <c r="GYQ158" s="274"/>
      <c r="GYR158" s="273"/>
      <c r="GYS158" s="274"/>
      <c r="GYT158" s="274"/>
      <c r="GYU158" s="274"/>
      <c r="GYV158" s="274"/>
      <c r="GYW158" s="274"/>
      <c r="GYX158" s="273"/>
      <c r="GYY158" s="274"/>
      <c r="GYZ158" s="274"/>
      <c r="GZA158" s="274"/>
      <c r="GZB158" s="274"/>
      <c r="GZC158" s="274"/>
      <c r="GZD158" s="273"/>
      <c r="GZE158" s="274"/>
      <c r="GZF158" s="274"/>
      <c r="GZG158" s="274"/>
      <c r="GZH158" s="274"/>
      <c r="GZI158" s="274"/>
      <c r="GZJ158" s="273"/>
      <c r="GZK158" s="274"/>
      <c r="GZL158" s="274"/>
      <c r="GZM158" s="274"/>
      <c r="GZN158" s="274"/>
      <c r="GZO158" s="274"/>
      <c r="GZP158" s="273"/>
      <c r="GZQ158" s="274"/>
      <c r="GZR158" s="274"/>
      <c r="GZS158" s="274"/>
      <c r="GZT158" s="274"/>
      <c r="GZU158" s="274"/>
      <c r="GZV158" s="273"/>
      <c r="GZW158" s="274"/>
      <c r="GZX158" s="274"/>
      <c r="GZY158" s="274"/>
      <c r="GZZ158" s="274"/>
      <c r="HAA158" s="274"/>
      <c r="HAB158" s="273"/>
      <c r="HAC158" s="274"/>
      <c r="HAD158" s="274"/>
      <c r="HAE158" s="274"/>
      <c r="HAF158" s="274"/>
      <c r="HAG158" s="274"/>
      <c r="HAH158" s="273"/>
      <c r="HAI158" s="274"/>
      <c r="HAJ158" s="274"/>
      <c r="HAK158" s="274"/>
      <c r="HAL158" s="274"/>
      <c r="HAM158" s="274"/>
      <c r="HAN158" s="273"/>
      <c r="HAO158" s="274"/>
      <c r="HAP158" s="274"/>
      <c r="HAQ158" s="274"/>
      <c r="HAR158" s="274"/>
      <c r="HAS158" s="274"/>
      <c r="HAT158" s="273"/>
      <c r="HAU158" s="274"/>
      <c r="HAV158" s="274"/>
      <c r="HAW158" s="274"/>
      <c r="HAX158" s="274"/>
      <c r="HAY158" s="274"/>
      <c r="HAZ158" s="273"/>
      <c r="HBA158" s="274"/>
      <c r="HBB158" s="274"/>
      <c r="HBC158" s="274"/>
      <c r="HBD158" s="274"/>
      <c r="HBE158" s="274"/>
      <c r="HBF158" s="273"/>
      <c r="HBG158" s="274"/>
      <c r="HBH158" s="274"/>
      <c r="HBI158" s="274"/>
      <c r="HBJ158" s="274"/>
      <c r="HBK158" s="274"/>
      <c r="HBL158" s="273"/>
      <c r="HBM158" s="274"/>
      <c r="HBN158" s="274"/>
      <c r="HBO158" s="274"/>
      <c r="HBP158" s="274"/>
      <c r="HBQ158" s="274"/>
      <c r="HBR158" s="273"/>
      <c r="HBS158" s="274"/>
      <c r="HBT158" s="274"/>
      <c r="HBU158" s="274"/>
      <c r="HBV158" s="274"/>
      <c r="HBW158" s="274"/>
      <c r="HBX158" s="273"/>
      <c r="HBY158" s="274"/>
      <c r="HBZ158" s="274"/>
      <c r="HCA158" s="274"/>
      <c r="HCB158" s="274"/>
      <c r="HCC158" s="274"/>
      <c r="HCD158" s="273"/>
      <c r="HCE158" s="274"/>
      <c r="HCF158" s="274"/>
      <c r="HCG158" s="274"/>
      <c r="HCH158" s="274"/>
      <c r="HCI158" s="274"/>
      <c r="HCJ158" s="273"/>
      <c r="HCK158" s="274"/>
      <c r="HCL158" s="274"/>
      <c r="HCM158" s="274"/>
      <c r="HCN158" s="274"/>
      <c r="HCO158" s="274"/>
      <c r="HCP158" s="273"/>
      <c r="HCQ158" s="274"/>
      <c r="HCR158" s="274"/>
      <c r="HCS158" s="274"/>
      <c r="HCT158" s="274"/>
      <c r="HCU158" s="274"/>
      <c r="HCV158" s="273"/>
      <c r="HCW158" s="274"/>
      <c r="HCX158" s="274"/>
      <c r="HCY158" s="274"/>
      <c r="HCZ158" s="274"/>
      <c r="HDA158" s="274"/>
      <c r="HDB158" s="273"/>
      <c r="HDC158" s="274"/>
      <c r="HDD158" s="274"/>
      <c r="HDE158" s="274"/>
      <c r="HDF158" s="274"/>
      <c r="HDG158" s="274"/>
      <c r="HDH158" s="273"/>
      <c r="HDI158" s="274"/>
      <c r="HDJ158" s="274"/>
      <c r="HDK158" s="274"/>
      <c r="HDL158" s="274"/>
      <c r="HDM158" s="274"/>
      <c r="HDN158" s="273"/>
      <c r="HDO158" s="274"/>
      <c r="HDP158" s="274"/>
      <c r="HDQ158" s="274"/>
      <c r="HDR158" s="274"/>
      <c r="HDS158" s="274"/>
      <c r="HDT158" s="273"/>
      <c r="HDU158" s="274"/>
      <c r="HDV158" s="274"/>
      <c r="HDW158" s="274"/>
      <c r="HDX158" s="274"/>
      <c r="HDY158" s="274"/>
      <c r="HDZ158" s="273"/>
      <c r="HEA158" s="274"/>
      <c r="HEB158" s="274"/>
      <c r="HEC158" s="274"/>
      <c r="HED158" s="274"/>
      <c r="HEE158" s="274"/>
      <c r="HEF158" s="273"/>
      <c r="HEG158" s="274"/>
      <c r="HEH158" s="274"/>
      <c r="HEI158" s="274"/>
      <c r="HEJ158" s="274"/>
      <c r="HEK158" s="274"/>
      <c r="HEL158" s="273"/>
      <c r="HEM158" s="274"/>
      <c r="HEN158" s="274"/>
      <c r="HEO158" s="274"/>
      <c r="HEP158" s="274"/>
      <c r="HEQ158" s="274"/>
      <c r="HER158" s="273"/>
      <c r="HES158" s="274"/>
      <c r="HET158" s="274"/>
      <c r="HEU158" s="274"/>
      <c r="HEV158" s="274"/>
      <c r="HEW158" s="274"/>
      <c r="HEX158" s="273"/>
      <c r="HEY158" s="274"/>
      <c r="HEZ158" s="274"/>
      <c r="HFA158" s="274"/>
      <c r="HFB158" s="274"/>
      <c r="HFC158" s="274"/>
      <c r="HFD158" s="273"/>
      <c r="HFE158" s="274"/>
      <c r="HFF158" s="274"/>
      <c r="HFG158" s="274"/>
      <c r="HFH158" s="274"/>
      <c r="HFI158" s="274"/>
      <c r="HFJ158" s="273"/>
      <c r="HFK158" s="274"/>
      <c r="HFL158" s="274"/>
      <c r="HFM158" s="274"/>
      <c r="HFN158" s="274"/>
      <c r="HFO158" s="274"/>
      <c r="HFP158" s="273"/>
      <c r="HFQ158" s="274"/>
      <c r="HFR158" s="274"/>
      <c r="HFS158" s="274"/>
      <c r="HFT158" s="274"/>
      <c r="HFU158" s="274"/>
      <c r="HFV158" s="273"/>
      <c r="HFW158" s="274"/>
      <c r="HFX158" s="274"/>
      <c r="HFY158" s="274"/>
      <c r="HFZ158" s="274"/>
      <c r="HGA158" s="274"/>
      <c r="HGB158" s="273"/>
      <c r="HGC158" s="274"/>
      <c r="HGD158" s="274"/>
      <c r="HGE158" s="274"/>
      <c r="HGF158" s="274"/>
      <c r="HGG158" s="274"/>
      <c r="HGH158" s="273"/>
      <c r="HGI158" s="274"/>
      <c r="HGJ158" s="274"/>
      <c r="HGK158" s="274"/>
      <c r="HGL158" s="274"/>
      <c r="HGM158" s="274"/>
      <c r="HGN158" s="273"/>
      <c r="HGO158" s="274"/>
      <c r="HGP158" s="274"/>
      <c r="HGQ158" s="274"/>
      <c r="HGR158" s="274"/>
      <c r="HGS158" s="274"/>
      <c r="HGT158" s="273"/>
      <c r="HGU158" s="274"/>
      <c r="HGV158" s="274"/>
      <c r="HGW158" s="274"/>
      <c r="HGX158" s="274"/>
      <c r="HGY158" s="274"/>
      <c r="HGZ158" s="273"/>
      <c r="HHA158" s="274"/>
      <c r="HHB158" s="274"/>
      <c r="HHC158" s="274"/>
      <c r="HHD158" s="274"/>
      <c r="HHE158" s="274"/>
      <c r="HHF158" s="273"/>
      <c r="HHG158" s="274"/>
      <c r="HHH158" s="274"/>
      <c r="HHI158" s="274"/>
      <c r="HHJ158" s="274"/>
      <c r="HHK158" s="274"/>
      <c r="HHL158" s="273"/>
      <c r="HHM158" s="274"/>
      <c r="HHN158" s="274"/>
      <c r="HHO158" s="274"/>
      <c r="HHP158" s="274"/>
      <c r="HHQ158" s="274"/>
      <c r="HHR158" s="273"/>
      <c r="HHS158" s="274"/>
      <c r="HHT158" s="274"/>
      <c r="HHU158" s="274"/>
      <c r="HHV158" s="274"/>
      <c r="HHW158" s="274"/>
      <c r="HHX158" s="273"/>
      <c r="HHY158" s="274"/>
      <c r="HHZ158" s="274"/>
      <c r="HIA158" s="274"/>
      <c r="HIB158" s="274"/>
      <c r="HIC158" s="274"/>
      <c r="HID158" s="273"/>
      <c r="HIE158" s="274"/>
      <c r="HIF158" s="274"/>
      <c r="HIG158" s="274"/>
      <c r="HIH158" s="274"/>
      <c r="HII158" s="274"/>
      <c r="HIJ158" s="273"/>
      <c r="HIK158" s="274"/>
      <c r="HIL158" s="274"/>
      <c r="HIM158" s="274"/>
      <c r="HIN158" s="274"/>
      <c r="HIO158" s="274"/>
      <c r="HIP158" s="273"/>
      <c r="HIQ158" s="274"/>
      <c r="HIR158" s="274"/>
      <c r="HIS158" s="274"/>
      <c r="HIT158" s="274"/>
      <c r="HIU158" s="274"/>
      <c r="HIV158" s="273"/>
      <c r="HIW158" s="274"/>
      <c r="HIX158" s="274"/>
      <c r="HIY158" s="274"/>
      <c r="HIZ158" s="274"/>
      <c r="HJA158" s="274"/>
      <c r="HJB158" s="273"/>
      <c r="HJC158" s="274"/>
      <c r="HJD158" s="274"/>
      <c r="HJE158" s="274"/>
      <c r="HJF158" s="274"/>
      <c r="HJG158" s="274"/>
      <c r="HJH158" s="273"/>
      <c r="HJI158" s="274"/>
      <c r="HJJ158" s="274"/>
      <c r="HJK158" s="274"/>
      <c r="HJL158" s="274"/>
      <c r="HJM158" s="274"/>
      <c r="HJN158" s="273"/>
      <c r="HJO158" s="274"/>
      <c r="HJP158" s="274"/>
      <c r="HJQ158" s="274"/>
      <c r="HJR158" s="274"/>
      <c r="HJS158" s="274"/>
      <c r="HJT158" s="273"/>
      <c r="HJU158" s="274"/>
      <c r="HJV158" s="274"/>
      <c r="HJW158" s="274"/>
      <c r="HJX158" s="274"/>
      <c r="HJY158" s="274"/>
      <c r="HJZ158" s="273"/>
      <c r="HKA158" s="274"/>
      <c r="HKB158" s="274"/>
      <c r="HKC158" s="274"/>
      <c r="HKD158" s="274"/>
      <c r="HKE158" s="274"/>
      <c r="HKF158" s="273"/>
      <c r="HKG158" s="274"/>
      <c r="HKH158" s="274"/>
      <c r="HKI158" s="274"/>
      <c r="HKJ158" s="274"/>
      <c r="HKK158" s="274"/>
      <c r="HKL158" s="273"/>
      <c r="HKM158" s="274"/>
      <c r="HKN158" s="274"/>
      <c r="HKO158" s="274"/>
      <c r="HKP158" s="274"/>
      <c r="HKQ158" s="274"/>
      <c r="HKR158" s="273"/>
      <c r="HKS158" s="274"/>
      <c r="HKT158" s="274"/>
      <c r="HKU158" s="274"/>
      <c r="HKV158" s="274"/>
      <c r="HKW158" s="274"/>
      <c r="HKX158" s="273"/>
      <c r="HKY158" s="274"/>
      <c r="HKZ158" s="274"/>
      <c r="HLA158" s="274"/>
      <c r="HLB158" s="274"/>
      <c r="HLC158" s="274"/>
      <c r="HLD158" s="273"/>
      <c r="HLE158" s="274"/>
      <c r="HLF158" s="274"/>
      <c r="HLG158" s="274"/>
      <c r="HLH158" s="274"/>
      <c r="HLI158" s="274"/>
      <c r="HLJ158" s="273"/>
      <c r="HLK158" s="274"/>
      <c r="HLL158" s="274"/>
      <c r="HLM158" s="274"/>
      <c r="HLN158" s="274"/>
      <c r="HLO158" s="274"/>
      <c r="HLP158" s="273"/>
      <c r="HLQ158" s="274"/>
      <c r="HLR158" s="274"/>
      <c r="HLS158" s="274"/>
      <c r="HLT158" s="274"/>
      <c r="HLU158" s="274"/>
      <c r="HLV158" s="273"/>
      <c r="HLW158" s="274"/>
      <c r="HLX158" s="274"/>
      <c r="HLY158" s="274"/>
      <c r="HLZ158" s="274"/>
      <c r="HMA158" s="274"/>
      <c r="HMB158" s="273"/>
      <c r="HMC158" s="274"/>
      <c r="HMD158" s="274"/>
      <c r="HME158" s="274"/>
      <c r="HMF158" s="274"/>
      <c r="HMG158" s="274"/>
      <c r="HMH158" s="273"/>
      <c r="HMI158" s="274"/>
      <c r="HMJ158" s="274"/>
      <c r="HMK158" s="274"/>
      <c r="HML158" s="274"/>
      <c r="HMM158" s="274"/>
      <c r="HMN158" s="273"/>
      <c r="HMO158" s="274"/>
      <c r="HMP158" s="274"/>
      <c r="HMQ158" s="274"/>
      <c r="HMR158" s="274"/>
      <c r="HMS158" s="274"/>
      <c r="HMT158" s="273"/>
      <c r="HMU158" s="274"/>
      <c r="HMV158" s="274"/>
      <c r="HMW158" s="274"/>
      <c r="HMX158" s="274"/>
      <c r="HMY158" s="274"/>
      <c r="HMZ158" s="273"/>
      <c r="HNA158" s="274"/>
      <c r="HNB158" s="274"/>
      <c r="HNC158" s="274"/>
      <c r="HND158" s="274"/>
      <c r="HNE158" s="274"/>
      <c r="HNF158" s="273"/>
      <c r="HNG158" s="274"/>
      <c r="HNH158" s="274"/>
      <c r="HNI158" s="274"/>
      <c r="HNJ158" s="274"/>
      <c r="HNK158" s="274"/>
      <c r="HNL158" s="273"/>
      <c r="HNM158" s="274"/>
      <c r="HNN158" s="274"/>
      <c r="HNO158" s="274"/>
      <c r="HNP158" s="274"/>
      <c r="HNQ158" s="274"/>
      <c r="HNR158" s="273"/>
      <c r="HNS158" s="274"/>
      <c r="HNT158" s="274"/>
      <c r="HNU158" s="274"/>
      <c r="HNV158" s="274"/>
      <c r="HNW158" s="274"/>
      <c r="HNX158" s="273"/>
      <c r="HNY158" s="274"/>
      <c r="HNZ158" s="274"/>
      <c r="HOA158" s="274"/>
      <c r="HOB158" s="274"/>
      <c r="HOC158" s="274"/>
      <c r="HOD158" s="273"/>
      <c r="HOE158" s="274"/>
      <c r="HOF158" s="274"/>
      <c r="HOG158" s="274"/>
      <c r="HOH158" s="274"/>
      <c r="HOI158" s="274"/>
      <c r="HOJ158" s="273"/>
      <c r="HOK158" s="274"/>
      <c r="HOL158" s="274"/>
      <c r="HOM158" s="274"/>
      <c r="HON158" s="274"/>
      <c r="HOO158" s="274"/>
      <c r="HOP158" s="273"/>
      <c r="HOQ158" s="274"/>
      <c r="HOR158" s="274"/>
      <c r="HOS158" s="274"/>
      <c r="HOT158" s="274"/>
      <c r="HOU158" s="274"/>
      <c r="HOV158" s="273"/>
      <c r="HOW158" s="274"/>
      <c r="HOX158" s="274"/>
      <c r="HOY158" s="274"/>
      <c r="HOZ158" s="274"/>
      <c r="HPA158" s="274"/>
      <c r="HPB158" s="273"/>
      <c r="HPC158" s="274"/>
      <c r="HPD158" s="274"/>
      <c r="HPE158" s="274"/>
      <c r="HPF158" s="274"/>
      <c r="HPG158" s="274"/>
      <c r="HPH158" s="273"/>
      <c r="HPI158" s="274"/>
      <c r="HPJ158" s="274"/>
      <c r="HPK158" s="274"/>
      <c r="HPL158" s="274"/>
      <c r="HPM158" s="274"/>
      <c r="HPN158" s="273"/>
      <c r="HPO158" s="274"/>
      <c r="HPP158" s="274"/>
      <c r="HPQ158" s="274"/>
      <c r="HPR158" s="274"/>
      <c r="HPS158" s="274"/>
      <c r="HPT158" s="273"/>
      <c r="HPU158" s="274"/>
      <c r="HPV158" s="274"/>
      <c r="HPW158" s="274"/>
      <c r="HPX158" s="274"/>
      <c r="HPY158" s="274"/>
      <c r="HPZ158" s="273"/>
      <c r="HQA158" s="274"/>
      <c r="HQB158" s="274"/>
      <c r="HQC158" s="274"/>
      <c r="HQD158" s="274"/>
      <c r="HQE158" s="274"/>
      <c r="HQF158" s="273"/>
      <c r="HQG158" s="274"/>
      <c r="HQH158" s="274"/>
      <c r="HQI158" s="274"/>
      <c r="HQJ158" s="274"/>
      <c r="HQK158" s="274"/>
      <c r="HQL158" s="273"/>
      <c r="HQM158" s="274"/>
      <c r="HQN158" s="274"/>
      <c r="HQO158" s="274"/>
      <c r="HQP158" s="274"/>
      <c r="HQQ158" s="274"/>
      <c r="HQR158" s="273"/>
      <c r="HQS158" s="274"/>
      <c r="HQT158" s="274"/>
      <c r="HQU158" s="274"/>
      <c r="HQV158" s="274"/>
      <c r="HQW158" s="274"/>
      <c r="HQX158" s="273"/>
      <c r="HQY158" s="274"/>
      <c r="HQZ158" s="274"/>
      <c r="HRA158" s="274"/>
      <c r="HRB158" s="274"/>
      <c r="HRC158" s="274"/>
      <c r="HRD158" s="273"/>
      <c r="HRE158" s="274"/>
      <c r="HRF158" s="274"/>
      <c r="HRG158" s="274"/>
      <c r="HRH158" s="274"/>
      <c r="HRI158" s="274"/>
      <c r="HRJ158" s="273"/>
      <c r="HRK158" s="274"/>
      <c r="HRL158" s="274"/>
      <c r="HRM158" s="274"/>
      <c r="HRN158" s="274"/>
      <c r="HRO158" s="274"/>
      <c r="HRP158" s="273"/>
      <c r="HRQ158" s="274"/>
      <c r="HRR158" s="274"/>
      <c r="HRS158" s="274"/>
      <c r="HRT158" s="274"/>
      <c r="HRU158" s="274"/>
      <c r="HRV158" s="273"/>
      <c r="HRW158" s="274"/>
      <c r="HRX158" s="274"/>
      <c r="HRY158" s="274"/>
      <c r="HRZ158" s="274"/>
      <c r="HSA158" s="274"/>
      <c r="HSB158" s="273"/>
      <c r="HSC158" s="274"/>
      <c r="HSD158" s="274"/>
      <c r="HSE158" s="274"/>
      <c r="HSF158" s="274"/>
      <c r="HSG158" s="274"/>
      <c r="HSH158" s="273"/>
      <c r="HSI158" s="274"/>
      <c r="HSJ158" s="274"/>
      <c r="HSK158" s="274"/>
      <c r="HSL158" s="274"/>
      <c r="HSM158" s="274"/>
      <c r="HSN158" s="273"/>
      <c r="HSO158" s="274"/>
      <c r="HSP158" s="274"/>
      <c r="HSQ158" s="274"/>
      <c r="HSR158" s="274"/>
      <c r="HSS158" s="274"/>
      <c r="HST158" s="273"/>
      <c r="HSU158" s="274"/>
      <c r="HSV158" s="274"/>
      <c r="HSW158" s="274"/>
      <c r="HSX158" s="274"/>
      <c r="HSY158" s="274"/>
      <c r="HSZ158" s="273"/>
      <c r="HTA158" s="274"/>
      <c r="HTB158" s="274"/>
      <c r="HTC158" s="274"/>
      <c r="HTD158" s="274"/>
      <c r="HTE158" s="274"/>
      <c r="HTF158" s="273"/>
      <c r="HTG158" s="274"/>
      <c r="HTH158" s="274"/>
      <c r="HTI158" s="274"/>
      <c r="HTJ158" s="274"/>
      <c r="HTK158" s="274"/>
      <c r="HTL158" s="273"/>
      <c r="HTM158" s="274"/>
      <c r="HTN158" s="274"/>
      <c r="HTO158" s="274"/>
      <c r="HTP158" s="274"/>
      <c r="HTQ158" s="274"/>
      <c r="HTR158" s="273"/>
      <c r="HTS158" s="274"/>
      <c r="HTT158" s="274"/>
      <c r="HTU158" s="274"/>
      <c r="HTV158" s="274"/>
      <c r="HTW158" s="274"/>
      <c r="HTX158" s="273"/>
      <c r="HTY158" s="274"/>
      <c r="HTZ158" s="274"/>
      <c r="HUA158" s="274"/>
      <c r="HUB158" s="274"/>
      <c r="HUC158" s="274"/>
      <c r="HUD158" s="273"/>
      <c r="HUE158" s="274"/>
      <c r="HUF158" s="274"/>
      <c r="HUG158" s="274"/>
      <c r="HUH158" s="274"/>
      <c r="HUI158" s="274"/>
      <c r="HUJ158" s="273"/>
      <c r="HUK158" s="274"/>
      <c r="HUL158" s="274"/>
      <c r="HUM158" s="274"/>
      <c r="HUN158" s="274"/>
      <c r="HUO158" s="274"/>
      <c r="HUP158" s="273"/>
      <c r="HUQ158" s="274"/>
      <c r="HUR158" s="274"/>
      <c r="HUS158" s="274"/>
      <c r="HUT158" s="274"/>
      <c r="HUU158" s="274"/>
      <c r="HUV158" s="273"/>
      <c r="HUW158" s="274"/>
      <c r="HUX158" s="274"/>
      <c r="HUY158" s="274"/>
      <c r="HUZ158" s="274"/>
      <c r="HVA158" s="274"/>
      <c r="HVB158" s="273"/>
      <c r="HVC158" s="274"/>
      <c r="HVD158" s="274"/>
      <c r="HVE158" s="274"/>
      <c r="HVF158" s="274"/>
      <c r="HVG158" s="274"/>
      <c r="HVH158" s="273"/>
      <c r="HVI158" s="274"/>
      <c r="HVJ158" s="274"/>
      <c r="HVK158" s="274"/>
      <c r="HVL158" s="274"/>
      <c r="HVM158" s="274"/>
      <c r="HVN158" s="273"/>
      <c r="HVO158" s="274"/>
      <c r="HVP158" s="274"/>
      <c r="HVQ158" s="274"/>
      <c r="HVR158" s="274"/>
      <c r="HVS158" s="274"/>
      <c r="HVT158" s="273"/>
      <c r="HVU158" s="274"/>
      <c r="HVV158" s="274"/>
      <c r="HVW158" s="274"/>
      <c r="HVX158" s="274"/>
      <c r="HVY158" s="274"/>
      <c r="HVZ158" s="273"/>
      <c r="HWA158" s="274"/>
      <c r="HWB158" s="274"/>
      <c r="HWC158" s="274"/>
      <c r="HWD158" s="274"/>
      <c r="HWE158" s="274"/>
      <c r="HWF158" s="273"/>
      <c r="HWG158" s="274"/>
      <c r="HWH158" s="274"/>
      <c r="HWI158" s="274"/>
      <c r="HWJ158" s="274"/>
      <c r="HWK158" s="274"/>
      <c r="HWL158" s="273"/>
      <c r="HWM158" s="274"/>
      <c r="HWN158" s="274"/>
      <c r="HWO158" s="274"/>
      <c r="HWP158" s="274"/>
      <c r="HWQ158" s="274"/>
      <c r="HWR158" s="273"/>
      <c r="HWS158" s="274"/>
      <c r="HWT158" s="274"/>
      <c r="HWU158" s="274"/>
      <c r="HWV158" s="274"/>
      <c r="HWW158" s="274"/>
      <c r="HWX158" s="273"/>
      <c r="HWY158" s="274"/>
      <c r="HWZ158" s="274"/>
      <c r="HXA158" s="274"/>
      <c r="HXB158" s="274"/>
      <c r="HXC158" s="274"/>
      <c r="HXD158" s="273"/>
      <c r="HXE158" s="274"/>
      <c r="HXF158" s="274"/>
      <c r="HXG158" s="274"/>
      <c r="HXH158" s="274"/>
      <c r="HXI158" s="274"/>
      <c r="HXJ158" s="273"/>
      <c r="HXK158" s="274"/>
      <c r="HXL158" s="274"/>
      <c r="HXM158" s="274"/>
      <c r="HXN158" s="274"/>
      <c r="HXO158" s="274"/>
      <c r="HXP158" s="273"/>
      <c r="HXQ158" s="274"/>
      <c r="HXR158" s="274"/>
      <c r="HXS158" s="274"/>
      <c r="HXT158" s="274"/>
      <c r="HXU158" s="274"/>
      <c r="HXV158" s="273"/>
      <c r="HXW158" s="274"/>
      <c r="HXX158" s="274"/>
      <c r="HXY158" s="274"/>
      <c r="HXZ158" s="274"/>
      <c r="HYA158" s="274"/>
      <c r="HYB158" s="273"/>
      <c r="HYC158" s="274"/>
      <c r="HYD158" s="274"/>
      <c r="HYE158" s="274"/>
      <c r="HYF158" s="274"/>
      <c r="HYG158" s="274"/>
      <c r="HYH158" s="273"/>
      <c r="HYI158" s="274"/>
      <c r="HYJ158" s="274"/>
      <c r="HYK158" s="274"/>
      <c r="HYL158" s="274"/>
      <c r="HYM158" s="274"/>
      <c r="HYN158" s="273"/>
      <c r="HYO158" s="274"/>
      <c r="HYP158" s="274"/>
      <c r="HYQ158" s="274"/>
      <c r="HYR158" s="274"/>
      <c r="HYS158" s="274"/>
      <c r="HYT158" s="273"/>
      <c r="HYU158" s="274"/>
      <c r="HYV158" s="274"/>
      <c r="HYW158" s="274"/>
      <c r="HYX158" s="274"/>
      <c r="HYY158" s="274"/>
      <c r="HYZ158" s="273"/>
      <c r="HZA158" s="274"/>
      <c r="HZB158" s="274"/>
      <c r="HZC158" s="274"/>
      <c r="HZD158" s="274"/>
      <c r="HZE158" s="274"/>
      <c r="HZF158" s="273"/>
      <c r="HZG158" s="274"/>
      <c r="HZH158" s="274"/>
      <c r="HZI158" s="274"/>
      <c r="HZJ158" s="274"/>
      <c r="HZK158" s="274"/>
      <c r="HZL158" s="273"/>
      <c r="HZM158" s="274"/>
      <c r="HZN158" s="274"/>
      <c r="HZO158" s="274"/>
      <c r="HZP158" s="274"/>
      <c r="HZQ158" s="274"/>
      <c r="HZR158" s="273"/>
      <c r="HZS158" s="274"/>
      <c r="HZT158" s="274"/>
      <c r="HZU158" s="274"/>
      <c r="HZV158" s="274"/>
      <c r="HZW158" s="274"/>
      <c r="HZX158" s="273"/>
      <c r="HZY158" s="274"/>
      <c r="HZZ158" s="274"/>
      <c r="IAA158" s="274"/>
      <c r="IAB158" s="274"/>
      <c r="IAC158" s="274"/>
      <c r="IAD158" s="273"/>
      <c r="IAE158" s="274"/>
      <c r="IAF158" s="274"/>
      <c r="IAG158" s="274"/>
      <c r="IAH158" s="274"/>
      <c r="IAI158" s="274"/>
      <c r="IAJ158" s="273"/>
      <c r="IAK158" s="274"/>
      <c r="IAL158" s="274"/>
      <c r="IAM158" s="274"/>
      <c r="IAN158" s="274"/>
      <c r="IAO158" s="274"/>
      <c r="IAP158" s="273"/>
      <c r="IAQ158" s="274"/>
      <c r="IAR158" s="274"/>
      <c r="IAS158" s="274"/>
      <c r="IAT158" s="274"/>
      <c r="IAU158" s="274"/>
      <c r="IAV158" s="273"/>
      <c r="IAW158" s="274"/>
      <c r="IAX158" s="274"/>
      <c r="IAY158" s="274"/>
      <c r="IAZ158" s="274"/>
      <c r="IBA158" s="274"/>
      <c r="IBB158" s="273"/>
      <c r="IBC158" s="274"/>
      <c r="IBD158" s="274"/>
      <c r="IBE158" s="274"/>
      <c r="IBF158" s="274"/>
      <c r="IBG158" s="274"/>
      <c r="IBH158" s="273"/>
      <c r="IBI158" s="274"/>
      <c r="IBJ158" s="274"/>
      <c r="IBK158" s="274"/>
      <c r="IBL158" s="274"/>
      <c r="IBM158" s="274"/>
      <c r="IBN158" s="273"/>
      <c r="IBO158" s="274"/>
      <c r="IBP158" s="274"/>
      <c r="IBQ158" s="274"/>
      <c r="IBR158" s="274"/>
      <c r="IBS158" s="274"/>
      <c r="IBT158" s="273"/>
      <c r="IBU158" s="274"/>
      <c r="IBV158" s="274"/>
      <c r="IBW158" s="274"/>
      <c r="IBX158" s="274"/>
      <c r="IBY158" s="274"/>
      <c r="IBZ158" s="273"/>
      <c r="ICA158" s="274"/>
      <c r="ICB158" s="274"/>
      <c r="ICC158" s="274"/>
      <c r="ICD158" s="274"/>
      <c r="ICE158" s="274"/>
      <c r="ICF158" s="273"/>
      <c r="ICG158" s="274"/>
      <c r="ICH158" s="274"/>
      <c r="ICI158" s="274"/>
      <c r="ICJ158" s="274"/>
      <c r="ICK158" s="274"/>
      <c r="ICL158" s="273"/>
      <c r="ICM158" s="274"/>
      <c r="ICN158" s="274"/>
      <c r="ICO158" s="274"/>
      <c r="ICP158" s="274"/>
      <c r="ICQ158" s="274"/>
      <c r="ICR158" s="273"/>
      <c r="ICS158" s="274"/>
      <c r="ICT158" s="274"/>
      <c r="ICU158" s="274"/>
      <c r="ICV158" s="274"/>
      <c r="ICW158" s="274"/>
      <c r="ICX158" s="273"/>
      <c r="ICY158" s="274"/>
      <c r="ICZ158" s="274"/>
      <c r="IDA158" s="274"/>
      <c r="IDB158" s="274"/>
      <c r="IDC158" s="274"/>
      <c r="IDD158" s="273"/>
      <c r="IDE158" s="274"/>
      <c r="IDF158" s="274"/>
      <c r="IDG158" s="274"/>
      <c r="IDH158" s="274"/>
      <c r="IDI158" s="274"/>
      <c r="IDJ158" s="273"/>
      <c r="IDK158" s="274"/>
      <c r="IDL158" s="274"/>
      <c r="IDM158" s="274"/>
      <c r="IDN158" s="274"/>
      <c r="IDO158" s="274"/>
      <c r="IDP158" s="273"/>
      <c r="IDQ158" s="274"/>
      <c r="IDR158" s="274"/>
      <c r="IDS158" s="274"/>
      <c r="IDT158" s="274"/>
      <c r="IDU158" s="274"/>
      <c r="IDV158" s="273"/>
      <c r="IDW158" s="274"/>
      <c r="IDX158" s="274"/>
      <c r="IDY158" s="274"/>
      <c r="IDZ158" s="274"/>
      <c r="IEA158" s="274"/>
      <c r="IEB158" s="273"/>
      <c r="IEC158" s="274"/>
      <c r="IED158" s="274"/>
      <c r="IEE158" s="274"/>
      <c r="IEF158" s="274"/>
      <c r="IEG158" s="274"/>
      <c r="IEH158" s="273"/>
      <c r="IEI158" s="274"/>
      <c r="IEJ158" s="274"/>
      <c r="IEK158" s="274"/>
      <c r="IEL158" s="274"/>
      <c r="IEM158" s="274"/>
      <c r="IEN158" s="273"/>
      <c r="IEO158" s="274"/>
      <c r="IEP158" s="274"/>
      <c r="IEQ158" s="274"/>
      <c r="IER158" s="274"/>
      <c r="IES158" s="274"/>
      <c r="IET158" s="273"/>
      <c r="IEU158" s="274"/>
      <c r="IEV158" s="274"/>
      <c r="IEW158" s="274"/>
      <c r="IEX158" s="274"/>
      <c r="IEY158" s="274"/>
      <c r="IEZ158" s="273"/>
      <c r="IFA158" s="274"/>
      <c r="IFB158" s="274"/>
      <c r="IFC158" s="274"/>
      <c r="IFD158" s="274"/>
      <c r="IFE158" s="274"/>
      <c r="IFF158" s="273"/>
      <c r="IFG158" s="274"/>
      <c r="IFH158" s="274"/>
      <c r="IFI158" s="274"/>
      <c r="IFJ158" s="274"/>
      <c r="IFK158" s="274"/>
      <c r="IFL158" s="273"/>
      <c r="IFM158" s="274"/>
      <c r="IFN158" s="274"/>
      <c r="IFO158" s="274"/>
      <c r="IFP158" s="274"/>
      <c r="IFQ158" s="274"/>
      <c r="IFR158" s="273"/>
      <c r="IFS158" s="274"/>
      <c r="IFT158" s="274"/>
      <c r="IFU158" s="274"/>
      <c r="IFV158" s="274"/>
      <c r="IFW158" s="274"/>
      <c r="IFX158" s="273"/>
      <c r="IFY158" s="274"/>
      <c r="IFZ158" s="274"/>
      <c r="IGA158" s="274"/>
      <c r="IGB158" s="274"/>
      <c r="IGC158" s="274"/>
      <c r="IGD158" s="273"/>
      <c r="IGE158" s="274"/>
      <c r="IGF158" s="274"/>
      <c r="IGG158" s="274"/>
      <c r="IGH158" s="274"/>
      <c r="IGI158" s="274"/>
      <c r="IGJ158" s="273"/>
      <c r="IGK158" s="274"/>
      <c r="IGL158" s="274"/>
      <c r="IGM158" s="274"/>
      <c r="IGN158" s="274"/>
      <c r="IGO158" s="274"/>
      <c r="IGP158" s="273"/>
      <c r="IGQ158" s="274"/>
      <c r="IGR158" s="274"/>
      <c r="IGS158" s="274"/>
      <c r="IGT158" s="274"/>
      <c r="IGU158" s="274"/>
      <c r="IGV158" s="273"/>
      <c r="IGW158" s="274"/>
      <c r="IGX158" s="274"/>
      <c r="IGY158" s="274"/>
      <c r="IGZ158" s="274"/>
      <c r="IHA158" s="274"/>
      <c r="IHB158" s="273"/>
      <c r="IHC158" s="274"/>
      <c r="IHD158" s="274"/>
      <c r="IHE158" s="274"/>
      <c r="IHF158" s="274"/>
      <c r="IHG158" s="274"/>
      <c r="IHH158" s="273"/>
      <c r="IHI158" s="274"/>
      <c r="IHJ158" s="274"/>
      <c r="IHK158" s="274"/>
      <c r="IHL158" s="274"/>
      <c r="IHM158" s="274"/>
      <c r="IHN158" s="273"/>
      <c r="IHO158" s="274"/>
      <c r="IHP158" s="274"/>
      <c r="IHQ158" s="274"/>
      <c r="IHR158" s="274"/>
      <c r="IHS158" s="274"/>
      <c r="IHT158" s="273"/>
      <c r="IHU158" s="274"/>
      <c r="IHV158" s="274"/>
      <c r="IHW158" s="274"/>
      <c r="IHX158" s="274"/>
      <c r="IHY158" s="274"/>
      <c r="IHZ158" s="273"/>
      <c r="IIA158" s="274"/>
      <c r="IIB158" s="274"/>
      <c r="IIC158" s="274"/>
      <c r="IID158" s="274"/>
      <c r="IIE158" s="274"/>
      <c r="IIF158" s="273"/>
      <c r="IIG158" s="274"/>
      <c r="IIH158" s="274"/>
      <c r="III158" s="274"/>
      <c r="IIJ158" s="274"/>
      <c r="IIK158" s="274"/>
      <c r="IIL158" s="273"/>
      <c r="IIM158" s="274"/>
      <c r="IIN158" s="274"/>
      <c r="IIO158" s="274"/>
      <c r="IIP158" s="274"/>
      <c r="IIQ158" s="274"/>
      <c r="IIR158" s="273"/>
      <c r="IIS158" s="274"/>
      <c r="IIT158" s="274"/>
      <c r="IIU158" s="274"/>
      <c r="IIV158" s="274"/>
      <c r="IIW158" s="274"/>
      <c r="IIX158" s="273"/>
      <c r="IIY158" s="274"/>
      <c r="IIZ158" s="274"/>
      <c r="IJA158" s="274"/>
      <c r="IJB158" s="274"/>
      <c r="IJC158" s="274"/>
      <c r="IJD158" s="273"/>
      <c r="IJE158" s="274"/>
      <c r="IJF158" s="274"/>
      <c r="IJG158" s="274"/>
      <c r="IJH158" s="274"/>
      <c r="IJI158" s="274"/>
      <c r="IJJ158" s="273"/>
      <c r="IJK158" s="274"/>
      <c r="IJL158" s="274"/>
      <c r="IJM158" s="274"/>
      <c r="IJN158" s="274"/>
      <c r="IJO158" s="274"/>
      <c r="IJP158" s="273"/>
      <c r="IJQ158" s="274"/>
      <c r="IJR158" s="274"/>
      <c r="IJS158" s="274"/>
      <c r="IJT158" s="274"/>
      <c r="IJU158" s="274"/>
      <c r="IJV158" s="273"/>
      <c r="IJW158" s="274"/>
      <c r="IJX158" s="274"/>
      <c r="IJY158" s="274"/>
      <c r="IJZ158" s="274"/>
      <c r="IKA158" s="274"/>
      <c r="IKB158" s="273"/>
      <c r="IKC158" s="274"/>
      <c r="IKD158" s="274"/>
      <c r="IKE158" s="274"/>
      <c r="IKF158" s="274"/>
      <c r="IKG158" s="274"/>
      <c r="IKH158" s="273"/>
      <c r="IKI158" s="274"/>
      <c r="IKJ158" s="274"/>
      <c r="IKK158" s="274"/>
      <c r="IKL158" s="274"/>
      <c r="IKM158" s="274"/>
      <c r="IKN158" s="273"/>
      <c r="IKO158" s="274"/>
      <c r="IKP158" s="274"/>
      <c r="IKQ158" s="274"/>
      <c r="IKR158" s="274"/>
      <c r="IKS158" s="274"/>
      <c r="IKT158" s="273"/>
      <c r="IKU158" s="274"/>
      <c r="IKV158" s="274"/>
      <c r="IKW158" s="274"/>
      <c r="IKX158" s="274"/>
      <c r="IKY158" s="274"/>
      <c r="IKZ158" s="273"/>
      <c r="ILA158" s="274"/>
      <c r="ILB158" s="274"/>
      <c r="ILC158" s="274"/>
      <c r="ILD158" s="274"/>
      <c r="ILE158" s="274"/>
      <c r="ILF158" s="273"/>
      <c r="ILG158" s="274"/>
      <c r="ILH158" s="274"/>
      <c r="ILI158" s="274"/>
      <c r="ILJ158" s="274"/>
      <c r="ILK158" s="274"/>
      <c r="ILL158" s="273"/>
      <c r="ILM158" s="274"/>
      <c r="ILN158" s="274"/>
      <c r="ILO158" s="274"/>
      <c r="ILP158" s="274"/>
      <c r="ILQ158" s="274"/>
      <c r="ILR158" s="273"/>
      <c r="ILS158" s="274"/>
      <c r="ILT158" s="274"/>
      <c r="ILU158" s="274"/>
      <c r="ILV158" s="274"/>
      <c r="ILW158" s="274"/>
      <c r="ILX158" s="273"/>
      <c r="ILY158" s="274"/>
      <c r="ILZ158" s="274"/>
      <c r="IMA158" s="274"/>
      <c r="IMB158" s="274"/>
      <c r="IMC158" s="274"/>
      <c r="IMD158" s="273"/>
      <c r="IME158" s="274"/>
      <c r="IMF158" s="274"/>
      <c r="IMG158" s="274"/>
      <c r="IMH158" s="274"/>
      <c r="IMI158" s="274"/>
      <c r="IMJ158" s="273"/>
      <c r="IMK158" s="274"/>
      <c r="IML158" s="274"/>
      <c r="IMM158" s="274"/>
      <c r="IMN158" s="274"/>
      <c r="IMO158" s="274"/>
      <c r="IMP158" s="273"/>
      <c r="IMQ158" s="274"/>
      <c r="IMR158" s="274"/>
      <c r="IMS158" s="274"/>
      <c r="IMT158" s="274"/>
      <c r="IMU158" s="274"/>
      <c r="IMV158" s="273"/>
      <c r="IMW158" s="274"/>
      <c r="IMX158" s="274"/>
      <c r="IMY158" s="274"/>
      <c r="IMZ158" s="274"/>
      <c r="INA158" s="274"/>
      <c r="INB158" s="273"/>
      <c r="INC158" s="274"/>
      <c r="IND158" s="274"/>
      <c r="INE158" s="274"/>
      <c r="INF158" s="274"/>
      <c r="ING158" s="274"/>
      <c r="INH158" s="273"/>
      <c r="INI158" s="274"/>
      <c r="INJ158" s="274"/>
      <c r="INK158" s="274"/>
      <c r="INL158" s="274"/>
      <c r="INM158" s="274"/>
      <c r="INN158" s="273"/>
      <c r="INO158" s="274"/>
      <c r="INP158" s="274"/>
      <c r="INQ158" s="274"/>
      <c r="INR158" s="274"/>
      <c r="INS158" s="274"/>
      <c r="INT158" s="273"/>
      <c r="INU158" s="274"/>
      <c r="INV158" s="274"/>
      <c r="INW158" s="274"/>
      <c r="INX158" s="274"/>
      <c r="INY158" s="274"/>
      <c r="INZ158" s="273"/>
      <c r="IOA158" s="274"/>
      <c r="IOB158" s="274"/>
      <c r="IOC158" s="274"/>
      <c r="IOD158" s="274"/>
      <c r="IOE158" s="274"/>
      <c r="IOF158" s="273"/>
      <c r="IOG158" s="274"/>
      <c r="IOH158" s="274"/>
      <c r="IOI158" s="274"/>
      <c r="IOJ158" s="274"/>
      <c r="IOK158" s="274"/>
      <c r="IOL158" s="273"/>
      <c r="IOM158" s="274"/>
      <c r="ION158" s="274"/>
      <c r="IOO158" s="274"/>
      <c r="IOP158" s="274"/>
      <c r="IOQ158" s="274"/>
      <c r="IOR158" s="273"/>
      <c r="IOS158" s="274"/>
      <c r="IOT158" s="274"/>
      <c r="IOU158" s="274"/>
      <c r="IOV158" s="274"/>
      <c r="IOW158" s="274"/>
      <c r="IOX158" s="273"/>
      <c r="IOY158" s="274"/>
      <c r="IOZ158" s="274"/>
      <c r="IPA158" s="274"/>
      <c r="IPB158" s="274"/>
      <c r="IPC158" s="274"/>
      <c r="IPD158" s="273"/>
      <c r="IPE158" s="274"/>
      <c r="IPF158" s="274"/>
      <c r="IPG158" s="274"/>
      <c r="IPH158" s="274"/>
      <c r="IPI158" s="274"/>
      <c r="IPJ158" s="273"/>
      <c r="IPK158" s="274"/>
      <c r="IPL158" s="274"/>
      <c r="IPM158" s="274"/>
      <c r="IPN158" s="274"/>
      <c r="IPO158" s="274"/>
      <c r="IPP158" s="273"/>
      <c r="IPQ158" s="274"/>
      <c r="IPR158" s="274"/>
      <c r="IPS158" s="274"/>
      <c r="IPT158" s="274"/>
      <c r="IPU158" s="274"/>
      <c r="IPV158" s="273"/>
      <c r="IPW158" s="274"/>
      <c r="IPX158" s="274"/>
      <c r="IPY158" s="274"/>
      <c r="IPZ158" s="274"/>
      <c r="IQA158" s="274"/>
      <c r="IQB158" s="273"/>
      <c r="IQC158" s="274"/>
      <c r="IQD158" s="274"/>
      <c r="IQE158" s="274"/>
      <c r="IQF158" s="274"/>
      <c r="IQG158" s="274"/>
      <c r="IQH158" s="273"/>
      <c r="IQI158" s="274"/>
      <c r="IQJ158" s="274"/>
      <c r="IQK158" s="274"/>
      <c r="IQL158" s="274"/>
      <c r="IQM158" s="274"/>
      <c r="IQN158" s="273"/>
      <c r="IQO158" s="274"/>
      <c r="IQP158" s="274"/>
      <c r="IQQ158" s="274"/>
      <c r="IQR158" s="274"/>
      <c r="IQS158" s="274"/>
      <c r="IQT158" s="273"/>
      <c r="IQU158" s="274"/>
      <c r="IQV158" s="274"/>
      <c r="IQW158" s="274"/>
      <c r="IQX158" s="274"/>
      <c r="IQY158" s="274"/>
      <c r="IQZ158" s="273"/>
      <c r="IRA158" s="274"/>
      <c r="IRB158" s="274"/>
      <c r="IRC158" s="274"/>
      <c r="IRD158" s="274"/>
      <c r="IRE158" s="274"/>
      <c r="IRF158" s="273"/>
      <c r="IRG158" s="274"/>
      <c r="IRH158" s="274"/>
      <c r="IRI158" s="274"/>
      <c r="IRJ158" s="274"/>
      <c r="IRK158" s="274"/>
      <c r="IRL158" s="273"/>
      <c r="IRM158" s="274"/>
      <c r="IRN158" s="274"/>
      <c r="IRO158" s="274"/>
      <c r="IRP158" s="274"/>
      <c r="IRQ158" s="274"/>
      <c r="IRR158" s="273"/>
      <c r="IRS158" s="274"/>
      <c r="IRT158" s="274"/>
      <c r="IRU158" s="274"/>
      <c r="IRV158" s="274"/>
      <c r="IRW158" s="274"/>
      <c r="IRX158" s="273"/>
      <c r="IRY158" s="274"/>
      <c r="IRZ158" s="274"/>
      <c r="ISA158" s="274"/>
      <c r="ISB158" s="274"/>
      <c r="ISC158" s="274"/>
      <c r="ISD158" s="273"/>
      <c r="ISE158" s="274"/>
      <c r="ISF158" s="274"/>
      <c r="ISG158" s="274"/>
      <c r="ISH158" s="274"/>
      <c r="ISI158" s="274"/>
      <c r="ISJ158" s="273"/>
      <c r="ISK158" s="274"/>
      <c r="ISL158" s="274"/>
      <c r="ISM158" s="274"/>
      <c r="ISN158" s="274"/>
      <c r="ISO158" s="274"/>
      <c r="ISP158" s="273"/>
      <c r="ISQ158" s="274"/>
      <c r="ISR158" s="274"/>
      <c r="ISS158" s="274"/>
      <c r="IST158" s="274"/>
      <c r="ISU158" s="274"/>
      <c r="ISV158" s="273"/>
      <c r="ISW158" s="274"/>
      <c r="ISX158" s="274"/>
      <c r="ISY158" s="274"/>
      <c r="ISZ158" s="274"/>
      <c r="ITA158" s="274"/>
      <c r="ITB158" s="273"/>
      <c r="ITC158" s="274"/>
      <c r="ITD158" s="274"/>
      <c r="ITE158" s="274"/>
      <c r="ITF158" s="274"/>
      <c r="ITG158" s="274"/>
      <c r="ITH158" s="273"/>
      <c r="ITI158" s="274"/>
      <c r="ITJ158" s="274"/>
      <c r="ITK158" s="274"/>
      <c r="ITL158" s="274"/>
      <c r="ITM158" s="274"/>
      <c r="ITN158" s="273"/>
      <c r="ITO158" s="274"/>
      <c r="ITP158" s="274"/>
      <c r="ITQ158" s="274"/>
      <c r="ITR158" s="274"/>
      <c r="ITS158" s="274"/>
      <c r="ITT158" s="273"/>
      <c r="ITU158" s="274"/>
      <c r="ITV158" s="274"/>
      <c r="ITW158" s="274"/>
      <c r="ITX158" s="274"/>
      <c r="ITY158" s="274"/>
      <c r="ITZ158" s="273"/>
      <c r="IUA158" s="274"/>
      <c r="IUB158" s="274"/>
      <c r="IUC158" s="274"/>
      <c r="IUD158" s="274"/>
      <c r="IUE158" s="274"/>
      <c r="IUF158" s="273"/>
      <c r="IUG158" s="274"/>
      <c r="IUH158" s="274"/>
      <c r="IUI158" s="274"/>
      <c r="IUJ158" s="274"/>
      <c r="IUK158" s="274"/>
      <c r="IUL158" s="273"/>
      <c r="IUM158" s="274"/>
      <c r="IUN158" s="274"/>
      <c r="IUO158" s="274"/>
      <c r="IUP158" s="274"/>
      <c r="IUQ158" s="274"/>
      <c r="IUR158" s="273"/>
      <c r="IUS158" s="274"/>
      <c r="IUT158" s="274"/>
      <c r="IUU158" s="274"/>
      <c r="IUV158" s="274"/>
      <c r="IUW158" s="274"/>
      <c r="IUX158" s="273"/>
      <c r="IUY158" s="274"/>
      <c r="IUZ158" s="274"/>
      <c r="IVA158" s="274"/>
      <c r="IVB158" s="274"/>
      <c r="IVC158" s="274"/>
      <c r="IVD158" s="273"/>
      <c r="IVE158" s="274"/>
      <c r="IVF158" s="274"/>
      <c r="IVG158" s="274"/>
      <c r="IVH158" s="274"/>
      <c r="IVI158" s="274"/>
      <c r="IVJ158" s="273"/>
      <c r="IVK158" s="274"/>
      <c r="IVL158" s="274"/>
      <c r="IVM158" s="274"/>
      <c r="IVN158" s="274"/>
      <c r="IVO158" s="274"/>
      <c r="IVP158" s="273"/>
      <c r="IVQ158" s="274"/>
      <c r="IVR158" s="274"/>
      <c r="IVS158" s="274"/>
      <c r="IVT158" s="274"/>
      <c r="IVU158" s="274"/>
      <c r="IVV158" s="273"/>
      <c r="IVW158" s="274"/>
      <c r="IVX158" s="274"/>
      <c r="IVY158" s="274"/>
      <c r="IVZ158" s="274"/>
      <c r="IWA158" s="274"/>
      <c r="IWB158" s="273"/>
      <c r="IWC158" s="274"/>
      <c r="IWD158" s="274"/>
      <c r="IWE158" s="274"/>
      <c r="IWF158" s="274"/>
      <c r="IWG158" s="274"/>
      <c r="IWH158" s="273"/>
      <c r="IWI158" s="274"/>
      <c r="IWJ158" s="274"/>
      <c r="IWK158" s="274"/>
      <c r="IWL158" s="274"/>
      <c r="IWM158" s="274"/>
      <c r="IWN158" s="273"/>
      <c r="IWO158" s="274"/>
      <c r="IWP158" s="274"/>
      <c r="IWQ158" s="274"/>
      <c r="IWR158" s="274"/>
      <c r="IWS158" s="274"/>
      <c r="IWT158" s="273"/>
      <c r="IWU158" s="274"/>
      <c r="IWV158" s="274"/>
      <c r="IWW158" s="274"/>
      <c r="IWX158" s="274"/>
      <c r="IWY158" s="274"/>
      <c r="IWZ158" s="273"/>
      <c r="IXA158" s="274"/>
      <c r="IXB158" s="274"/>
      <c r="IXC158" s="274"/>
      <c r="IXD158" s="274"/>
      <c r="IXE158" s="274"/>
      <c r="IXF158" s="273"/>
      <c r="IXG158" s="274"/>
      <c r="IXH158" s="274"/>
      <c r="IXI158" s="274"/>
      <c r="IXJ158" s="274"/>
      <c r="IXK158" s="274"/>
      <c r="IXL158" s="273"/>
      <c r="IXM158" s="274"/>
      <c r="IXN158" s="274"/>
      <c r="IXO158" s="274"/>
      <c r="IXP158" s="274"/>
      <c r="IXQ158" s="274"/>
      <c r="IXR158" s="273"/>
      <c r="IXS158" s="274"/>
      <c r="IXT158" s="274"/>
      <c r="IXU158" s="274"/>
      <c r="IXV158" s="274"/>
      <c r="IXW158" s="274"/>
      <c r="IXX158" s="273"/>
      <c r="IXY158" s="274"/>
      <c r="IXZ158" s="274"/>
      <c r="IYA158" s="274"/>
      <c r="IYB158" s="274"/>
      <c r="IYC158" s="274"/>
      <c r="IYD158" s="273"/>
      <c r="IYE158" s="274"/>
      <c r="IYF158" s="274"/>
      <c r="IYG158" s="274"/>
      <c r="IYH158" s="274"/>
      <c r="IYI158" s="274"/>
      <c r="IYJ158" s="273"/>
      <c r="IYK158" s="274"/>
      <c r="IYL158" s="274"/>
      <c r="IYM158" s="274"/>
      <c r="IYN158" s="274"/>
      <c r="IYO158" s="274"/>
      <c r="IYP158" s="273"/>
      <c r="IYQ158" s="274"/>
      <c r="IYR158" s="274"/>
      <c r="IYS158" s="274"/>
      <c r="IYT158" s="274"/>
      <c r="IYU158" s="274"/>
      <c r="IYV158" s="273"/>
      <c r="IYW158" s="274"/>
      <c r="IYX158" s="274"/>
      <c r="IYY158" s="274"/>
      <c r="IYZ158" s="274"/>
      <c r="IZA158" s="274"/>
      <c r="IZB158" s="273"/>
      <c r="IZC158" s="274"/>
      <c r="IZD158" s="274"/>
      <c r="IZE158" s="274"/>
      <c r="IZF158" s="274"/>
      <c r="IZG158" s="274"/>
      <c r="IZH158" s="273"/>
      <c r="IZI158" s="274"/>
      <c r="IZJ158" s="274"/>
      <c r="IZK158" s="274"/>
      <c r="IZL158" s="274"/>
      <c r="IZM158" s="274"/>
      <c r="IZN158" s="273"/>
      <c r="IZO158" s="274"/>
      <c r="IZP158" s="274"/>
      <c r="IZQ158" s="274"/>
      <c r="IZR158" s="274"/>
      <c r="IZS158" s="274"/>
      <c r="IZT158" s="273"/>
      <c r="IZU158" s="274"/>
      <c r="IZV158" s="274"/>
      <c r="IZW158" s="274"/>
      <c r="IZX158" s="274"/>
      <c r="IZY158" s="274"/>
      <c r="IZZ158" s="273"/>
      <c r="JAA158" s="274"/>
      <c r="JAB158" s="274"/>
      <c r="JAC158" s="274"/>
      <c r="JAD158" s="274"/>
      <c r="JAE158" s="274"/>
      <c r="JAF158" s="273"/>
      <c r="JAG158" s="274"/>
      <c r="JAH158" s="274"/>
      <c r="JAI158" s="274"/>
      <c r="JAJ158" s="274"/>
      <c r="JAK158" s="274"/>
      <c r="JAL158" s="273"/>
      <c r="JAM158" s="274"/>
      <c r="JAN158" s="274"/>
      <c r="JAO158" s="274"/>
      <c r="JAP158" s="274"/>
      <c r="JAQ158" s="274"/>
      <c r="JAR158" s="273"/>
      <c r="JAS158" s="274"/>
      <c r="JAT158" s="274"/>
      <c r="JAU158" s="274"/>
      <c r="JAV158" s="274"/>
      <c r="JAW158" s="274"/>
      <c r="JAX158" s="273"/>
      <c r="JAY158" s="274"/>
      <c r="JAZ158" s="274"/>
      <c r="JBA158" s="274"/>
      <c r="JBB158" s="274"/>
      <c r="JBC158" s="274"/>
      <c r="JBD158" s="273"/>
      <c r="JBE158" s="274"/>
      <c r="JBF158" s="274"/>
      <c r="JBG158" s="274"/>
      <c r="JBH158" s="274"/>
      <c r="JBI158" s="274"/>
      <c r="JBJ158" s="273"/>
      <c r="JBK158" s="274"/>
      <c r="JBL158" s="274"/>
      <c r="JBM158" s="274"/>
      <c r="JBN158" s="274"/>
      <c r="JBO158" s="274"/>
      <c r="JBP158" s="273"/>
      <c r="JBQ158" s="274"/>
      <c r="JBR158" s="274"/>
      <c r="JBS158" s="274"/>
      <c r="JBT158" s="274"/>
      <c r="JBU158" s="274"/>
      <c r="JBV158" s="273"/>
      <c r="JBW158" s="274"/>
      <c r="JBX158" s="274"/>
      <c r="JBY158" s="274"/>
      <c r="JBZ158" s="274"/>
      <c r="JCA158" s="274"/>
      <c r="JCB158" s="273"/>
      <c r="JCC158" s="274"/>
      <c r="JCD158" s="274"/>
      <c r="JCE158" s="274"/>
      <c r="JCF158" s="274"/>
      <c r="JCG158" s="274"/>
      <c r="JCH158" s="273"/>
      <c r="JCI158" s="274"/>
      <c r="JCJ158" s="274"/>
      <c r="JCK158" s="274"/>
      <c r="JCL158" s="274"/>
      <c r="JCM158" s="274"/>
      <c r="JCN158" s="273"/>
      <c r="JCO158" s="274"/>
      <c r="JCP158" s="274"/>
      <c r="JCQ158" s="274"/>
      <c r="JCR158" s="274"/>
      <c r="JCS158" s="274"/>
      <c r="JCT158" s="273"/>
      <c r="JCU158" s="274"/>
      <c r="JCV158" s="274"/>
      <c r="JCW158" s="274"/>
      <c r="JCX158" s="274"/>
      <c r="JCY158" s="274"/>
      <c r="JCZ158" s="273"/>
      <c r="JDA158" s="274"/>
      <c r="JDB158" s="274"/>
      <c r="JDC158" s="274"/>
      <c r="JDD158" s="274"/>
      <c r="JDE158" s="274"/>
      <c r="JDF158" s="273"/>
      <c r="JDG158" s="274"/>
      <c r="JDH158" s="274"/>
      <c r="JDI158" s="274"/>
      <c r="JDJ158" s="274"/>
      <c r="JDK158" s="274"/>
      <c r="JDL158" s="273"/>
      <c r="JDM158" s="274"/>
      <c r="JDN158" s="274"/>
      <c r="JDO158" s="274"/>
      <c r="JDP158" s="274"/>
      <c r="JDQ158" s="274"/>
      <c r="JDR158" s="273"/>
      <c r="JDS158" s="274"/>
      <c r="JDT158" s="274"/>
      <c r="JDU158" s="274"/>
      <c r="JDV158" s="274"/>
      <c r="JDW158" s="274"/>
      <c r="JDX158" s="273"/>
      <c r="JDY158" s="274"/>
      <c r="JDZ158" s="274"/>
      <c r="JEA158" s="274"/>
      <c r="JEB158" s="274"/>
      <c r="JEC158" s="274"/>
      <c r="JED158" s="273"/>
      <c r="JEE158" s="274"/>
      <c r="JEF158" s="274"/>
      <c r="JEG158" s="274"/>
      <c r="JEH158" s="274"/>
      <c r="JEI158" s="274"/>
      <c r="JEJ158" s="273"/>
      <c r="JEK158" s="274"/>
      <c r="JEL158" s="274"/>
      <c r="JEM158" s="274"/>
      <c r="JEN158" s="274"/>
      <c r="JEO158" s="274"/>
      <c r="JEP158" s="273"/>
      <c r="JEQ158" s="274"/>
      <c r="JER158" s="274"/>
      <c r="JES158" s="274"/>
      <c r="JET158" s="274"/>
      <c r="JEU158" s="274"/>
      <c r="JEV158" s="273"/>
      <c r="JEW158" s="274"/>
      <c r="JEX158" s="274"/>
      <c r="JEY158" s="274"/>
      <c r="JEZ158" s="274"/>
      <c r="JFA158" s="274"/>
      <c r="JFB158" s="273"/>
      <c r="JFC158" s="274"/>
      <c r="JFD158" s="274"/>
      <c r="JFE158" s="274"/>
      <c r="JFF158" s="274"/>
      <c r="JFG158" s="274"/>
      <c r="JFH158" s="273"/>
      <c r="JFI158" s="274"/>
      <c r="JFJ158" s="274"/>
      <c r="JFK158" s="274"/>
      <c r="JFL158" s="274"/>
      <c r="JFM158" s="274"/>
      <c r="JFN158" s="273"/>
      <c r="JFO158" s="274"/>
      <c r="JFP158" s="274"/>
      <c r="JFQ158" s="274"/>
      <c r="JFR158" s="274"/>
      <c r="JFS158" s="274"/>
      <c r="JFT158" s="273"/>
      <c r="JFU158" s="274"/>
      <c r="JFV158" s="274"/>
      <c r="JFW158" s="274"/>
      <c r="JFX158" s="274"/>
      <c r="JFY158" s="274"/>
      <c r="JFZ158" s="273"/>
      <c r="JGA158" s="274"/>
      <c r="JGB158" s="274"/>
      <c r="JGC158" s="274"/>
      <c r="JGD158" s="274"/>
      <c r="JGE158" s="274"/>
      <c r="JGF158" s="273"/>
      <c r="JGG158" s="274"/>
      <c r="JGH158" s="274"/>
      <c r="JGI158" s="274"/>
      <c r="JGJ158" s="274"/>
      <c r="JGK158" s="274"/>
      <c r="JGL158" s="273"/>
      <c r="JGM158" s="274"/>
      <c r="JGN158" s="274"/>
      <c r="JGO158" s="274"/>
      <c r="JGP158" s="274"/>
      <c r="JGQ158" s="274"/>
      <c r="JGR158" s="273"/>
      <c r="JGS158" s="274"/>
      <c r="JGT158" s="274"/>
      <c r="JGU158" s="274"/>
      <c r="JGV158" s="274"/>
      <c r="JGW158" s="274"/>
      <c r="JGX158" s="273"/>
      <c r="JGY158" s="274"/>
      <c r="JGZ158" s="274"/>
      <c r="JHA158" s="274"/>
      <c r="JHB158" s="274"/>
      <c r="JHC158" s="274"/>
      <c r="JHD158" s="273"/>
      <c r="JHE158" s="274"/>
      <c r="JHF158" s="274"/>
      <c r="JHG158" s="274"/>
      <c r="JHH158" s="274"/>
      <c r="JHI158" s="274"/>
      <c r="JHJ158" s="273"/>
      <c r="JHK158" s="274"/>
      <c r="JHL158" s="274"/>
      <c r="JHM158" s="274"/>
      <c r="JHN158" s="274"/>
      <c r="JHO158" s="274"/>
      <c r="JHP158" s="273"/>
      <c r="JHQ158" s="274"/>
      <c r="JHR158" s="274"/>
      <c r="JHS158" s="274"/>
      <c r="JHT158" s="274"/>
      <c r="JHU158" s="274"/>
      <c r="JHV158" s="273"/>
      <c r="JHW158" s="274"/>
      <c r="JHX158" s="274"/>
      <c r="JHY158" s="274"/>
      <c r="JHZ158" s="274"/>
      <c r="JIA158" s="274"/>
      <c r="JIB158" s="273"/>
      <c r="JIC158" s="274"/>
      <c r="JID158" s="274"/>
      <c r="JIE158" s="274"/>
      <c r="JIF158" s="274"/>
      <c r="JIG158" s="274"/>
      <c r="JIH158" s="273"/>
      <c r="JII158" s="274"/>
      <c r="JIJ158" s="274"/>
      <c r="JIK158" s="274"/>
      <c r="JIL158" s="274"/>
      <c r="JIM158" s="274"/>
      <c r="JIN158" s="273"/>
      <c r="JIO158" s="274"/>
      <c r="JIP158" s="274"/>
      <c r="JIQ158" s="274"/>
      <c r="JIR158" s="274"/>
      <c r="JIS158" s="274"/>
      <c r="JIT158" s="273"/>
      <c r="JIU158" s="274"/>
      <c r="JIV158" s="274"/>
      <c r="JIW158" s="274"/>
      <c r="JIX158" s="274"/>
      <c r="JIY158" s="274"/>
      <c r="JIZ158" s="273"/>
      <c r="JJA158" s="274"/>
      <c r="JJB158" s="274"/>
      <c r="JJC158" s="274"/>
      <c r="JJD158" s="274"/>
      <c r="JJE158" s="274"/>
      <c r="JJF158" s="273"/>
      <c r="JJG158" s="274"/>
      <c r="JJH158" s="274"/>
      <c r="JJI158" s="274"/>
      <c r="JJJ158" s="274"/>
      <c r="JJK158" s="274"/>
      <c r="JJL158" s="273"/>
      <c r="JJM158" s="274"/>
      <c r="JJN158" s="274"/>
      <c r="JJO158" s="274"/>
      <c r="JJP158" s="274"/>
      <c r="JJQ158" s="274"/>
      <c r="JJR158" s="273"/>
      <c r="JJS158" s="274"/>
      <c r="JJT158" s="274"/>
      <c r="JJU158" s="274"/>
      <c r="JJV158" s="274"/>
      <c r="JJW158" s="274"/>
      <c r="JJX158" s="273"/>
      <c r="JJY158" s="274"/>
      <c r="JJZ158" s="274"/>
      <c r="JKA158" s="274"/>
      <c r="JKB158" s="274"/>
      <c r="JKC158" s="274"/>
      <c r="JKD158" s="273"/>
      <c r="JKE158" s="274"/>
      <c r="JKF158" s="274"/>
      <c r="JKG158" s="274"/>
      <c r="JKH158" s="274"/>
      <c r="JKI158" s="274"/>
      <c r="JKJ158" s="273"/>
      <c r="JKK158" s="274"/>
      <c r="JKL158" s="274"/>
      <c r="JKM158" s="274"/>
      <c r="JKN158" s="274"/>
      <c r="JKO158" s="274"/>
      <c r="JKP158" s="273"/>
      <c r="JKQ158" s="274"/>
      <c r="JKR158" s="274"/>
      <c r="JKS158" s="274"/>
      <c r="JKT158" s="274"/>
      <c r="JKU158" s="274"/>
      <c r="JKV158" s="273"/>
      <c r="JKW158" s="274"/>
      <c r="JKX158" s="274"/>
      <c r="JKY158" s="274"/>
      <c r="JKZ158" s="274"/>
      <c r="JLA158" s="274"/>
      <c r="JLB158" s="273"/>
      <c r="JLC158" s="274"/>
      <c r="JLD158" s="274"/>
      <c r="JLE158" s="274"/>
      <c r="JLF158" s="274"/>
      <c r="JLG158" s="274"/>
      <c r="JLH158" s="273"/>
      <c r="JLI158" s="274"/>
      <c r="JLJ158" s="274"/>
      <c r="JLK158" s="274"/>
      <c r="JLL158" s="274"/>
      <c r="JLM158" s="274"/>
      <c r="JLN158" s="273"/>
      <c r="JLO158" s="274"/>
      <c r="JLP158" s="274"/>
      <c r="JLQ158" s="274"/>
      <c r="JLR158" s="274"/>
      <c r="JLS158" s="274"/>
      <c r="JLT158" s="273"/>
      <c r="JLU158" s="274"/>
      <c r="JLV158" s="274"/>
      <c r="JLW158" s="274"/>
      <c r="JLX158" s="274"/>
      <c r="JLY158" s="274"/>
      <c r="JLZ158" s="273"/>
      <c r="JMA158" s="274"/>
      <c r="JMB158" s="274"/>
      <c r="JMC158" s="274"/>
      <c r="JMD158" s="274"/>
      <c r="JME158" s="274"/>
      <c r="JMF158" s="273"/>
      <c r="JMG158" s="274"/>
      <c r="JMH158" s="274"/>
      <c r="JMI158" s="274"/>
      <c r="JMJ158" s="274"/>
      <c r="JMK158" s="274"/>
      <c r="JML158" s="273"/>
      <c r="JMM158" s="274"/>
      <c r="JMN158" s="274"/>
      <c r="JMO158" s="274"/>
      <c r="JMP158" s="274"/>
      <c r="JMQ158" s="274"/>
      <c r="JMR158" s="273"/>
      <c r="JMS158" s="274"/>
      <c r="JMT158" s="274"/>
      <c r="JMU158" s="274"/>
      <c r="JMV158" s="274"/>
      <c r="JMW158" s="274"/>
      <c r="JMX158" s="273"/>
      <c r="JMY158" s="274"/>
      <c r="JMZ158" s="274"/>
      <c r="JNA158" s="274"/>
      <c r="JNB158" s="274"/>
      <c r="JNC158" s="274"/>
      <c r="JND158" s="273"/>
      <c r="JNE158" s="274"/>
      <c r="JNF158" s="274"/>
      <c r="JNG158" s="274"/>
      <c r="JNH158" s="274"/>
      <c r="JNI158" s="274"/>
      <c r="JNJ158" s="273"/>
      <c r="JNK158" s="274"/>
      <c r="JNL158" s="274"/>
      <c r="JNM158" s="274"/>
      <c r="JNN158" s="274"/>
      <c r="JNO158" s="274"/>
      <c r="JNP158" s="273"/>
      <c r="JNQ158" s="274"/>
      <c r="JNR158" s="274"/>
      <c r="JNS158" s="274"/>
      <c r="JNT158" s="274"/>
      <c r="JNU158" s="274"/>
      <c r="JNV158" s="273"/>
      <c r="JNW158" s="274"/>
      <c r="JNX158" s="274"/>
      <c r="JNY158" s="274"/>
      <c r="JNZ158" s="274"/>
      <c r="JOA158" s="274"/>
      <c r="JOB158" s="273"/>
      <c r="JOC158" s="274"/>
      <c r="JOD158" s="274"/>
      <c r="JOE158" s="274"/>
      <c r="JOF158" s="274"/>
      <c r="JOG158" s="274"/>
      <c r="JOH158" s="273"/>
      <c r="JOI158" s="274"/>
      <c r="JOJ158" s="274"/>
      <c r="JOK158" s="274"/>
      <c r="JOL158" s="274"/>
      <c r="JOM158" s="274"/>
      <c r="JON158" s="273"/>
      <c r="JOO158" s="274"/>
      <c r="JOP158" s="274"/>
      <c r="JOQ158" s="274"/>
      <c r="JOR158" s="274"/>
      <c r="JOS158" s="274"/>
      <c r="JOT158" s="273"/>
      <c r="JOU158" s="274"/>
      <c r="JOV158" s="274"/>
      <c r="JOW158" s="274"/>
      <c r="JOX158" s="274"/>
      <c r="JOY158" s="274"/>
      <c r="JOZ158" s="273"/>
      <c r="JPA158" s="274"/>
      <c r="JPB158" s="274"/>
      <c r="JPC158" s="274"/>
      <c r="JPD158" s="274"/>
      <c r="JPE158" s="274"/>
      <c r="JPF158" s="273"/>
      <c r="JPG158" s="274"/>
      <c r="JPH158" s="274"/>
      <c r="JPI158" s="274"/>
      <c r="JPJ158" s="274"/>
      <c r="JPK158" s="274"/>
      <c r="JPL158" s="273"/>
      <c r="JPM158" s="274"/>
      <c r="JPN158" s="274"/>
      <c r="JPO158" s="274"/>
      <c r="JPP158" s="274"/>
      <c r="JPQ158" s="274"/>
      <c r="JPR158" s="273"/>
      <c r="JPS158" s="274"/>
      <c r="JPT158" s="274"/>
      <c r="JPU158" s="274"/>
      <c r="JPV158" s="274"/>
      <c r="JPW158" s="274"/>
      <c r="JPX158" s="273"/>
      <c r="JPY158" s="274"/>
      <c r="JPZ158" s="274"/>
      <c r="JQA158" s="274"/>
      <c r="JQB158" s="274"/>
      <c r="JQC158" s="274"/>
      <c r="JQD158" s="273"/>
      <c r="JQE158" s="274"/>
      <c r="JQF158" s="274"/>
      <c r="JQG158" s="274"/>
      <c r="JQH158" s="274"/>
      <c r="JQI158" s="274"/>
      <c r="JQJ158" s="273"/>
      <c r="JQK158" s="274"/>
      <c r="JQL158" s="274"/>
      <c r="JQM158" s="274"/>
      <c r="JQN158" s="274"/>
      <c r="JQO158" s="274"/>
      <c r="JQP158" s="273"/>
      <c r="JQQ158" s="274"/>
      <c r="JQR158" s="274"/>
      <c r="JQS158" s="274"/>
      <c r="JQT158" s="274"/>
      <c r="JQU158" s="274"/>
      <c r="JQV158" s="273"/>
      <c r="JQW158" s="274"/>
      <c r="JQX158" s="274"/>
      <c r="JQY158" s="274"/>
      <c r="JQZ158" s="274"/>
      <c r="JRA158" s="274"/>
      <c r="JRB158" s="273"/>
      <c r="JRC158" s="274"/>
      <c r="JRD158" s="274"/>
      <c r="JRE158" s="274"/>
      <c r="JRF158" s="274"/>
      <c r="JRG158" s="274"/>
      <c r="JRH158" s="273"/>
      <c r="JRI158" s="274"/>
      <c r="JRJ158" s="274"/>
      <c r="JRK158" s="274"/>
      <c r="JRL158" s="274"/>
      <c r="JRM158" s="274"/>
      <c r="JRN158" s="273"/>
      <c r="JRO158" s="274"/>
      <c r="JRP158" s="274"/>
      <c r="JRQ158" s="274"/>
      <c r="JRR158" s="274"/>
      <c r="JRS158" s="274"/>
      <c r="JRT158" s="273"/>
      <c r="JRU158" s="274"/>
      <c r="JRV158" s="274"/>
      <c r="JRW158" s="274"/>
      <c r="JRX158" s="274"/>
      <c r="JRY158" s="274"/>
      <c r="JRZ158" s="273"/>
      <c r="JSA158" s="274"/>
      <c r="JSB158" s="274"/>
      <c r="JSC158" s="274"/>
      <c r="JSD158" s="274"/>
      <c r="JSE158" s="274"/>
      <c r="JSF158" s="273"/>
      <c r="JSG158" s="274"/>
      <c r="JSH158" s="274"/>
      <c r="JSI158" s="274"/>
      <c r="JSJ158" s="274"/>
      <c r="JSK158" s="274"/>
      <c r="JSL158" s="273"/>
      <c r="JSM158" s="274"/>
      <c r="JSN158" s="274"/>
      <c r="JSO158" s="274"/>
      <c r="JSP158" s="274"/>
      <c r="JSQ158" s="274"/>
      <c r="JSR158" s="273"/>
      <c r="JSS158" s="274"/>
      <c r="JST158" s="274"/>
      <c r="JSU158" s="274"/>
      <c r="JSV158" s="274"/>
      <c r="JSW158" s="274"/>
      <c r="JSX158" s="273"/>
      <c r="JSY158" s="274"/>
      <c r="JSZ158" s="274"/>
      <c r="JTA158" s="274"/>
      <c r="JTB158" s="274"/>
      <c r="JTC158" s="274"/>
      <c r="JTD158" s="273"/>
      <c r="JTE158" s="274"/>
      <c r="JTF158" s="274"/>
      <c r="JTG158" s="274"/>
      <c r="JTH158" s="274"/>
      <c r="JTI158" s="274"/>
      <c r="JTJ158" s="273"/>
      <c r="JTK158" s="274"/>
      <c r="JTL158" s="274"/>
      <c r="JTM158" s="274"/>
      <c r="JTN158" s="274"/>
      <c r="JTO158" s="274"/>
      <c r="JTP158" s="273"/>
      <c r="JTQ158" s="274"/>
      <c r="JTR158" s="274"/>
      <c r="JTS158" s="274"/>
      <c r="JTT158" s="274"/>
      <c r="JTU158" s="274"/>
      <c r="JTV158" s="273"/>
      <c r="JTW158" s="274"/>
      <c r="JTX158" s="274"/>
      <c r="JTY158" s="274"/>
      <c r="JTZ158" s="274"/>
      <c r="JUA158" s="274"/>
      <c r="JUB158" s="273"/>
      <c r="JUC158" s="274"/>
      <c r="JUD158" s="274"/>
      <c r="JUE158" s="274"/>
      <c r="JUF158" s="274"/>
      <c r="JUG158" s="274"/>
      <c r="JUH158" s="273"/>
      <c r="JUI158" s="274"/>
      <c r="JUJ158" s="274"/>
      <c r="JUK158" s="274"/>
      <c r="JUL158" s="274"/>
      <c r="JUM158" s="274"/>
      <c r="JUN158" s="273"/>
      <c r="JUO158" s="274"/>
      <c r="JUP158" s="274"/>
      <c r="JUQ158" s="274"/>
      <c r="JUR158" s="274"/>
      <c r="JUS158" s="274"/>
      <c r="JUT158" s="273"/>
      <c r="JUU158" s="274"/>
      <c r="JUV158" s="274"/>
      <c r="JUW158" s="274"/>
      <c r="JUX158" s="274"/>
      <c r="JUY158" s="274"/>
      <c r="JUZ158" s="273"/>
      <c r="JVA158" s="274"/>
      <c r="JVB158" s="274"/>
      <c r="JVC158" s="274"/>
      <c r="JVD158" s="274"/>
      <c r="JVE158" s="274"/>
      <c r="JVF158" s="273"/>
      <c r="JVG158" s="274"/>
      <c r="JVH158" s="274"/>
      <c r="JVI158" s="274"/>
      <c r="JVJ158" s="274"/>
      <c r="JVK158" s="274"/>
      <c r="JVL158" s="273"/>
      <c r="JVM158" s="274"/>
      <c r="JVN158" s="274"/>
      <c r="JVO158" s="274"/>
      <c r="JVP158" s="274"/>
      <c r="JVQ158" s="274"/>
      <c r="JVR158" s="273"/>
      <c r="JVS158" s="274"/>
      <c r="JVT158" s="274"/>
      <c r="JVU158" s="274"/>
      <c r="JVV158" s="274"/>
      <c r="JVW158" s="274"/>
      <c r="JVX158" s="273"/>
      <c r="JVY158" s="274"/>
      <c r="JVZ158" s="274"/>
      <c r="JWA158" s="274"/>
      <c r="JWB158" s="274"/>
      <c r="JWC158" s="274"/>
      <c r="JWD158" s="273"/>
      <c r="JWE158" s="274"/>
      <c r="JWF158" s="274"/>
      <c r="JWG158" s="274"/>
      <c r="JWH158" s="274"/>
      <c r="JWI158" s="274"/>
      <c r="JWJ158" s="273"/>
      <c r="JWK158" s="274"/>
      <c r="JWL158" s="274"/>
      <c r="JWM158" s="274"/>
      <c r="JWN158" s="274"/>
      <c r="JWO158" s="274"/>
      <c r="JWP158" s="273"/>
      <c r="JWQ158" s="274"/>
      <c r="JWR158" s="274"/>
      <c r="JWS158" s="274"/>
      <c r="JWT158" s="274"/>
      <c r="JWU158" s="274"/>
      <c r="JWV158" s="273"/>
      <c r="JWW158" s="274"/>
      <c r="JWX158" s="274"/>
      <c r="JWY158" s="274"/>
      <c r="JWZ158" s="274"/>
      <c r="JXA158" s="274"/>
      <c r="JXB158" s="273"/>
      <c r="JXC158" s="274"/>
      <c r="JXD158" s="274"/>
      <c r="JXE158" s="274"/>
      <c r="JXF158" s="274"/>
      <c r="JXG158" s="274"/>
      <c r="JXH158" s="273"/>
      <c r="JXI158" s="274"/>
      <c r="JXJ158" s="274"/>
      <c r="JXK158" s="274"/>
      <c r="JXL158" s="274"/>
      <c r="JXM158" s="274"/>
      <c r="JXN158" s="273"/>
      <c r="JXO158" s="274"/>
      <c r="JXP158" s="274"/>
      <c r="JXQ158" s="274"/>
      <c r="JXR158" s="274"/>
      <c r="JXS158" s="274"/>
      <c r="JXT158" s="273"/>
      <c r="JXU158" s="274"/>
      <c r="JXV158" s="274"/>
      <c r="JXW158" s="274"/>
      <c r="JXX158" s="274"/>
      <c r="JXY158" s="274"/>
      <c r="JXZ158" s="273"/>
      <c r="JYA158" s="274"/>
      <c r="JYB158" s="274"/>
      <c r="JYC158" s="274"/>
      <c r="JYD158" s="274"/>
      <c r="JYE158" s="274"/>
      <c r="JYF158" s="273"/>
      <c r="JYG158" s="274"/>
      <c r="JYH158" s="274"/>
      <c r="JYI158" s="274"/>
      <c r="JYJ158" s="274"/>
      <c r="JYK158" s="274"/>
      <c r="JYL158" s="273"/>
      <c r="JYM158" s="274"/>
      <c r="JYN158" s="274"/>
      <c r="JYO158" s="274"/>
      <c r="JYP158" s="274"/>
      <c r="JYQ158" s="274"/>
      <c r="JYR158" s="273"/>
      <c r="JYS158" s="274"/>
      <c r="JYT158" s="274"/>
      <c r="JYU158" s="274"/>
      <c r="JYV158" s="274"/>
      <c r="JYW158" s="274"/>
      <c r="JYX158" s="273"/>
      <c r="JYY158" s="274"/>
      <c r="JYZ158" s="274"/>
      <c r="JZA158" s="274"/>
      <c r="JZB158" s="274"/>
      <c r="JZC158" s="274"/>
      <c r="JZD158" s="273"/>
      <c r="JZE158" s="274"/>
      <c r="JZF158" s="274"/>
      <c r="JZG158" s="274"/>
      <c r="JZH158" s="274"/>
      <c r="JZI158" s="274"/>
      <c r="JZJ158" s="273"/>
      <c r="JZK158" s="274"/>
      <c r="JZL158" s="274"/>
      <c r="JZM158" s="274"/>
      <c r="JZN158" s="274"/>
      <c r="JZO158" s="274"/>
      <c r="JZP158" s="273"/>
      <c r="JZQ158" s="274"/>
      <c r="JZR158" s="274"/>
      <c r="JZS158" s="274"/>
      <c r="JZT158" s="274"/>
      <c r="JZU158" s="274"/>
      <c r="JZV158" s="273"/>
      <c r="JZW158" s="274"/>
      <c r="JZX158" s="274"/>
      <c r="JZY158" s="274"/>
      <c r="JZZ158" s="274"/>
      <c r="KAA158" s="274"/>
      <c r="KAB158" s="273"/>
      <c r="KAC158" s="274"/>
      <c r="KAD158" s="274"/>
      <c r="KAE158" s="274"/>
      <c r="KAF158" s="274"/>
      <c r="KAG158" s="274"/>
      <c r="KAH158" s="273"/>
      <c r="KAI158" s="274"/>
      <c r="KAJ158" s="274"/>
      <c r="KAK158" s="274"/>
      <c r="KAL158" s="274"/>
      <c r="KAM158" s="274"/>
      <c r="KAN158" s="273"/>
      <c r="KAO158" s="274"/>
      <c r="KAP158" s="274"/>
      <c r="KAQ158" s="274"/>
      <c r="KAR158" s="274"/>
      <c r="KAS158" s="274"/>
      <c r="KAT158" s="273"/>
      <c r="KAU158" s="274"/>
      <c r="KAV158" s="274"/>
      <c r="KAW158" s="274"/>
      <c r="KAX158" s="274"/>
      <c r="KAY158" s="274"/>
      <c r="KAZ158" s="273"/>
      <c r="KBA158" s="274"/>
      <c r="KBB158" s="274"/>
      <c r="KBC158" s="274"/>
      <c r="KBD158" s="274"/>
      <c r="KBE158" s="274"/>
      <c r="KBF158" s="273"/>
      <c r="KBG158" s="274"/>
      <c r="KBH158" s="274"/>
      <c r="KBI158" s="274"/>
      <c r="KBJ158" s="274"/>
      <c r="KBK158" s="274"/>
      <c r="KBL158" s="273"/>
      <c r="KBM158" s="274"/>
      <c r="KBN158" s="274"/>
      <c r="KBO158" s="274"/>
      <c r="KBP158" s="274"/>
      <c r="KBQ158" s="274"/>
      <c r="KBR158" s="273"/>
      <c r="KBS158" s="274"/>
      <c r="KBT158" s="274"/>
      <c r="KBU158" s="274"/>
      <c r="KBV158" s="274"/>
      <c r="KBW158" s="274"/>
      <c r="KBX158" s="273"/>
      <c r="KBY158" s="274"/>
      <c r="KBZ158" s="274"/>
      <c r="KCA158" s="274"/>
      <c r="KCB158" s="274"/>
      <c r="KCC158" s="274"/>
      <c r="KCD158" s="273"/>
      <c r="KCE158" s="274"/>
      <c r="KCF158" s="274"/>
      <c r="KCG158" s="274"/>
      <c r="KCH158" s="274"/>
      <c r="KCI158" s="274"/>
      <c r="KCJ158" s="273"/>
      <c r="KCK158" s="274"/>
      <c r="KCL158" s="274"/>
      <c r="KCM158" s="274"/>
      <c r="KCN158" s="274"/>
      <c r="KCO158" s="274"/>
      <c r="KCP158" s="273"/>
      <c r="KCQ158" s="274"/>
      <c r="KCR158" s="274"/>
      <c r="KCS158" s="274"/>
      <c r="KCT158" s="274"/>
      <c r="KCU158" s="274"/>
      <c r="KCV158" s="273"/>
      <c r="KCW158" s="274"/>
      <c r="KCX158" s="274"/>
      <c r="KCY158" s="274"/>
      <c r="KCZ158" s="274"/>
      <c r="KDA158" s="274"/>
      <c r="KDB158" s="273"/>
      <c r="KDC158" s="274"/>
      <c r="KDD158" s="274"/>
      <c r="KDE158" s="274"/>
      <c r="KDF158" s="274"/>
      <c r="KDG158" s="274"/>
      <c r="KDH158" s="273"/>
      <c r="KDI158" s="274"/>
      <c r="KDJ158" s="274"/>
      <c r="KDK158" s="274"/>
      <c r="KDL158" s="274"/>
      <c r="KDM158" s="274"/>
      <c r="KDN158" s="273"/>
      <c r="KDO158" s="274"/>
      <c r="KDP158" s="274"/>
      <c r="KDQ158" s="274"/>
      <c r="KDR158" s="274"/>
      <c r="KDS158" s="274"/>
      <c r="KDT158" s="273"/>
      <c r="KDU158" s="274"/>
      <c r="KDV158" s="274"/>
      <c r="KDW158" s="274"/>
      <c r="KDX158" s="274"/>
      <c r="KDY158" s="274"/>
      <c r="KDZ158" s="273"/>
      <c r="KEA158" s="274"/>
      <c r="KEB158" s="274"/>
      <c r="KEC158" s="274"/>
      <c r="KED158" s="274"/>
      <c r="KEE158" s="274"/>
      <c r="KEF158" s="273"/>
      <c r="KEG158" s="274"/>
      <c r="KEH158" s="274"/>
      <c r="KEI158" s="274"/>
      <c r="KEJ158" s="274"/>
      <c r="KEK158" s="274"/>
      <c r="KEL158" s="273"/>
      <c r="KEM158" s="274"/>
      <c r="KEN158" s="274"/>
      <c r="KEO158" s="274"/>
      <c r="KEP158" s="274"/>
      <c r="KEQ158" s="274"/>
      <c r="KER158" s="273"/>
      <c r="KES158" s="274"/>
      <c r="KET158" s="274"/>
      <c r="KEU158" s="274"/>
      <c r="KEV158" s="274"/>
      <c r="KEW158" s="274"/>
      <c r="KEX158" s="273"/>
      <c r="KEY158" s="274"/>
      <c r="KEZ158" s="274"/>
      <c r="KFA158" s="274"/>
      <c r="KFB158" s="274"/>
      <c r="KFC158" s="274"/>
      <c r="KFD158" s="273"/>
      <c r="KFE158" s="274"/>
      <c r="KFF158" s="274"/>
      <c r="KFG158" s="274"/>
      <c r="KFH158" s="274"/>
      <c r="KFI158" s="274"/>
      <c r="KFJ158" s="273"/>
      <c r="KFK158" s="274"/>
      <c r="KFL158" s="274"/>
      <c r="KFM158" s="274"/>
      <c r="KFN158" s="274"/>
      <c r="KFO158" s="274"/>
      <c r="KFP158" s="273"/>
      <c r="KFQ158" s="274"/>
      <c r="KFR158" s="274"/>
      <c r="KFS158" s="274"/>
      <c r="KFT158" s="274"/>
      <c r="KFU158" s="274"/>
      <c r="KFV158" s="273"/>
      <c r="KFW158" s="274"/>
      <c r="KFX158" s="274"/>
      <c r="KFY158" s="274"/>
      <c r="KFZ158" s="274"/>
      <c r="KGA158" s="274"/>
      <c r="KGB158" s="273"/>
      <c r="KGC158" s="274"/>
      <c r="KGD158" s="274"/>
      <c r="KGE158" s="274"/>
      <c r="KGF158" s="274"/>
      <c r="KGG158" s="274"/>
      <c r="KGH158" s="273"/>
      <c r="KGI158" s="274"/>
      <c r="KGJ158" s="274"/>
      <c r="KGK158" s="274"/>
      <c r="KGL158" s="274"/>
      <c r="KGM158" s="274"/>
      <c r="KGN158" s="273"/>
      <c r="KGO158" s="274"/>
      <c r="KGP158" s="274"/>
      <c r="KGQ158" s="274"/>
      <c r="KGR158" s="274"/>
      <c r="KGS158" s="274"/>
      <c r="KGT158" s="273"/>
      <c r="KGU158" s="274"/>
      <c r="KGV158" s="274"/>
      <c r="KGW158" s="274"/>
      <c r="KGX158" s="274"/>
      <c r="KGY158" s="274"/>
      <c r="KGZ158" s="273"/>
      <c r="KHA158" s="274"/>
      <c r="KHB158" s="274"/>
      <c r="KHC158" s="274"/>
      <c r="KHD158" s="274"/>
      <c r="KHE158" s="274"/>
      <c r="KHF158" s="273"/>
      <c r="KHG158" s="274"/>
      <c r="KHH158" s="274"/>
      <c r="KHI158" s="274"/>
      <c r="KHJ158" s="274"/>
      <c r="KHK158" s="274"/>
      <c r="KHL158" s="273"/>
      <c r="KHM158" s="274"/>
      <c r="KHN158" s="274"/>
      <c r="KHO158" s="274"/>
      <c r="KHP158" s="274"/>
      <c r="KHQ158" s="274"/>
      <c r="KHR158" s="273"/>
      <c r="KHS158" s="274"/>
      <c r="KHT158" s="274"/>
      <c r="KHU158" s="274"/>
      <c r="KHV158" s="274"/>
      <c r="KHW158" s="274"/>
      <c r="KHX158" s="273"/>
      <c r="KHY158" s="274"/>
      <c r="KHZ158" s="274"/>
      <c r="KIA158" s="274"/>
      <c r="KIB158" s="274"/>
      <c r="KIC158" s="274"/>
      <c r="KID158" s="273"/>
      <c r="KIE158" s="274"/>
      <c r="KIF158" s="274"/>
      <c r="KIG158" s="274"/>
      <c r="KIH158" s="274"/>
      <c r="KII158" s="274"/>
      <c r="KIJ158" s="273"/>
      <c r="KIK158" s="274"/>
      <c r="KIL158" s="274"/>
      <c r="KIM158" s="274"/>
      <c r="KIN158" s="274"/>
      <c r="KIO158" s="274"/>
      <c r="KIP158" s="273"/>
      <c r="KIQ158" s="274"/>
      <c r="KIR158" s="274"/>
      <c r="KIS158" s="274"/>
      <c r="KIT158" s="274"/>
      <c r="KIU158" s="274"/>
      <c r="KIV158" s="273"/>
      <c r="KIW158" s="274"/>
      <c r="KIX158" s="274"/>
      <c r="KIY158" s="274"/>
      <c r="KIZ158" s="274"/>
      <c r="KJA158" s="274"/>
      <c r="KJB158" s="273"/>
      <c r="KJC158" s="274"/>
      <c r="KJD158" s="274"/>
      <c r="KJE158" s="274"/>
      <c r="KJF158" s="274"/>
      <c r="KJG158" s="274"/>
      <c r="KJH158" s="273"/>
      <c r="KJI158" s="274"/>
      <c r="KJJ158" s="274"/>
      <c r="KJK158" s="274"/>
      <c r="KJL158" s="274"/>
      <c r="KJM158" s="274"/>
      <c r="KJN158" s="273"/>
      <c r="KJO158" s="274"/>
      <c r="KJP158" s="274"/>
      <c r="KJQ158" s="274"/>
      <c r="KJR158" s="274"/>
      <c r="KJS158" s="274"/>
      <c r="KJT158" s="273"/>
      <c r="KJU158" s="274"/>
      <c r="KJV158" s="274"/>
      <c r="KJW158" s="274"/>
      <c r="KJX158" s="274"/>
      <c r="KJY158" s="274"/>
      <c r="KJZ158" s="273"/>
      <c r="KKA158" s="274"/>
      <c r="KKB158" s="274"/>
      <c r="KKC158" s="274"/>
      <c r="KKD158" s="274"/>
      <c r="KKE158" s="274"/>
      <c r="KKF158" s="273"/>
      <c r="KKG158" s="274"/>
      <c r="KKH158" s="274"/>
      <c r="KKI158" s="274"/>
      <c r="KKJ158" s="274"/>
      <c r="KKK158" s="274"/>
      <c r="KKL158" s="273"/>
      <c r="KKM158" s="274"/>
      <c r="KKN158" s="274"/>
      <c r="KKO158" s="274"/>
      <c r="KKP158" s="274"/>
      <c r="KKQ158" s="274"/>
      <c r="KKR158" s="273"/>
      <c r="KKS158" s="274"/>
      <c r="KKT158" s="274"/>
      <c r="KKU158" s="274"/>
      <c r="KKV158" s="274"/>
      <c r="KKW158" s="274"/>
      <c r="KKX158" s="273"/>
      <c r="KKY158" s="274"/>
      <c r="KKZ158" s="274"/>
      <c r="KLA158" s="274"/>
      <c r="KLB158" s="274"/>
      <c r="KLC158" s="274"/>
      <c r="KLD158" s="273"/>
      <c r="KLE158" s="274"/>
      <c r="KLF158" s="274"/>
      <c r="KLG158" s="274"/>
      <c r="KLH158" s="274"/>
      <c r="KLI158" s="274"/>
      <c r="KLJ158" s="273"/>
      <c r="KLK158" s="274"/>
      <c r="KLL158" s="274"/>
      <c r="KLM158" s="274"/>
      <c r="KLN158" s="274"/>
      <c r="KLO158" s="274"/>
      <c r="KLP158" s="273"/>
      <c r="KLQ158" s="274"/>
      <c r="KLR158" s="274"/>
      <c r="KLS158" s="274"/>
      <c r="KLT158" s="274"/>
      <c r="KLU158" s="274"/>
      <c r="KLV158" s="273"/>
      <c r="KLW158" s="274"/>
      <c r="KLX158" s="274"/>
      <c r="KLY158" s="274"/>
      <c r="KLZ158" s="274"/>
      <c r="KMA158" s="274"/>
      <c r="KMB158" s="273"/>
      <c r="KMC158" s="274"/>
      <c r="KMD158" s="274"/>
      <c r="KME158" s="274"/>
      <c r="KMF158" s="274"/>
      <c r="KMG158" s="274"/>
      <c r="KMH158" s="273"/>
      <c r="KMI158" s="274"/>
      <c r="KMJ158" s="274"/>
      <c r="KMK158" s="274"/>
      <c r="KML158" s="274"/>
      <c r="KMM158" s="274"/>
      <c r="KMN158" s="273"/>
      <c r="KMO158" s="274"/>
      <c r="KMP158" s="274"/>
      <c r="KMQ158" s="274"/>
      <c r="KMR158" s="274"/>
      <c r="KMS158" s="274"/>
      <c r="KMT158" s="273"/>
      <c r="KMU158" s="274"/>
      <c r="KMV158" s="274"/>
      <c r="KMW158" s="274"/>
      <c r="KMX158" s="274"/>
      <c r="KMY158" s="274"/>
      <c r="KMZ158" s="273"/>
      <c r="KNA158" s="274"/>
      <c r="KNB158" s="274"/>
      <c r="KNC158" s="274"/>
      <c r="KND158" s="274"/>
      <c r="KNE158" s="274"/>
      <c r="KNF158" s="273"/>
      <c r="KNG158" s="274"/>
      <c r="KNH158" s="274"/>
      <c r="KNI158" s="274"/>
      <c r="KNJ158" s="274"/>
      <c r="KNK158" s="274"/>
      <c r="KNL158" s="273"/>
      <c r="KNM158" s="274"/>
      <c r="KNN158" s="274"/>
      <c r="KNO158" s="274"/>
      <c r="KNP158" s="274"/>
      <c r="KNQ158" s="274"/>
      <c r="KNR158" s="273"/>
      <c r="KNS158" s="274"/>
      <c r="KNT158" s="274"/>
      <c r="KNU158" s="274"/>
      <c r="KNV158" s="274"/>
      <c r="KNW158" s="274"/>
      <c r="KNX158" s="273"/>
      <c r="KNY158" s="274"/>
      <c r="KNZ158" s="274"/>
      <c r="KOA158" s="274"/>
      <c r="KOB158" s="274"/>
      <c r="KOC158" s="274"/>
      <c r="KOD158" s="273"/>
      <c r="KOE158" s="274"/>
      <c r="KOF158" s="274"/>
      <c r="KOG158" s="274"/>
      <c r="KOH158" s="274"/>
      <c r="KOI158" s="274"/>
      <c r="KOJ158" s="273"/>
      <c r="KOK158" s="274"/>
      <c r="KOL158" s="274"/>
      <c r="KOM158" s="274"/>
      <c r="KON158" s="274"/>
      <c r="KOO158" s="274"/>
      <c r="KOP158" s="273"/>
      <c r="KOQ158" s="274"/>
      <c r="KOR158" s="274"/>
      <c r="KOS158" s="274"/>
      <c r="KOT158" s="274"/>
      <c r="KOU158" s="274"/>
      <c r="KOV158" s="273"/>
      <c r="KOW158" s="274"/>
      <c r="KOX158" s="274"/>
      <c r="KOY158" s="274"/>
      <c r="KOZ158" s="274"/>
      <c r="KPA158" s="274"/>
      <c r="KPB158" s="273"/>
      <c r="KPC158" s="274"/>
      <c r="KPD158" s="274"/>
      <c r="KPE158" s="274"/>
      <c r="KPF158" s="274"/>
      <c r="KPG158" s="274"/>
      <c r="KPH158" s="273"/>
      <c r="KPI158" s="274"/>
      <c r="KPJ158" s="274"/>
      <c r="KPK158" s="274"/>
      <c r="KPL158" s="274"/>
      <c r="KPM158" s="274"/>
      <c r="KPN158" s="273"/>
      <c r="KPO158" s="274"/>
      <c r="KPP158" s="274"/>
      <c r="KPQ158" s="274"/>
      <c r="KPR158" s="274"/>
      <c r="KPS158" s="274"/>
      <c r="KPT158" s="273"/>
      <c r="KPU158" s="274"/>
      <c r="KPV158" s="274"/>
      <c r="KPW158" s="274"/>
      <c r="KPX158" s="274"/>
      <c r="KPY158" s="274"/>
      <c r="KPZ158" s="273"/>
      <c r="KQA158" s="274"/>
      <c r="KQB158" s="274"/>
      <c r="KQC158" s="274"/>
      <c r="KQD158" s="274"/>
      <c r="KQE158" s="274"/>
      <c r="KQF158" s="273"/>
      <c r="KQG158" s="274"/>
      <c r="KQH158" s="274"/>
      <c r="KQI158" s="274"/>
      <c r="KQJ158" s="274"/>
      <c r="KQK158" s="274"/>
      <c r="KQL158" s="273"/>
      <c r="KQM158" s="274"/>
      <c r="KQN158" s="274"/>
      <c r="KQO158" s="274"/>
      <c r="KQP158" s="274"/>
      <c r="KQQ158" s="274"/>
      <c r="KQR158" s="273"/>
      <c r="KQS158" s="274"/>
      <c r="KQT158" s="274"/>
      <c r="KQU158" s="274"/>
      <c r="KQV158" s="274"/>
      <c r="KQW158" s="274"/>
      <c r="KQX158" s="273"/>
      <c r="KQY158" s="274"/>
      <c r="KQZ158" s="274"/>
      <c r="KRA158" s="274"/>
      <c r="KRB158" s="274"/>
      <c r="KRC158" s="274"/>
      <c r="KRD158" s="273"/>
      <c r="KRE158" s="274"/>
      <c r="KRF158" s="274"/>
      <c r="KRG158" s="274"/>
      <c r="KRH158" s="274"/>
      <c r="KRI158" s="274"/>
      <c r="KRJ158" s="273"/>
      <c r="KRK158" s="274"/>
      <c r="KRL158" s="274"/>
      <c r="KRM158" s="274"/>
      <c r="KRN158" s="274"/>
      <c r="KRO158" s="274"/>
      <c r="KRP158" s="273"/>
      <c r="KRQ158" s="274"/>
      <c r="KRR158" s="274"/>
      <c r="KRS158" s="274"/>
      <c r="KRT158" s="274"/>
      <c r="KRU158" s="274"/>
      <c r="KRV158" s="273"/>
      <c r="KRW158" s="274"/>
      <c r="KRX158" s="274"/>
      <c r="KRY158" s="274"/>
      <c r="KRZ158" s="274"/>
      <c r="KSA158" s="274"/>
      <c r="KSB158" s="273"/>
      <c r="KSC158" s="274"/>
      <c r="KSD158" s="274"/>
      <c r="KSE158" s="274"/>
      <c r="KSF158" s="274"/>
      <c r="KSG158" s="274"/>
      <c r="KSH158" s="273"/>
      <c r="KSI158" s="274"/>
      <c r="KSJ158" s="274"/>
      <c r="KSK158" s="274"/>
      <c r="KSL158" s="274"/>
      <c r="KSM158" s="274"/>
      <c r="KSN158" s="273"/>
      <c r="KSO158" s="274"/>
      <c r="KSP158" s="274"/>
      <c r="KSQ158" s="274"/>
      <c r="KSR158" s="274"/>
      <c r="KSS158" s="274"/>
      <c r="KST158" s="273"/>
      <c r="KSU158" s="274"/>
      <c r="KSV158" s="274"/>
      <c r="KSW158" s="274"/>
      <c r="KSX158" s="274"/>
      <c r="KSY158" s="274"/>
      <c r="KSZ158" s="273"/>
      <c r="KTA158" s="274"/>
      <c r="KTB158" s="274"/>
      <c r="KTC158" s="274"/>
      <c r="KTD158" s="274"/>
      <c r="KTE158" s="274"/>
      <c r="KTF158" s="273"/>
      <c r="KTG158" s="274"/>
      <c r="KTH158" s="274"/>
      <c r="KTI158" s="274"/>
      <c r="KTJ158" s="274"/>
      <c r="KTK158" s="274"/>
      <c r="KTL158" s="273"/>
      <c r="KTM158" s="274"/>
      <c r="KTN158" s="274"/>
      <c r="KTO158" s="274"/>
      <c r="KTP158" s="274"/>
      <c r="KTQ158" s="274"/>
      <c r="KTR158" s="273"/>
      <c r="KTS158" s="274"/>
      <c r="KTT158" s="274"/>
      <c r="KTU158" s="274"/>
      <c r="KTV158" s="274"/>
      <c r="KTW158" s="274"/>
      <c r="KTX158" s="273"/>
      <c r="KTY158" s="274"/>
      <c r="KTZ158" s="274"/>
      <c r="KUA158" s="274"/>
      <c r="KUB158" s="274"/>
      <c r="KUC158" s="274"/>
      <c r="KUD158" s="273"/>
      <c r="KUE158" s="274"/>
      <c r="KUF158" s="274"/>
      <c r="KUG158" s="274"/>
      <c r="KUH158" s="274"/>
      <c r="KUI158" s="274"/>
      <c r="KUJ158" s="273"/>
      <c r="KUK158" s="274"/>
      <c r="KUL158" s="274"/>
      <c r="KUM158" s="274"/>
      <c r="KUN158" s="274"/>
      <c r="KUO158" s="274"/>
      <c r="KUP158" s="273"/>
      <c r="KUQ158" s="274"/>
      <c r="KUR158" s="274"/>
      <c r="KUS158" s="274"/>
      <c r="KUT158" s="274"/>
      <c r="KUU158" s="274"/>
      <c r="KUV158" s="273"/>
      <c r="KUW158" s="274"/>
      <c r="KUX158" s="274"/>
      <c r="KUY158" s="274"/>
      <c r="KUZ158" s="274"/>
      <c r="KVA158" s="274"/>
      <c r="KVB158" s="273"/>
      <c r="KVC158" s="274"/>
      <c r="KVD158" s="274"/>
      <c r="KVE158" s="274"/>
      <c r="KVF158" s="274"/>
      <c r="KVG158" s="274"/>
      <c r="KVH158" s="273"/>
      <c r="KVI158" s="274"/>
      <c r="KVJ158" s="274"/>
      <c r="KVK158" s="274"/>
      <c r="KVL158" s="274"/>
      <c r="KVM158" s="274"/>
      <c r="KVN158" s="273"/>
      <c r="KVO158" s="274"/>
      <c r="KVP158" s="274"/>
      <c r="KVQ158" s="274"/>
      <c r="KVR158" s="274"/>
      <c r="KVS158" s="274"/>
      <c r="KVT158" s="273"/>
      <c r="KVU158" s="274"/>
      <c r="KVV158" s="274"/>
      <c r="KVW158" s="274"/>
      <c r="KVX158" s="274"/>
      <c r="KVY158" s="274"/>
      <c r="KVZ158" s="273"/>
      <c r="KWA158" s="274"/>
      <c r="KWB158" s="274"/>
      <c r="KWC158" s="274"/>
      <c r="KWD158" s="274"/>
      <c r="KWE158" s="274"/>
      <c r="KWF158" s="273"/>
      <c r="KWG158" s="274"/>
      <c r="KWH158" s="274"/>
      <c r="KWI158" s="274"/>
      <c r="KWJ158" s="274"/>
      <c r="KWK158" s="274"/>
      <c r="KWL158" s="273"/>
      <c r="KWM158" s="274"/>
      <c r="KWN158" s="274"/>
      <c r="KWO158" s="274"/>
      <c r="KWP158" s="274"/>
      <c r="KWQ158" s="274"/>
      <c r="KWR158" s="273"/>
      <c r="KWS158" s="274"/>
      <c r="KWT158" s="274"/>
      <c r="KWU158" s="274"/>
      <c r="KWV158" s="274"/>
      <c r="KWW158" s="274"/>
      <c r="KWX158" s="273"/>
      <c r="KWY158" s="274"/>
      <c r="KWZ158" s="274"/>
      <c r="KXA158" s="274"/>
      <c r="KXB158" s="274"/>
      <c r="KXC158" s="274"/>
      <c r="KXD158" s="273"/>
      <c r="KXE158" s="274"/>
      <c r="KXF158" s="274"/>
      <c r="KXG158" s="274"/>
      <c r="KXH158" s="274"/>
      <c r="KXI158" s="274"/>
      <c r="KXJ158" s="273"/>
      <c r="KXK158" s="274"/>
      <c r="KXL158" s="274"/>
      <c r="KXM158" s="274"/>
      <c r="KXN158" s="274"/>
      <c r="KXO158" s="274"/>
      <c r="KXP158" s="273"/>
      <c r="KXQ158" s="274"/>
      <c r="KXR158" s="274"/>
      <c r="KXS158" s="274"/>
      <c r="KXT158" s="274"/>
      <c r="KXU158" s="274"/>
      <c r="KXV158" s="273"/>
      <c r="KXW158" s="274"/>
      <c r="KXX158" s="274"/>
      <c r="KXY158" s="274"/>
      <c r="KXZ158" s="274"/>
      <c r="KYA158" s="274"/>
      <c r="KYB158" s="273"/>
      <c r="KYC158" s="274"/>
      <c r="KYD158" s="274"/>
      <c r="KYE158" s="274"/>
      <c r="KYF158" s="274"/>
      <c r="KYG158" s="274"/>
      <c r="KYH158" s="273"/>
      <c r="KYI158" s="274"/>
      <c r="KYJ158" s="274"/>
      <c r="KYK158" s="274"/>
      <c r="KYL158" s="274"/>
      <c r="KYM158" s="274"/>
      <c r="KYN158" s="273"/>
      <c r="KYO158" s="274"/>
      <c r="KYP158" s="274"/>
      <c r="KYQ158" s="274"/>
      <c r="KYR158" s="274"/>
      <c r="KYS158" s="274"/>
      <c r="KYT158" s="273"/>
      <c r="KYU158" s="274"/>
      <c r="KYV158" s="274"/>
      <c r="KYW158" s="274"/>
      <c r="KYX158" s="274"/>
      <c r="KYY158" s="274"/>
      <c r="KYZ158" s="273"/>
      <c r="KZA158" s="274"/>
      <c r="KZB158" s="274"/>
      <c r="KZC158" s="274"/>
      <c r="KZD158" s="274"/>
      <c r="KZE158" s="274"/>
      <c r="KZF158" s="273"/>
      <c r="KZG158" s="274"/>
      <c r="KZH158" s="274"/>
      <c r="KZI158" s="274"/>
      <c r="KZJ158" s="274"/>
      <c r="KZK158" s="274"/>
      <c r="KZL158" s="273"/>
      <c r="KZM158" s="274"/>
      <c r="KZN158" s="274"/>
      <c r="KZO158" s="274"/>
      <c r="KZP158" s="274"/>
      <c r="KZQ158" s="274"/>
      <c r="KZR158" s="273"/>
      <c r="KZS158" s="274"/>
      <c r="KZT158" s="274"/>
      <c r="KZU158" s="274"/>
      <c r="KZV158" s="274"/>
      <c r="KZW158" s="274"/>
      <c r="KZX158" s="273"/>
      <c r="KZY158" s="274"/>
      <c r="KZZ158" s="274"/>
      <c r="LAA158" s="274"/>
      <c r="LAB158" s="274"/>
      <c r="LAC158" s="274"/>
      <c r="LAD158" s="273"/>
      <c r="LAE158" s="274"/>
      <c r="LAF158" s="274"/>
      <c r="LAG158" s="274"/>
      <c r="LAH158" s="274"/>
      <c r="LAI158" s="274"/>
      <c r="LAJ158" s="273"/>
      <c r="LAK158" s="274"/>
      <c r="LAL158" s="274"/>
      <c r="LAM158" s="274"/>
      <c r="LAN158" s="274"/>
      <c r="LAO158" s="274"/>
      <c r="LAP158" s="273"/>
      <c r="LAQ158" s="274"/>
      <c r="LAR158" s="274"/>
      <c r="LAS158" s="274"/>
      <c r="LAT158" s="274"/>
      <c r="LAU158" s="274"/>
      <c r="LAV158" s="273"/>
      <c r="LAW158" s="274"/>
      <c r="LAX158" s="274"/>
      <c r="LAY158" s="274"/>
      <c r="LAZ158" s="274"/>
      <c r="LBA158" s="274"/>
      <c r="LBB158" s="273"/>
      <c r="LBC158" s="274"/>
      <c r="LBD158" s="274"/>
      <c r="LBE158" s="274"/>
      <c r="LBF158" s="274"/>
      <c r="LBG158" s="274"/>
      <c r="LBH158" s="273"/>
      <c r="LBI158" s="274"/>
      <c r="LBJ158" s="274"/>
      <c r="LBK158" s="274"/>
      <c r="LBL158" s="274"/>
      <c r="LBM158" s="274"/>
      <c r="LBN158" s="273"/>
      <c r="LBO158" s="274"/>
      <c r="LBP158" s="274"/>
      <c r="LBQ158" s="274"/>
      <c r="LBR158" s="274"/>
      <c r="LBS158" s="274"/>
      <c r="LBT158" s="273"/>
      <c r="LBU158" s="274"/>
      <c r="LBV158" s="274"/>
      <c r="LBW158" s="274"/>
      <c r="LBX158" s="274"/>
      <c r="LBY158" s="274"/>
      <c r="LBZ158" s="273"/>
      <c r="LCA158" s="274"/>
      <c r="LCB158" s="274"/>
      <c r="LCC158" s="274"/>
      <c r="LCD158" s="274"/>
      <c r="LCE158" s="274"/>
      <c r="LCF158" s="273"/>
      <c r="LCG158" s="274"/>
      <c r="LCH158" s="274"/>
      <c r="LCI158" s="274"/>
      <c r="LCJ158" s="274"/>
      <c r="LCK158" s="274"/>
      <c r="LCL158" s="273"/>
      <c r="LCM158" s="274"/>
      <c r="LCN158" s="274"/>
      <c r="LCO158" s="274"/>
      <c r="LCP158" s="274"/>
      <c r="LCQ158" s="274"/>
      <c r="LCR158" s="273"/>
      <c r="LCS158" s="274"/>
      <c r="LCT158" s="274"/>
      <c r="LCU158" s="274"/>
      <c r="LCV158" s="274"/>
      <c r="LCW158" s="274"/>
      <c r="LCX158" s="273"/>
      <c r="LCY158" s="274"/>
      <c r="LCZ158" s="274"/>
      <c r="LDA158" s="274"/>
      <c r="LDB158" s="274"/>
      <c r="LDC158" s="274"/>
      <c r="LDD158" s="273"/>
      <c r="LDE158" s="274"/>
      <c r="LDF158" s="274"/>
      <c r="LDG158" s="274"/>
      <c r="LDH158" s="274"/>
      <c r="LDI158" s="274"/>
      <c r="LDJ158" s="273"/>
      <c r="LDK158" s="274"/>
      <c r="LDL158" s="274"/>
      <c r="LDM158" s="274"/>
      <c r="LDN158" s="274"/>
      <c r="LDO158" s="274"/>
      <c r="LDP158" s="273"/>
      <c r="LDQ158" s="274"/>
      <c r="LDR158" s="274"/>
      <c r="LDS158" s="274"/>
      <c r="LDT158" s="274"/>
      <c r="LDU158" s="274"/>
      <c r="LDV158" s="273"/>
      <c r="LDW158" s="274"/>
      <c r="LDX158" s="274"/>
      <c r="LDY158" s="274"/>
      <c r="LDZ158" s="274"/>
      <c r="LEA158" s="274"/>
      <c r="LEB158" s="273"/>
      <c r="LEC158" s="274"/>
      <c r="LED158" s="274"/>
      <c r="LEE158" s="274"/>
      <c r="LEF158" s="274"/>
      <c r="LEG158" s="274"/>
      <c r="LEH158" s="273"/>
      <c r="LEI158" s="274"/>
      <c r="LEJ158" s="274"/>
      <c r="LEK158" s="274"/>
      <c r="LEL158" s="274"/>
      <c r="LEM158" s="274"/>
      <c r="LEN158" s="273"/>
      <c r="LEO158" s="274"/>
      <c r="LEP158" s="274"/>
      <c r="LEQ158" s="274"/>
      <c r="LER158" s="274"/>
      <c r="LES158" s="274"/>
      <c r="LET158" s="273"/>
      <c r="LEU158" s="274"/>
      <c r="LEV158" s="274"/>
      <c r="LEW158" s="274"/>
      <c r="LEX158" s="274"/>
      <c r="LEY158" s="274"/>
      <c r="LEZ158" s="273"/>
      <c r="LFA158" s="274"/>
      <c r="LFB158" s="274"/>
      <c r="LFC158" s="274"/>
      <c r="LFD158" s="274"/>
      <c r="LFE158" s="274"/>
      <c r="LFF158" s="273"/>
      <c r="LFG158" s="274"/>
      <c r="LFH158" s="274"/>
      <c r="LFI158" s="274"/>
      <c r="LFJ158" s="274"/>
      <c r="LFK158" s="274"/>
      <c r="LFL158" s="273"/>
      <c r="LFM158" s="274"/>
      <c r="LFN158" s="274"/>
      <c r="LFO158" s="274"/>
      <c r="LFP158" s="274"/>
      <c r="LFQ158" s="274"/>
      <c r="LFR158" s="273"/>
      <c r="LFS158" s="274"/>
      <c r="LFT158" s="274"/>
      <c r="LFU158" s="274"/>
      <c r="LFV158" s="274"/>
      <c r="LFW158" s="274"/>
      <c r="LFX158" s="273"/>
      <c r="LFY158" s="274"/>
      <c r="LFZ158" s="274"/>
      <c r="LGA158" s="274"/>
      <c r="LGB158" s="274"/>
      <c r="LGC158" s="274"/>
      <c r="LGD158" s="273"/>
      <c r="LGE158" s="274"/>
      <c r="LGF158" s="274"/>
      <c r="LGG158" s="274"/>
      <c r="LGH158" s="274"/>
      <c r="LGI158" s="274"/>
      <c r="LGJ158" s="273"/>
      <c r="LGK158" s="274"/>
      <c r="LGL158" s="274"/>
      <c r="LGM158" s="274"/>
      <c r="LGN158" s="274"/>
      <c r="LGO158" s="274"/>
      <c r="LGP158" s="273"/>
      <c r="LGQ158" s="274"/>
      <c r="LGR158" s="274"/>
      <c r="LGS158" s="274"/>
      <c r="LGT158" s="274"/>
      <c r="LGU158" s="274"/>
      <c r="LGV158" s="273"/>
      <c r="LGW158" s="274"/>
      <c r="LGX158" s="274"/>
      <c r="LGY158" s="274"/>
      <c r="LGZ158" s="274"/>
      <c r="LHA158" s="274"/>
      <c r="LHB158" s="273"/>
      <c r="LHC158" s="274"/>
      <c r="LHD158" s="274"/>
      <c r="LHE158" s="274"/>
      <c r="LHF158" s="274"/>
      <c r="LHG158" s="274"/>
      <c r="LHH158" s="273"/>
      <c r="LHI158" s="274"/>
      <c r="LHJ158" s="274"/>
      <c r="LHK158" s="274"/>
      <c r="LHL158" s="274"/>
      <c r="LHM158" s="274"/>
      <c r="LHN158" s="273"/>
      <c r="LHO158" s="274"/>
      <c r="LHP158" s="274"/>
      <c r="LHQ158" s="274"/>
      <c r="LHR158" s="274"/>
      <c r="LHS158" s="274"/>
      <c r="LHT158" s="273"/>
      <c r="LHU158" s="274"/>
      <c r="LHV158" s="274"/>
      <c r="LHW158" s="274"/>
      <c r="LHX158" s="274"/>
      <c r="LHY158" s="274"/>
      <c r="LHZ158" s="273"/>
      <c r="LIA158" s="274"/>
      <c r="LIB158" s="274"/>
      <c r="LIC158" s="274"/>
      <c r="LID158" s="274"/>
      <c r="LIE158" s="274"/>
      <c r="LIF158" s="273"/>
      <c r="LIG158" s="274"/>
      <c r="LIH158" s="274"/>
      <c r="LII158" s="274"/>
      <c r="LIJ158" s="274"/>
      <c r="LIK158" s="274"/>
      <c r="LIL158" s="273"/>
      <c r="LIM158" s="274"/>
      <c r="LIN158" s="274"/>
      <c r="LIO158" s="274"/>
      <c r="LIP158" s="274"/>
      <c r="LIQ158" s="274"/>
      <c r="LIR158" s="273"/>
      <c r="LIS158" s="274"/>
      <c r="LIT158" s="274"/>
      <c r="LIU158" s="274"/>
      <c r="LIV158" s="274"/>
      <c r="LIW158" s="274"/>
      <c r="LIX158" s="273"/>
      <c r="LIY158" s="274"/>
      <c r="LIZ158" s="274"/>
      <c r="LJA158" s="274"/>
      <c r="LJB158" s="274"/>
      <c r="LJC158" s="274"/>
      <c r="LJD158" s="273"/>
      <c r="LJE158" s="274"/>
      <c r="LJF158" s="274"/>
      <c r="LJG158" s="274"/>
      <c r="LJH158" s="274"/>
      <c r="LJI158" s="274"/>
      <c r="LJJ158" s="273"/>
      <c r="LJK158" s="274"/>
      <c r="LJL158" s="274"/>
      <c r="LJM158" s="274"/>
      <c r="LJN158" s="274"/>
      <c r="LJO158" s="274"/>
      <c r="LJP158" s="273"/>
      <c r="LJQ158" s="274"/>
      <c r="LJR158" s="274"/>
      <c r="LJS158" s="274"/>
      <c r="LJT158" s="274"/>
      <c r="LJU158" s="274"/>
      <c r="LJV158" s="273"/>
      <c r="LJW158" s="274"/>
      <c r="LJX158" s="274"/>
      <c r="LJY158" s="274"/>
      <c r="LJZ158" s="274"/>
      <c r="LKA158" s="274"/>
      <c r="LKB158" s="273"/>
      <c r="LKC158" s="274"/>
      <c r="LKD158" s="274"/>
      <c r="LKE158" s="274"/>
      <c r="LKF158" s="274"/>
      <c r="LKG158" s="274"/>
      <c r="LKH158" s="273"/>
      <c r="LKI158" s="274"/>
      <c r="LKJ158" s="274"/>
      <c r="LKK158" s="274"/>
      <c r="LKL158" s="274"/>
      <c r="LKM158" s="274"/>
      <c r="LKN158" s="273"/>
      <c r="LKO158" s="274"/>
      <c r="LKP158" s="274"/>
      <c r="LKQ158" s="274"/>
      <c r="LKR158" s="274"/>
      <c r="LKS158" s="274"/>
      <c r="LKT158" s="273"/>
      <c r="LKU158" s="274"/>
      <c r="LKV158" s="274"/>
      <c r="LKW158" s="274"/>
      <c r="LKX158" s="274"/>
      <c r="LKY158" s="274"/>
      <c r="LKZ158" s="273"/>
      <c r="LLA158" s="274"/>
      <c r="LLB158" s="274"/>
      <c r="LLC158" s="274"/>
      <c r="LLD158" s="274"/>
      <c r="LLE158" s="274"/>
      <c r="LLF158" s="273"/>
      <c r="LLG158" s="274"/>
      <c r="LLH158" s="274"/>
      <c r="LLI158" s="274"/>
      <c r="LLJ158" s="274"/>
      <c r="LLK158" s="274"/>
      <c r="LLL158" s="273"/>
      <c r="LLM158" s="274"/>
      <c r="LLN158" s="274"/>
      <c r="LLO158" s="274"/>
      <c r="LLP158" s="274"/>
      <c r="LLQ158" s="274"/>
      <c r="LLR158" s="273"/>
      <c r="LLS158" s="274"/>
      <c r="LLT158" s="274"/>
      <c r="LLU158" s="274"/>
      <c r="LLV158" s="274"/>
      <c r="LLW158" s="274"/>
      <c r="LLX158" s="273"/>
      <c r="LLY158" s="274"/>
      <c r="LLZ158" s="274"/>
      <c r="LMA158" s="274"/>
      <c r="LMB158" s="274"/>
      <c r="LMC158" s="274"/>
      <c r="LMD158" s="273"/>
      <c r="LME158" s="274"/>
      <c r="LMF158" s="274"/>
      <c r="LMG158" s="274"/>
      <c r="LMH158" s="274"/>
      <c r="LMI158" s="274"/>
      <c r="LMJ158" s="273"/>
      <c r="LMK158" s="274"/>
      <c r="LML158" s="274"/>
      <c r="LMM158" s="274"/>
      <c r="LMN158" s="274"/>
      <c r="LMO158" s="274"/>
      <c r="LMP158" s="273"/>
      <c r="LMQ158" s="274"/>
      <c r="LMR158" s="274"/>
      <c r="LMS158" s="274"/>
      <c r="LMT158" s="274"/>
      <c r="LMU158" s="274"/>
      <c r="LMV158" s="273"/>
      <c r="LMW158" s="274"/>
      <c r="LMX158" s="274"/>
      <c r="LMY158" s="274"/>
      <c r="LMZ158" s="274"/>
      <c r="LNA158" s="274"/>
      <c r="LNB158" s="273"/>
      <c r="LNC158" s="274"/>
      <c r="LND158" s="274"/>
      <c r="LNE158" s="274"/>
      <c r="LNF158" s="274"/>
      <c r="LNG158" s="274"/>
      <c r="LNH158" s="273"/>
      <c r="LNI158" s="274"/>
      <c r="LNJ158" s="274"/>
      <c r="LNK158" s="274"/>
      <c r="LNL158" s="274"/>
      <c r="LNM158" s="274"/>
      <c r="LNN158" s="273"/>
      <c r="LNO158" s="274"/>
      <c r="LNP158" s="274"/>
      <c r="LNQ158" s="274"/>
      <c r="LNR158" s="274"/>
      <c r="LNS158" s="274"/>
      <c r="LNT158" s="273"/>
      <c r="LNU158" s="274"/>
      <c r="LNV158" s="274"/>
      <c r="LNW158" s="274"/>
      <c r="LNX158" s="274"/>
      <c r="LNY158" s="274"/>
      <c r="LNZ158" s="273"/>
      <c r="LOA158" s="274"/>
      <c r="LOB158" s="274"/>
      <c r="LOC158" s="274"/>
      <c r="LOD158" s="274"/>
      <c r="LOE158" s="274"/>
      <c r="LOF158" s="273"/>
      <c r="LOG158" s="274"/>
      <c r="LOH158" s="274"/>
      <c r="LOI158" s="274"/>
      <c r="LOJ158" s="274"/>
      <c r="LOK158" s="274"/>
      <c r="LOL158" s="273"/>
      <c r="LOM158" s="274"/>
      <c r="LON158" s="274"/>
      <c r="LOO158" s="274"/>
      <c r="LOP158" s="274"/>
      <c r="LOQ158" s="274"/>
      <c r="LOR158" s="273"/>
      <c r="LOS158" s="274"/>
      <c r="LOT158" s="274"/>
      <c r="LOU158" s="274"/>
      <c r="LOV158" s="274"/>
      <c r="LOW158" s="274"/>
      <c r="LOX158" s="273"/>
      <c r="LOY158" s="274"/>
      <c r="LOZ158" s="274"/>
      <c r="LPA158" s="274"/>
      <c r="LPB158" s="274"/>
      <c r="LPC158" s="274"/>
      <c r="LPD158" s="273"/>
      <c r="LPE158" s="274"/>
      <c r="LPF158" s="274"/>
      <c r="LPG158" s="274"/>
      <c r="LPH158" s="274"/>
      <c r="LPI158" s="274"/>
      <c r="LPJ158" s="273"/>
      <c r="LPK158" s="274"/>
      <c r="LPL158" s="274"/>
      <c r="LPM158" s="274"/>
      <c r="LPN158" s="274"/>
      <c r="LPO158" s="274"/>
      <c r="LPP158" s="273"/>
      <c r="LPQ158" s="274"/>
      <c r="LPR158" s="274"/>
      <c r="LPS158" s="274"/>
      <c r="LPT158" s="274"/>
      <c r="LPU158" s="274"/>
      <c r="LPV158" s="273"/>
      <c r="LPW158" s="274"/>
      <c r="LPX158" s="274"/>
      <c r="LPY158" s="274"/>
      <c r="LPZ158" s="274"/>
      <c r="LQA158" s="274"/>
      <c r="LQB158" s="273"/>
      <c r="LQC158" s="274"/>
      <c r="LQD158" s="274"/>
      <c r="LQE158" s="274"/>
      <c r="LQF158" s="274"/>
      <c r="LQG158" s="274"/>
      <c r="LQH158" s="273"/>
      <c r="LQI158" s="274"/>
      <c r="LQJ158" s="274"/>
      <c r="LQK158" s="274"/>
      <c r="LQL158" s="274"/>
      <c r="LQM158" s="274"/>
      <c r="LQN158" s="273"/>
      <c r="LQO158" s="274"/>
      <c r="LQP158" s="274"/>
      <c r="LQQ158" s="274"/>
      <c r="LQR158" s="274"/>
      <c r="LQS158" s="274"/>
      <c r="LQT158" s="273"/>
      <c r="LQU158" s="274"/>
      <c r="LQV158" s="274"/>
      <c r="LQW158" s="274"/>
      <c r="LQX158" s="274"/>
      <c r="LQY158" s="274"/>
      <c r="LQZ158" s="273"/>
      <c r="LRA158" s="274"/>
      <c r="LRB158" s="274"/>
      <c r="LRC158" s="274"/>
      <c r="LRD158" s="274"/>
      <c r="LRE158" s="274"/>
      <c r="LRF158" s="273"/>
      <c r="LRG158" s="274"/>
      <c r="LRH158" s="274"/>
      <c r="LRI158" s="274"/>
      <c r="LRJ158" s="274"/>
      <c r="LRK158" s="274"/>
      <c r="LRL158" s="273"/>
      <c r="LRM158" s="274"/>
      <c r="LRN158" s="274"/>
      <c r="LRO158" s="274"/>
      <c r="LRP158" s="274"/>
      <c r="LRQ158" s="274"/>
      <c r="LRR158" s="273"/>
      <c r="LRS158" s="274"/>
      <c r="LRT158" s="274"/>
      <c r="LRU158" s="274"/>
      <c r="LRV158" s="274"/>
      <c r="LRW158" s="274"/>
      <c r="LRX158" s="273"/>
      <c r="LRY158" s="274"/>
      <c r="LRZ158" s="274"/>
      <c r="LSA158" s="274"/>
      <c r="LSB158" s="274"/>
      <c r="LSC158" s="274"/>
      <c r="LSD158" s="273"/>
      <c r="LSE158" s="274"/>
      <c r="LSF158" s="274"/>
      <c r="LSG158" s="274"/>
      <c r="LSH158" s="274"/>
      <c r="LSI158" s="274"/>
      <c r="LSJ158" s="273"/>
      <c r="LSK158" s="274"/>
      <c r="LSL158" s="274"/>
      <c r="LSM158" s="274"/>
      <c r="LSN158" s="274"/>
      <c r="LSO158" s="274"/>
      <c r="LSP158" s="273"/>
      <c r="LSQ158" s="274"/>
      <c r="LSR158" s="274"/>
      <c r="LSS158" s="274"/>
      <c r="LST158" s="274"/>
      <c r="LSU158" s="274"/>
      <c r="LSV158" s="273"/>
      <c r="LSW158" s="274"/>
      <c r="LSX158" s="274"/>
      <c r="LSY158" s="274"/>
      <c r="LSZ158" s="274"/>
      <c r="LTA158" s="274"/>
      <c r="LTB158" s="273"/>
      <c r="LTC158" s="274"/>
      <c r="LTD158" s="274"/>
      <c r="LTE158" s="274"/>
      <c r="LTF158" s="274"/>
      <c r="LTG158" s="274"/>
      <c r="LTH158" s="273"/>
      <c r="LTI158" s="274"/>
      <c r="LTJ158" s="274"/>
      <c r="LTK158" s="274"/>
      <c r="LTL158" s="274"/>
      <c r="LTM158" s="274"/>
      <c r="LTN158" s="273"/>
      <c r="LTO158" s="274"/>
      <c r="LTP158" s="274"/>
      <c r="LTQ158" s="274"/>
      <c r="LTR158" s="274"/>
      <c r="LTS158" s="274"/>
      <c r="LTT158" s="273"/>
      <c r="LTU158" s="274"/>
      <c r="LTV158" s="274"/>
      <c r="LTW158" s="274"/>
      <c r="LTX158" s="274"/>
      <c r="LTY158" s="274"/>
      <c r="LTZ158" s="273"/>
      <c r="LUA158" s="274"/>
      <c r="LUB158" s="274"/>
      <c r="LUC158" s="274"/>
      <c r="LUD158" s="274"/>
      <c r="LUE158" s="274"/>
      <c r="LUF158" s="273"/>
      <c r="LUG158" s="274"/>
      <c r="LUH158" s="274"/>
      <c r="LUI158" s="274"/>
      <c r="LUJ158" s="274"/>
      <c r="LUK158" s="274"/>
      <c r="LUL158" s="273"/>
      <c r="LUM158" s="274"/>
      <c r="LUN158" s="274"/>
      <c r="LUO158" s="274"/>
      <c r="LUP158" s="274"/>
      <c r="LUQ158" s="274"/>
      <c r="LUR158" s="273"/>
      <c r="LUS158" s="274"/>
      <c r="LUT158" s="274"/>
      <c r="LUU158" s="274"/>
      <c r="LUV158" s="274"/>
      <c r="LUW158" s="274"/>
      <c r="LUX158" s="273"/>
      <c r="LUY158" s="274"/>
      <c r="LUZ158" s="274"/>
      <c r="LVA158" s="274"/>
      <c r="LVB158" s="274"/>
      <c r="LVC158" s="274"/>
      <c r="LVD158" s="273"/>
      <c r="LVE158" s="274"/>
      <c r="LVF158" s="274"/>
      <c r="LVG158" s="274"/>
      <c r="LVH158" s="274"/>
      <c r="LVI158" s="274"/>
      <c r="LVJ158" s="273"/>
      <c r="LVK158" s="274"/>
      <c r="LVL158" s="274"/>
      <c r="LVM158" s="274"/>
      <c r="LVN158" s="274"/>
      <c r="LVO158" s="274"/>
      <c r="LVP158" s="273"/>
      <c r="LVQ158" s="274"/>
      <c r="LVR158" s="274"/>
      <c r="LVS158" s="274"/>
      <c r="LVT158" s="274"/>
      <c r="LVU158" s="274"/>
      <c r="LVV158" s="273"/>
      <c r="LVW158" s="274"/>
      <c r="LVX158" s="274"/>
      <c r="LVY158" s="274"/>
      <c r="LVZ158" s="274"/>
      <c r="LWA158" s="274"/>
      <c r="LWB158" s="273"/>
      <c r="LWC158" s="274"/>
      <c r="LWD158" s="274"/>
      <c r="LWE158" s="274"/>
      <c r="LWF158" s="274"/>
      <c r="LWG158" s="274"/>
      <c r="LWH158" s="273"/>
      <c r="LWI158" s="274"/>
      <c r="LWJ158" s="274"/>
      <c r="LWK158" s="274"/>
      <c r="LWL158" s="274"/>
      <c r="LWM158" s="274"/>
      <c r="LWN158" s="273"/>
      <c r="LWO158" s="274"/>
      <c r="LWP158" s="274"/>
      <c r="LWQ158" s="274"/>
      <c r="LWR158" s="274"/>
      <c r="LWS158" s="274"/>
      <c r="LWT158" s="273"/>
      <c r="LWU158" s="274"/>
      <c r="LWV158" s="274"/>
      <c r="LWW158" s="274"/>
      <c r="LWX158" s="274"/>
      <c r="LWY158" s="274"/>
      <c r="LWZ158" s="273"/>
      <c r="LXA158" s="274"/>
      <c r="LXB158" s="274"/>
      <c r="LXC158" s="274"/>
      <c r="LXD158" s="274"/>
      <c r="LXE158" s="274"/>
      <c r="LXF158" s="273"/>
      <c r="LXG158" s="274"/>
      <c r="LXH158" s="274"/>
      <c r="LXI158" s="274"/>
      <c r="LXJ158" s="274"/>
      <c r="LXK158" s="274"/>
      <c r="LXL158" s="273"/>
      <c r="LXM158" s="274"/>
      <c r="LXN158" s="274"/>
      <c r="LXO158" s="274"/>
      <c r="LXP158" s="274"/>
      <c r="LXQ158" s="274"/>
      <c r="LXR158" s="273"/>
      <c r="LXS158" s="274"/>
      <c r="LXT158" s="274"/>
      <c r="LXU158" s="274"/>
      <c r="LXV158" s="274"/>
      <c r="LXW158" s="274"/>
      <c r="LXX158" s="273"/>
      <c r="LXY158" s="274"/>
      <c r="LXZ158" s="274"/>
      <c r="LYA158" s="274"/>
      <c r="LYB158" s="274"/>
      <c r="LYC158" s="274"/>
      <c r="LYD158" s="273"/>
      <c r="LYE158" s="274"/>
      <c r="LYF158" s="274"/>
      <c r="LYG158" s="274"/>
      <c r="LYH158" s="274"/>
      <c r="LYI158" s="274"/>
      <c r="LYJ158" s="273"/>
      <c r="LYK158" s="274"/>
      <c r="LYL158" s="274"/>
      <c r="LYM158" s="274"/>
      <c r="LYN158" s="274"/>
      <c r="LYO158" s="274"/>
      <c r="LYP158" s="273"/>
      <c r="LYQ158" s="274"/>
      <c r="LYR158" s="274"/>
      <c r="LYS158" s="274"/>
      <c r="LYT158" s="274"/>
      <c r="LYU158" s="274"/>
      <c r="LYV158" s="273"/>
      <c r="LYW158" s="274"/>
      <c r="LYX158" s="274"/>
      <c r="LYY158" s="274"/>
      <c r="LYZ158" s="274"/>
      <c r="LZA158" s="274"/>
      <c r="LZB158" s="273"/>
      <c r="LZC158" s="274"/>
      <c r="LZD158" s="274"/>
      <c r="LZE158" s="274"/>
      <c r="LZF158" s="274"/>
      <c r="LZG158" s="274"/>
      <c r="LZH158" s="273"/>
      <c r="LZI158" s="274"/>
      <c r="LZJ158" s="274"/>
      <c r="LZK158" s="274"/>
      <c r="LZL158" s="274"/>
      <c r="LZM158" s="274"/>
      <c r="LZN158" s="273"/>
      <c r="LZO158" s="274"/>
      <c r="LZP158" s="274"/>
      <c r="LZQ158" s="274"/>
      <c r="LZR158" s="274"/>
      <c r="LZS158" s="274"/>
      <c r="LZT158" s="273"/>
      <c r="LZU158" s="274"/>
      <c r="LZV158" s="274"/>
      <c r="LZW158" s="274"/>
      <c r="LZX158" s="274"/>
      <c r="LZY158" s="274"/>
      <c r="LZZ158" s="273"/>
      <c r="MAA158" s="274"/>
      <c r="MAB158" s="274"/>
      <c r="MAC158" s="274"/>
      <c r="MAD158" s="274"/>
      <c r="MAE158" s="274"/>
      <c r="MAF158" s="273"/>
      <c r="MAG158" s="274"/>
      <c r="MAH158" s="274"/>
      <c r="MAI158" s="274"/>
      <c r="MAJ158" s="274"/>
      <c r="MAK158" s="274"/>
      <c r="MAL158" s="273"/>
      <c r="MAM158" s="274"/>
      <c r="MAN158" s="274"/>
      <c r="MAO158" s="274"/>
      <c r="MAP158" s="274"/>
      <c r="MAQ158" s="274"/>
      <c r="MAR158" s="273"/>
      <c r="MAS158" s="274"/>
      <c r="MAT158" s="274"/>
      <c r="MAU158" s="274"/>
      <c r="MAV158" s="274"/>
      <c r="MAW158" s="274"/>
      <c r="MAX158" s="273"/>
      <c r="MAY158" s="274"/>
      <c r="MAZ158" s="274"/>
      <c r="MBA158" s="274"/>
      <c r="MBB158" s="274"/>
      <c r="MBC158" s="274"/>
      <c r="MBD158" s="273"/>
      <c r="MBE158" s="274"/>
      <c r="MBF158" s="274"/>
      <c r="MBG158" s="274"/>
      <c r="MBH158" s="274"/>
      <c r="MBI158" s="274"/>
      <c r="MBJ158" s="273"/>
      <c r="MBK158" s="274"/>
      <c r="MBL158" s="274"/>
      <c r="MBM158" s="274"/>
      <c r="MBN158" s="274"/>
      <c r="MBO158" s="274"/>
      <c r="MBP158" s="273"/>
      <c r="MBQ158" s="274"/>
      <c r="MBR158" s="274"/>
      <c r="MBS158" s="274"/>
      <c r="MBT158" s="274"/>
      <c r="MBU158" s="274"/>
      <c r="MBV158" s="273"/>
      <c r="MBW158" s="274"/>
      <c r="MBX158" s="274"/>
      <c r="MBY158" s="274"/>
      <c r="MBZ158" s="274"/>
      <c r="MCA158" s="274"/>
      <c r="MCB158" s="273"/>
      <c r="MCC158" s="274"/>
      <c r="MCD158" s="274"/>
      <c r="MCE158" s="274"/>
      <c r="MCF158" s="274"/>
      <c r="MCG158" s="274"/>
      <c r="MCH158" s="273"/>
      <c r="MCI158" s="274"/>
      <c r="MCJ158" s="274"/>
      <c r="MCK158" s="274"/>
      <c r="MCL158" s="274"/>
      <c r="MCM158" s="274"/>
      <c r="MCN158" s="273"/>
      <c r="MCO158" s="274"/>
      <c r="MCP158" s="274"/>
      <c r="MCQ158" s="274"/>
      <c r="MCR158" s="274"/>
      <c r="MCS158" s="274"/>
      <c r="MCT158" s="273"/>
      <c r="MCU158" s="274"/>
      <c r="MCV158" s="274"/>
      <c r="MCW158" s="274"/>
      <c r="MCX158" s="274"/>
      <c r="MCY158" s="274"/>
      <c r="MCZ158" s="273"/>
      <c r="MDA158" s="274"/>
      <c r="MDB158" s="274"/>
      <c r="MDC158" s="274"/>
      <c r="MDD158" s="274"/>
      <c r="MDE158" s="274"/>
      <c r="MDF158" s="273"/>
      <c r="MDG158" s="274"/>
      <c r="MDH158" s="274"/>
      <c r="MDI158" s="274"/>
      <c r="MDJ158" s="274"/>
      <c r="MDK158" s="274"/>
      <c r="MDL158" s="273"/>
      <c r="MDM158" s="274"/>
      <c r="MDN158" s="274"/>
      <c r="MDO158" s="274"/>
      <c r="MDP158" s="274"/>
      <c r="MDQ158" s="274"/>
      <c r="MDR158" s="273"/>
      <c r="MDS158" s="274"/>
      <c r="MDT158" s="274"/>
      <c r="MDU158" s="274"/>
      <c r="MDV158" s="274"/>
      <c r="MDW158" s="274"/>
      <c r="MDX158" s="273"/>
      <c r="MDY158" s="274"/>
      <c r="MDZ158" s="274"/>
      <c r="MEA158" s="274"/>
      <c r="MEB158" s="274"/>
      <c r="MEC158" s="274"/>
      <c r="MED158" s="273"/>
      <c r="MEE158" s="274"/>
      <c r="MEF158" s="274"/>
      <c r="MEG158" s="274"/>
      <c r="MEH158" s="274"/>
      <c r="MEI158" s="274"/>
      <c r="MEJ158" s="273"/>
      <c r="MEK158" s="274"/>
      <c r="MEL158" s="274"/>
      <c r="MEM158" s="274"/>
      <c r="MEN158" s="274"/>
      <c r="MEO158" s="274"/>
      <c r="MEP158" s="273"/>
      <c r="MEQ158" s="274"/>
      <c r="MER158" s="274"/>
      <c r="MES158" s="274"/>
      <c r="MET158" s="274"/>
      <c r="MEU158" s="274"/>
      <c r="MEV158" s="273"/>
      <c r="MEW158" s="274"/>
      <c r="MEX158" s="274"/>
      <c r="MEY158" s="274"/>
      <c r="MEZ158" s="274"/>
      <c r="MFA158" s="274"/>
      <c r="MFB158" s="273"/>
      <c r="MFC158" s="274"/>
      <c r="MFD158" s="274"/>
      <c r="MFE158" s="274"/>
      <c r="MFF158" s="274"/>
      <c r="MFG158" s="274"/>
      <c r="MFH158" s="273"/>
      <c r="MFI158" s="274"/>
      <c r="MFJ158" s="274"/>
      <c r="MFK158" s="274"/>
      <c r="MFL158" s="274"/>
      <c r="MFM158" s="274"/>
      <c r="MFN158" s="273"/>
      <c r="MFO158" s="274"/>
      <c r="MFP158" s="274"/>
      <c r="MFQ158" s="274"/>
      <c r="MFR158" s="274"/>
      <c r="MFS158" s="274"/>
      <c r="MFT158" s="273"/>
      <c r="MFU158" s="274"/>
      <c r="MFV158" s="274"/>
      <c r="MFW158" s="274"/>
      <c r="MFX158" s="274"/>
      <c r="MFY158" s="274"/>
      <c r="MFZ158" s="273"/>
      <c r="MGA158" s="274"/>
      <c r="MGB158" s="274"/>
      <c r="MGC158" s="274"/>
      <c r="MGD158" s="274"/>
      <c r="MGE158" s="274"/>
      <c r="MGF158" s="273"/>
      <c r="MGG158" s="274"/>
      <c r="MGH158" s="274"/>
      <c r="MGI158" s="274"/>
      <c r="MGJ158" s="274"/>
      <c r="MGK158" s="274"/>
      <c r="MGL158" s="273"/>
      <c r="MGM158" s="274"/>
      <c r="MGN158" s="274"/>
      <c r="MGO158" s="274"/>
      <c r="MGP158" s="274"/>
      <c r="MGQ158" s="274"/>
      <c r="MGR158" s="273"/>
      <c r="MGS158" s="274"/>
      <c r="MGT158" s="274"/>
      <c r="MGU158" s="274"/>
      <c r="MGV158" s="274"/>
      <c r="MGW158" s="274"/>
      <c r="MGX158" s="273"/>
      <c r="MGY158" s="274"/>
      <c r="MGZ158" s="274"/>
      <c r="MHA158" s="274"/>
      <c r="MHB158" s="274"/>
      <c r="MHC158" s="274"/>
      <c r="MHD158" s="273"/>
      <c r="MHE158" s="274"/>
      <c r="MHF158" s="274"/>
      <c r="MHG158" s="274"/>
      <c r="MHH158" s="274"/>
      <c r="MHI158" s="274"/>
      <c r="MHJ158" s="273"/>
      <c r="MHK158" s="274"/>
      <c r="MHL158" s="274"/>
      <c r="MHM158" s="274"/>
      <c r="MHN158" s="274"/>
      <c r="MHO158" s="274"/>
      <c r="MHP158" s="273"/>
      <c r="MHQ158" s="274"/>
      <c r="MHR158" s="274"/>
      <c r="MHS158" s="274"/>
      <c r="MHT158" s="274"/>
      <c r="MHU158" s="274"/>
      <c r="MHV158" s="273"/>
      <c r="MHW158" s="274"/>
      <c r="MHX158" s="274"/>
      <c r="MHY158" s="274"/>
      <c r="MHZ158" s="274"/>
      <c r="MIA158" s="274"/>
      <c r="MIB158" s="273"/>
      <c r="MIC158" s="274"/>
      <c r="MID158" s="274"/>
      <c r="MIE158" s="274"/>
      <c r="MIF158" s="274"/>
      <c r="MIG158" s="274"/>
      <c r="MIH158" s="273"/>
      <c r="MII158" s="274"/>
      <c r="MIJ158" s="274"/>
      <c r="MIK158" s="274"/>
      <c r="MIL158" s="274"/>
      <c r="MIM158" s="274"/>
      <c r="MIN158" s="273"/>
      <c r="MIO158" s="274"/>
      <c r="MIP158" s="274"/>
      <c r="MIQ158" s="274"/>
      <c r="MIR158" s="274"/>
      <c r="MIS158" s="274"/>
      <c r="MIT158" s="273"/>
      <c r="MIU158" s="274"/>
      <c r="MIV158" s="274"/>
      <c r="MIW158" s="274"/>
      <c r="MIX158" s="274"/>
      <c r="MIY158" s="274"/>
      <c r="MIZ158" s="273"/>
      <c r="MJA158" s="274"/>
      <c r="MJB158" s="274"/>
      <c r="MJC158" s="274"/>
      <c r="MJD158" s="274"/>
      <c r="MJE158" s="274"/>
      <c r="MJF158" s="273"/>
      <c r="MJG158" s="274"/>
      <c r="MJH158" s="274"/>
      <c r="MJI158" s="274"/>
      <c r="MJJ158" s="274"/>
      <c r="MJK158" s="274"/>
      <c r="MJL158" s="273"/>
      <c r="MJM158" s="274"/>
      <c r="MJN158" s="274"/>
      <c r="MJO158" s="274"/>
      <c r="MJP158" s="274"/>
      <c r="MJQ158" s="274"/>
      <c r="MJR158" s="273"/>
      <c r="MJS158" s="274"/>
      <c r="MJT158" s="274"/>
      <c r="MJU158" s="274"/>
      <c r="MJV158" s="274"/>
      <c r="MJW158" s="274"/>
      <c r="MJX158" s="273"/>
      <c r="MJY158" s="274"/>
      <c r="MJZ158" s="274"/>
      <c r="MKA158" s="274"/>
      <c r="MKB158" s="274"/>
      <c r="MKC158" s="274"/>
      <c r="MKD158" s="273"/>
      <c r="MKE158" s="274"/>
      <c r="MKF158" s="274"/>
      <c r="MKG158" s="274"/>
      <c r="MKH158" s="274"/>
      <c r="MKI158" s="274"/>
      <c r="MKJ158" s="273"/>
      <c r="MKK158" s="274"/>
      <c r="MKL158" s="274"/>
      <c r="MKM158" s="274"/>
      <c r="MKN158" s="274"/>
      <c r="MKO158" s="274"/>
      <c r="MKP158" s="273"/>
      <c r="MKQ158" s="274"/>
      <c r="MKR158" s="274"/>
      <c r="MKS158" s="274"/>
      <c r="MKT158" s="274"/>
      <c r="MKU158" s="274"/>
      <c r="MKV158" s="273"/>
      <c r="MKW158" s="274"/>
      <c r="MKX158" s="274"/>
      <c r="MKY158" s="274"/>
      <c r="MKZ158" s="274"/>
      <c r="MLA158" s="274"/>
      <c r="MLB158" s="273"/>
      <c r="MLC158" s="274"/>
      <c r="MLD158" s="274"/>
      <c r="MLE158" s="274"/>
      <c r="MLF158" s="274"/>
      <c r="MLG158" s="274"/>
      <c r="MLH158" s="273"/>
      <c r="MLI158" s="274"/>
      <c r="MLJ158" s="274"/>
      <c r="MLK158" s="274"/>
      <c r="MLL158" s="274"/>
      <c r="MLM158" s="274"/>
      <c r="MLN158" s="273"/>
      <c r="MLO158" s="274"/>
      <c r="MLP158" s="274"/>
      <c r="MLQ158" s="274"/>
      <c r="MLR158" s="274"/>
      <c r="MLS158" s="274"/>
      <c r="MLT158" s="273"/>
      <c r="MLU158" s="274"/>
      <c r="MLV158" s="274"/>
      <c r="MLW158" s="274"/>
      <c r="MLX158" s="274"/>
      <c r="MLY158" s="274"/>
      <c r="MLZ158" s="273"/>
      <c r="MMA158" s="274"/>
      <c r="MMB158" s="274"/>
      <c r="MMC158" s="274"/>
      <c r="MMD158" s="274"/>
      <c r="MME158" s="274"/>
      <c r="MMF158" s="273"/>
      <c r="MMG158" s="274"/>
      <c r="MMH158" s="274"/>
      <c r="MMI158" s="274"/>
      <c r="MMJ158" s="274"/>
      <c r="MMK158" s="274"/>
      <c r="MML158" s="273"/>
      <c r="MMM158" s="274"/>
      <c r="MMN158" s="274"/>
      <c r="MMO158" s="274"/>
      <c r="MMP158" s="274"/>
      <c r="MMQ158" s="274"/>
      <c r="MMR158" s="273"/>
      <c r="MMS158" s="274"/>
      <c r="MMT158" s="274"/>
      <c r="MMU158" s="274"/>
      <c r="MMV158" s="274"/>
      <c r="MMW158" s="274"/>
      <c r="MMX158" s="273"/>
      <c r="MMY158" s="274"/>
      <c r="MMZ158" s="274"/>
      <c r="MNA158" s="274"/>
      <c r="MNB158" s="274"/>
      <c r="MNC158" s="274"/>
      <c r="MND158" s="273"/>
      <c r="MNE158" s="274"/>
      <c r="MNF158" s="274"/>
      <c r="MNG158" s="274"/>
      <c r="MNH158" s="274"/>
      <c r="MNI158" s="274"/>
      <c r="MNJ158" s="273"/>
      <c r="MNK158" s="274"/>
      <c r="MNL158" s="274"/>
      <c r="MNM158" s="274"/>
      <c r="MNN158" s="274"/>
      <c r="MNO158" s="274"/>
      <c r="MNP158" s="273"/>
      <c r="MNQ158" s="274"/>
      <c r="MNR158" s="274"/>
      <c r="MNS158" s="274"/>
      <c r="MNT158" s="274"/>
      <c r="MNU158" s="274"/>
      <c r="MNV158" s="273"/>
      <c r="MNW158" s="274"/>
      <c r="MNX158" s="274"/>
      <c r="MNY158" s="274"/>
      <c r="MNZ158" s="274"/>
      <c r="MOA158" s="274"/>
      <c r="MOB158" s="273"/>
      <c r="MOC158" s="274"/>
      <c r="MOD158" s="274"/>
      <c r="MOE158" s="274"/>
      <c r="MOF158" s="274"/>
      <c r="MOG158" s="274"/>
      <c r="MOH158" s="273"/>
      <c r="MOI158" s="274"/>
      <c r="MOJ158" s="274"/>
      <c r="MOK158" s="274"/>
      <c r="MOL158" s="274"/>
      <c r="MOM158" s="274"/>
      <c r="MON158" s="273"/>
      <c r="MOO158" s="274"/>
      <c r="MOP158" s="274"/>
      <c r="MOQ158" s="274"/>
      <c r="MOR158" s="274"/>
      <c r="MOS158" s="274"/>
      <c r="MOT158" s="273"/>
      <c r="MOU158" s="274"/>
      <c r="MOV158" s="274"/>
      <c r="MOW158" s="274"/>
      <c r="MOX158" s="274"/>
      <c r="MOY158" s="274"/>
      <c r="MOZ158" s="273"/>
      <c r="MPA158" s="274"/>
      <c r="MPB158" s="274"/>
      <c r="MPC158" s="274"/>
      <c r="MPD158" s="274"/>
      <c r="MPE158" s="274"/>
      <c r="MPF158" s="273"/>
      <c r="MPG158" s="274"/>
      <c r="MPH158" s="274"/>
      <c r="MPI158" s="274"/>
      <c r="MPJ158" s="274"/>
      <c r="MPK158" s="274"/>
      <c r="MPL158" s="273"/>
      <c r="MPM158" s="274"/>
      <c r="MPN158" s="274"/>
      <c r="MPO158" s="274"/>
      <c r="MPP158" s="274"/>
      <c r="MPQ158" s="274"/>
      <c r="MPR158" s="273"/>
      <c r="MPS158" s="274"/>
      <c r="MPT158" s="274"/>
      <c r="MPU158" s="274"/>
      <c r="MPV158" s="274"/>
      <c r="MPW158" s="274"/>
      <c r="MPX158" s="273"/>
      <c r="MPY158" s="274"/>
      <c r="MPZ158" s="274"/>
      <c r="MQA158" s="274"/>
      <c r="MQB158" s="274"/>
      <c r="MQC158" s="274"/>
      <c r="MQD158" s="273"/>
      <c r="MQE158" s="274"/>
      <c r="MQF158" s="274"/>
      <c r="MQG158" s="274"/>
      <c r="MQH158" s="274"/>
      <c r="MQI158" s="274"/>
      <c r="MQJ158" s="273"/>
      <c r="MQK158" s="274"/>
      <c r="MQL158" s="274"/>
      <c r="MQM158" s="274"/>
      <c r="MQN158" s="274"/>
      <c r="MQO158" s="274"/>
      <c r="MQP158" s="273"/>
      <c r="MQQ158" s="274"/>
      <c r="MQR158" s="274"/>
      <c r="MQS158" s="274"/>
      <c r="MQT158" s="274"/>
      <c r="MQU158" s="274"/>
      <c r="MQV158" s="273"/>
      <c r="MQW158" s="274"/>
      <c r="MQX158" s="274"/>
      <c r="MQY158" s="274"/>
      <c r="MQZ158" s="274"/>
      <c r="MRA158" s="274"/>
      <c r="MRB158" s="273"/>
      <c r="MRC158" s="274"/>
      <c r="MRD158" s="274"/>
      <c r="MRE158" s="274"/>
      <c r="MRF158" s="274"/>
      <c r="MRG158" s="274"/>
      <c r="MRH158" s="273"/>
      <c r="MRI158" s="274"/>
      <c r="MRJ158" s="274"/>
      <c r="MRK158" s="274"/>
      <c r="MRL158" s="274"/>
      <c r="MRM158" s="274"/>
      <c r="MRN158" s="273"/>
      <c r="MRO158" s="274"/>
      <c r="MRP158" s="274"/>
      <c r="MRQ158" s="274"/>
      <c r="MRR158" s="274"/>
      <c r="MRS158" s="274"/>
      <c r="MRT158" s="273"/>
      <c r="MRU158" s="274"/>
      <c r="MRV158" s="274"/>
      <c r="MRW158" s="274"/>
      <c r="MRX158" s="274"/>
      <c r="MRY158" s="274"/>
      <c r="MRZ158" s="273"/>
      <c r="MSA158" s="274"/>
      <c r="MSB158" s="274"/>
      <c r="MSC158" s="274"/>
      <c r="MSD158" s="274"/>
      <c r="MSE158" s="274"/>
      <c r="MSF158" s="273"/>
      <c r="MSG158" s="274"/>
      <c r="MSH158" s="274"/>
      <c r="MSI158" s="274"/>
      <c r="MSJ158" s="274"/>
      <c r="MSK158" s="274"/>
      <c r="MSL158" s="273"/>
      <c r="MSM158" s="274"/>
      <c r="MSN158" s="274"/>
      <c r="MSO158" s="274"/>
      <c r="MSP158" s="274"/>
      <c r="MSQ158" s="274"/>
      <c r="MSR158" s="273"/>
      <c r="MSS158" s="274"/>
      <c r="MST158" s="274"/>
      <c r="MSU158" s="274"/>
      <c r="MSV158" s="274"/>
      <c r="MSW158" s="274"/>
      <c r="MSX158" s="273"/>
      <c r="MSY158" s="274"/>
      <c r="MSZ158" s="274"/>
      <c r="MTA158" s="274"/>
      <c r="MTB158" s="274"/>
      <c r="MTC158" s="274"/>
      <c r="MTD158" s="273"/>
      <c r="MTE158" s="274"/>
      <c r="MTF158" s="274"/>
      <c r="MTG158" s="274"/>
      <c r="MTH158" s="274"/>
      <c r="MTI158" s="274"/>
      <c r="MTJ158" s="273"/>
      <c r="MTK158" s="274"/>
      <c r="MTL158" s="274"/>
      <c r="MTM158" s="274"/>
      <c r="MTN158" s="274"/>
      <c r="MTO158" s="274"/>
      <c r="MTP158" s="273"/>
      <c r="MTQ158" s="274"/>
      <c r="MTR158" s="274"/>
      <c r="MTS158" s="274"/>
      <c r="MTT158" s="274"/>
      <c r="MTU158" s="274"/>
      <c r="MTV158" s="273"/>
      <c r="MTW158" s="274"/>
      <c r="MTX158" s="274"/>
      <c r="MTY158" s="274"/>
      <c r="MTZ158" s="274"/>
      <c r="MUA158" s="274"/>
      <c r="MUB158" s="273"/>
      <c r="MUC158" s="274"/>
      <c r="MUD158" s="274"/>
      <c r="MUE158" s="274"/>
      <c r="MUF158" s="274"/>
      <c r="MUG158" s="274"/>
      <c r="MUH158" s="273"/>
      <c r="MUI158" s="274"/>
      <c r="MUJ158" s="274"/>
      <c r="MUK158" s="274"/>
      <c r="MUL158" s="274"/>
      <c r="MUM158" s="274"/>
      <c r="MUN158" s="273"/>
      <c r="MUO158" s="274"/>
      <c r="MUP158" s="274"/>
      <c r="MUQ158" s="274"/>
      <c r="MUR158" s="274"/>
      <c r="MUS158" s="274"/>
      <c r="MUT158" s="273"/>
      <c r="MUU158" s="274"/>
      <c r="MUV158" s="274"/>
      <c r="MUW158" s="274"/>
      <c r="MUX158" s="274"/>
      <c r="MUY158" s="274"/>
      <c r="MUZ158" s="273"/>
      <c r="MVA158" s="274"/>
      <c r="MVB158" s="274"/>
      <c r="MVC158" s="274"/>
      <c r="MVD158" s="274"/>
      <c r="MVE158" s="274"/>
      <c r="MVF158" s="273"/>
      <c r="MVG158" s="274"/>
      <c r="MVH158" s="274"/>
      <c r="MVI158" s="274"/>
      <c r="MVJ158" s="274"/>
      <c r="MVK158" s="274"/>
      <c r="MVL158" s="273"/>
      <c r="MVM158" s="274"/>
      <c r="MVN158" s="274"/>
      <c r="MVO158" s="274"/>
      <c r="MVP158" s="274"/>
      <c r="MVQ158" s="274"/>
      <c r="MVR158" s="273"/>
      <c r="MVS158" s="274"/>
      <c r="MVT158" s="274"/>
      <c r="MVU158" s="274"/>
      <c r="MVV158" s="274"/>
      <c r="MVW158" s="274"/>
      <c r="MVX158" s="273"/>
      <c r="MVY158" s="274"/>
      <c r="MVZ158" s="274"/>
      <c r="MWA158" s="274"/>
      <c r="MWB158" s="274"/>
      <c r="MWC158" s="274"/>
      <c r="MWD158" s="273"/>
      <c r="MWE158" s="274"/>
      <c r="MWF158" s="274"/>
      <c r="MWG158" s="274"/>
      <c r="MWH158" s="274"/>
      <c r="MWI158" s="274"/>
      <c r="MWJ158" s="273"/>
      <c r="MWK158" s="274"/>
      <c r="MWL158" s="274"/>
      <c r="MWM158" s="274"/>
      <c r="MWN158" s="274"/>
      <c r="MWO158" s="274"/>
      <c r="MWP158" s="273"/>
      <c r="MWQ158" s="274"/>
      <c r="MWR158" s="274"/>
      <c r="MWS158" s="274"/>
      <c r="MWT158" s="274"/>
      <c r="MWU158" s="274"/>
      <c r="MWV158" s="273"/>
      <c r="MWW158" s="274"/>
      <c r="MWX158" s="274"/>
      <c r="MWY158" s="274"/>
      <c r="MWZ158" s="274"/>
      <c r="MXA158" s="274"/>
      <c r="MXB158" s="273"/>
      <c r="MXC158" s="274"/>
      <c r="MXD158" s="274"/>
      <c r="MXE158" s="274"/>
      <c r="MXF158" s="274"/>
      <c r="MXG158" s="274"/>
      <c r="MXH158" s="273"/>
      <c r="MXI158" s="274"/>
      <c r="MXJ158" s="274"/>
      <c r="MXK158" s="274"/>
      <c r="MXL158" s="274"/>
      <c r="MXM158" s="274"/>
      <c r="MXN158" s="273"/>
      <c r="MXO158" s="274"/>
      <c r="MXP158" s="274"/>
      <c r="MXQ158" s="274"/>
      <c r="MXR158" s="274"/>
      <c r="MXS158" s="274"/>
      <c r="MXT158" s="273"/>
      <c r="MXU158" s="274"/>
      <c r="MXV158" s="274"/>
      <c r="MXW158" s="274"/>
      <c r="MXX158" s="274"/>
      <c r="MXY158" s="274"/>
      <c r="MXZ158" s="273"/>
      <c r="MYA158" s="274"/>
      <c r="MYB158" s="274"/>
      <c r="MYC158" s="274"/>
      <c r="MYD158" s="274"/>
      <c r="MYE158" s="274"/>
      <c r="MYF158" s="273"/>
      <c r="MYG158" s="274"/>
      <c r="MYH158" s="274"/>
      <c r="MYI158" s="274"/>
      <c r="MYJ158" s="274"/>
      <c r="MYK158" s="274"/>
      <c r="MYL158" s="273"/>
      <c r="MYM158" s="274"/>
      <c r="MYN158" s="274"/>
      <c r="MYO158" s="274"/>
      <c r="MYP158" s="274"/>
      <c r="MYQ158" s="274"/>
      <c r="MYR158" s="273"/>
      <c r="MYS158" s="274"/>
      <c r="MYT158" s="274"/>
      <c r="MYU158" s="274"/>
      <c r="MYV158" s="274"/>
      <c r="MYW158" s="274"/>
      <c r="MYX158" s="273"/>
      <c r="MYY158" s="274"/>
      <c r="MYZ158" s="274"/>
      <c r="MZA158" s="274"/>
      <c r="MZB158" s="274"/>
      <c r="MZC158" s="274"/>
      <c r="MZD158" s="273"/>
      <c r="MZE158" s="274"/>
      <c r="MZF158" s="274"/>
      <c r="MZG158" s="274"/>
      <c r="MZH158" s="274"/>
      <c r="MZI158" s="274"/>
      <c r="MZJ158" s="273"/>
      <c r="MZK158" s="274"/>
      <c r="MZL158" s="274"/>
      <c r="MZM158" s="274"/>
      <c r="MZN158" s="274"/>
      <c r="MZO158" s="274"/>
      <c r="MZP158" s="273"/>
      <c r="MZQ158" s="274"/>
      <c r="MZR158" s="274"/>
      <c r="MZS158" s="274"/>
      <c r="MZT158" s="274"/>
      <c r="MZU158" s="274"/>
      <c r="MZV158" s="273"/>
      <c r="MZW158" s="274"/>
      <c r="MZX158" s="274"/>
      <c r="MZY158" s="274"/>
      <c r="MZZ158" s="274"/>
      <c r="NAA158" s="274"/>
      <c r="NAB158" s="273"/>
      <c r="NAC158" s="274"/>
      <c r="NAD158" s="274"/>
      <c r="NAE158" s="274"/>
      <c r="NAF158" s="274"/>
      <c r="NAG158" s="274"/>
      <c r="NAH158" s="273"/>
      <c r="NAI158" s="274"/>
      <c r="NAJ158" s="274"/>
      <c r="NAK158" s="274"/>
      <c r="NAL158" s="274"/>
      <c r="NAM158" s="274"/>
      <c r="NAN158" s="273"/>
      <c r="NAO158" s="274"/>
      <c r="NAP158" s="274"/>
      <c r="NAQ158" s="274"/>
      <c r="NAR158" s="274"/>
      <c r="NAS158" s="274"/>
      <c r="NAT158" s="273"/>
      <c r="NAU158" s="274"/>
      <c r="NAV158" s="274"/>
      <c r="NAW158" s="274"/>
      <c r="NAX158" s="274"/>
      <c r="NAY158" s="274"/>
      <c r="NAZ158" s="273"/>
      <c r="NBA158" s="274"/>
      <c r="NBB158" s="274"/>
      <c r="NBC158" s="274"/>
      <c r="NBD158" s="274"/>
      <c r="NBE158" s="274"/>
      <c r="NBF158" s="273"/>
      <c r="NBG158" s="274"/>
      <c r="NBH158" s="274"/>
      <c r="NBI158" s="274"/>
      <c r="NBJ158" s="274"/>
      <c r="NBK158" s="274"/>
      <c r="NBL158" s="273"/>
      <c r="NBM158" s="274"/>
      <c r="NBN158" s="274"/>
      <c r="NBO158" s="274"/>
      <c r="NBP158" s="274"/>
      <c r="NBQ158" s="274"/>
      <c r="NBR158" s="273"/>
      <c r="NBS158" s="274"/>
      <c r="NBT158" s="274"/>
      <c r="NBU158" s="274"/>
      <c r="NBV158" s="274"/>
      <c r="NBW158" s="274"/>
      <c r="NBX158" s="273"/>
      <c r="NBY158" s="274"/>
      <c r="NBZ158" s="274"/>
      <c r="NCA158" s="274"/>
      <c r="NCB158" s="274"/>
      <c r="NCC158" s="274"/>
      <c r="NCD158" s="273"/>
      <c r="NCE158" s="274"/>
      <c r="NCF158" s="274"/>
      <c r="NCG158" s="274"/>
      <c r="NCH158" s="274"/>
      <c r="NCI158" s="274"/>
      <c r="NCJ158" s="273"/>
      <c r="NCK158" s="274"/>
      <c r="NCL158" s="274"/>
      <c r="NCM158" s="274"/>
      <c r="NCN158" s="274"/>
      <c r="NCO158" s="274"/>
      <c r="NCP158" s="273"/>
      <c r="NCQ158" s="274"/>
      <c r="NCR158" s="274"/>
      <c r="NCS158" s="274"/>
      <c r="NCT158" s="274"/>
      <c r="NCU158" s="274"/>
      <c r="NCV158" s="273"/>
      <c r="NCW158" s="274"/>
      <c r="NCX158" s="274"/>
      <c r="NCY158" s="274"/>
      <c r="NCZ158" s="274"/>
      <c r="NDA158" s="274"/>
      <c r="NDB158" s="273"/>
      <c r="NDC158" s="274"/>
      <c r="NDD158" s="274"/>
      <c r="NDE158" s="274"/>
      <c r="NDF158" s="274"/>
      <c r="NDG158" s="274"/>
      <c r="NDH158" s="273"/>
      <c r="NDI158" s="274"/>
      <c r="NDJ158" s="274"/>
      <c r="NDK158" s="274"/>
      <c r="NDL158" s="274"/>
      <c r="NDM158" s="274"/>
      <c r="NDN158" s="273"/>
      <c r="NDO158" s="274"/>
      <c r="NDP158" s="274"/>
      <c r="NDQ158" s="274"/>
      <c r="NDR158" s="274"/>
      <c r="NDS158" s="274"/>
      <c r="NDT158" s="273"/>
      <c r="NDU158" s="274"/>
      <c r="NDV158" s="274"/>
      <c r="NDW158" s="274"/>
      <c r="NDX158" s="274"/>
      <c r="NDY158" s="274"/>
      <c r="NDZ158" s="273"/>
      <c r="NEA158" s="274"/>
      <c r="NEB158" s="274"/>
      <c r="NEC158" s="274"/>
      <c r="NED158" s="274"/>
      <c r="NEE158" s="274"/>
      <c r="NEF158" s="273"/>
      <c r="NEG158" s="274"/>
      <c r="NEH158" s="274"/>
      <c r="NEI158" s="274"/>
      <c r="NEJ158" s="274"/>
      <c r="NEK158" s="274"/>
      <c r="NEL158" s="273"/>
      <c r="NEM158" s="274"/>
      <c r="NEN158" s="274"/>
      <c r="NEO158" s="274"/>
      <c r="NEP158" s="274"/>
      <c r="NEQ158" s="274"/>
      <c r="NER158" s="273"/>
      <c r="NES158" s="274"/>
      <c r="NET158" s="274"/>
      <c r="NEU158" s="274"/>
      <c r="NEV158" s="274"/>
      <c r="NEW158" s="274"/>
      <c r="NEX158" s="273"/>
      <c r="NEY158" s="274"/>
      <c r="NEZ158" s="274"/>
      <c r="NFA158" s="274"/>
      <c r="NFB158" s="274"/>
      <c r="NFC158" s="274"/>
      <c r="NFD158" s="273"/>
      <c r="NFE158" s="274"/>
      <c r="NFF158" s="274"/>
      <c r="NFG158" s="274"/>
      <c r="NFH158" s="274"/>
      <c r="NFI158" s="274"/>
      <c r="NFJ158" s="273"/>
      <c r="NFK158" s="274"/>
      <c r="NFL158" s="274"/>
      <c r="NFM158" s="274"/>
      <c r="NFN158" s="274"/>
      <c r="NFO158" s="274"/>
      <c r="NFP158" s="273"/>
      <c r="NFQ158" s="274"/>
      <c r="NFR158" s="274"/>
      <c r="NFS158" s="274"/>
      <c r="NFT158" s="274"/>
      <c r="NFU158" s="274"/>
      <c r="NFV158" s="273"/>
      <c r="NFW158" s="274"/>
      <c r="NFX158" s="274"/>
      <c r="NFY158" s="274"/>
      <c r="NFZ158" s="274"/>
      <c r="NGA158" s="274"/>
      <c r="NGB158" s="273"/>
      <c r="NGC158" s="274"/>
      <c r="NGD158" s="274"/>
      <c r="NGE158" s="274"/>
      <c r="NGF158" s="274"/>
      <c r="NGG158" s="274"/>
      <c r="NGH158" s="273"/>
      <c r="NGI158" s="274"/>
      <c r="NGJ158" s="274"/>
      <c r="NGK158" s="274"/>
      <c r="NGL158" s="274"/>
      <c r="NGM158" s="274"/>
      <c r="NGN158" s="273"/>
      <c r="NGO158" s="274"/>
      <c r="NGP158" s="274"/>
      <c r="NGQ158" s="274"/>
      <c r="NGR158" s="274"/>
      <c r="NGS158" s="274"/>
      <c r="NGT158" s="273"/>
      <c r="NGU158" s="274"/>
      <c r="NGV158" s="274"/>
      <c r="NGW158" s="274"/>
      <c r="NGX158" s="274"/>
      <c r="NGY158" s="274"/>
      <c r="NGZ158" s="273"/>
      <c r="NHA158" s="274"/>
      <c r="NHB158" s="274"/>
      <c r="NHC158" s="274"/>
      <c r="NHD158" s="274"/>
      <c r="NHE158" s="274"/>
      <c r="NHF158" s="273"/>
      <c r="NHG158" s="274"/>
      <c r="NHH158" s="274"/>
      <c r="NHI158" s="274"/>
      <c r="NHJ158" s="274"/>
      <c r="NHK158" s="274"/>
      <c r="NHL158" s="273"/>
      <c r="NHM158" s="274"/>
      <c r="NHN158" s="274"/>
      <c r="NHO158" s="274"/>
      <c r="NHP158" s="274"/>
      <c r="NHQ158" s="274"/>
      <c r="NHR158" s="273"/>
      <c r="NHS158" s="274"/>
      <c r="NHT158" s="274"/>
      <c r="NHU158" s="274"/>
      <c r="NHV158" s="274"/>
      <c r="NHW158" s="274"/>
      <c r="NHX158" s="273"/>
      <c r="NHY158" s="274"/>
      <c r="NHZ158" s="274"/>
      <c r="NIA158" s="274"/>
      <c r="NIB158" s="274"/>
      <c r="NIC158" s="274"/>
      <c r="NID158" s="273"/>
      <c r="NIE158" s="274"/>
      <c r="NIF158" s="274"/>
      <c r="NIG158" s="274"/>
      <c r="NIH158" s="274"/>
      <c r="NII158" s="274"/>
      <c r="NIJ158" s="273"/>
      <c r="NIK158" s="274"/>
      <c r="NIL158" s="274"/>
      <c r="NIM158" s="274"/>
      <c r="NIN158" s="274"/>
      <c r="NIO158" s="274"/>
      <c r="NIP158" s="273"/>
      <c r="NIQ158" s="274"/>
      <c r="NIR158" s="274"/>
      <c r="NIS158" s="274"/>
      <c r="NIT158" s="274"/>
      <c r="NIU158" s="274"/>
      <c r="NIV158" s="273"/>
      <c r="NIW158" s="274"/>
      <c r="NIX158" s="274"/>
      <c r="NIY158" s="274"/>
      <c r="NIZ158" s="274"/>
      <c r="NJA158" s="274"/>
      <c r="NJB158" s="273"/>
      <c r="NJC158" s="274"/>
      <c r="NJD158" s="274"/>
      <c r="NJE158" s="274"/>
      <c r="NJF158" s="274"/>
      <c r="NJG158" s="274"/>
      <c r="NJH158" s="273"/>
      <c r="NJI158" s="274"/>
      <c r="NJJ158" s="274"/>
      <c r="NJK158" s="274"/>
      <c r="NJL158" s="274"/>
      <c r="NJM158" s="274"/>
      <c r="NJN158" s="273"/>
      <c r="NJO158" s="274"/>
      <c r="NJP158" s="274"/>
      <c r="NJQ158" s="274"/>
      <c r="NJR158" s="274"/>
      <c r="NJS158" s="274"/>
      <c r="NJT158" s="273"/>
      <c r="NJU158" s="274"/>
      <c r="NJV158" s="274"/>
      <c r="NJW158" s="274"/>
      <c r="NJX158" s="274"/>
      <c r="NJY158" s="274"/>
      <c r="NJZ158" s="273"/>
      <c r="NKA158" s="274"/>
      <c r="NKB158" s="274"/>
      <c r="NKC158" s="274"/>
      <c r="NKD158" s="274"/>
      <c r="NKE158" s="274"/>
      <c r="NKF158" s="273"/>
      <c r="NKG158" s="274"/>
      <c r="NKH158" s="274"/>
      <c r="NKI158" s="274"/>
      <c r="NKJ158" s="274"/>
      <c r="NKK158" s="274"/>
      <c r="NKL158" s="273"/>
      <c r="NKM158" s="274"/>
      <c r="NKN158" s="274"/>
      <c r="NKO158" s="274"/>
      <c r="NKP158" s="274"/>
      <c r="NKQ158" s="274"/>
      <c r="NKR158" s="273"/>
      <c r="NKS158" s="274"/>
      <c r="NKT158" s="274"/>
      <c r="NKU158" s="274"/>
      <c r="NKV158" s="274"/>
      <c r="NKW158" s="274"/>
      <c r="NKX158" s="273"/>
      <c r="NKY158" s="274"/>
      <c r="NKZ158" s="274"/>
      <c r="NLA158" s="274"/>
      <c r="NLB158" s="274"/>
      <c r="NLC158" s="274"/>
      <c r="NLD158" s="273"/>
      <c r="NLE158" s="274"/>
      <c r="NLF158" s="274"/>
      <c r="NLG158" s="274"/>
      <c r="NLH158" s="274"/>
      <c r="NLI158" s="274"/>
      <c r="NLJ158" s="273"/>
      <c r="NLK158" s="274"/>
      <c r="NLL158" s="274"/>
      <c r="NLM158" s="274"/>
      <c r="NLN158" s="274"/>
      <c r="NLO158" s="274"/>
      <c r="NLP158" s="273"/>
      <c r="NLQ158" s="274"/>
      <c r="NLR158" s="274"/>
      <c r="NLS158" s="274"/>
      <c r="NLT158" s="274"/>
      <c r="NLU158" s="274"/>
      <c r="NLV158" s="273"/>
      <c r="NLW158" s="274"/>
      <c r="NLX158" s="274"/>
      <c r="NLY158" s="274"/>
      <c r="NLZ158" s="274"/>
      <c r="NMA158" s="274"/>
      <c r="NMB158" s="273"/>
      <c r="NMC158" s="274"/>
      <c r="NMD158" s="274"/>
      <c r="NME158" s="274"/>
      <c r="NMF158" s="274"/>
      <c r="NMG158" s="274"/>
      <c r="NMH158" s="273"/>
      <c r="NMI158" s="274"/>
      <c r="NMJ158" s="274"/>
      <c r="NMK158" s="274"/>
      <c r="NML158" s="274"/>
      <c r="NMM158" s="274"/>
      <c r="NMN158" s="273"/>
      <c r="NMO158" s="274"/>
      <c r="NMP158" s="274"/>
      <c r="NMQ158" s="274"/>
      <c r="NMR158" s="274"/>
      <c r="NMS158" s="274"/>
      <c r="NMT158" s="273"/>
      <c r="NMU158" s="274"/>
      <c r="NMV158" s="274"/>
      <c r="NMW158" s="274"/>
      <c r="NMX158" s="274"/>
      <c r="NMY158" s="274"/>
      <c r="NMZ158" s="273"/>
      <c r="NNA158" s="274"/>
      <c r="NNB158" s="274"/>
      <c r="NNC158" s="274"/>
      <c r="NND158" s="274"/>
      <c r="NNE158" s="274"/>
      <c r="NNF158" s="273"/>
      <c r="NNG158" s="274"/>
      <c r="NNH158" s="274"/>
      <c r="NNI158" s="274"/>
      <c r="NNJ158" s="274"/>
      <c r="NNK158" s="274"/>
      <c r="NNL158" s="273"/>
      <c r="NNM158" s="274"/>
      <c r="NNN158" s="274"/>
      <c r="NNO158" s="274"/>
      <c r="NNP158" s="274"/>
      <c r="NNQ158" s="274"/>
      <c r="NNR158" s="273"/>
      <c r="NNS158" s="274"/>
      <c r="NNT158" s="274"/>
      <c r="NNU158" s="274"/>
      <c r="NNV158" s="274"/>
      <c r="NNW158" s="274"/>
      <c r="NNX158" s="273"/>
      <c r="NNY158" s="274"/>
      <c r="NNZ158" s="274"/>
      <c r="NOA158" s="274"/>
      <c r="NOB158" s="274"/>
      <c r="NOC158" s="274"/>
      <c r="NOD158" s="273"/>
      <c r="NOE158" s="274"/>
      <c r="NOF158" s="274"/>
      <c r="NOG158" s="274"/>
      <c r="NOH158" s="274"/>
      <c r="NOI158" s="274"/>
      <c r="NOJ158" s="273"/>
      <c r="NOK158" s="274"/>
      <c r="NOL158" s="274"/>
      <c r="NOM158" s="274"/>
      <c r="NON158" s="274"/>
      <c r="NOO158" s="274"/>
      <c r="NOP158" s="273"/>
      <c r="NOQ158" s="274"/>
      <c r="NOR158" s="274"/>
      <c r="NOS158" s="274"/>
      <c r="NOT158" s="274"/>
      <c r="NOU158" s="274"/>
      <c r="NOV158" s="273"/>
      <c r="NOW158" s="274"/>
      <c r="NOX158" s="274"/>
      <c r="NOY158" s="274"/>
      <c r="NOZ158" s="274"/>
      <c r="NPA158" s="274"/>
      <c r="NPB158" s="273"/>
      <c r="NPC158" s="274"/>
      <c r="NPD158" s="274"/>
      <c r="NPE158" s="274"/>
      <c r="NPF158" s="274"/>
      <c r="NPG158" s="274"/>
      <c r="NPH158" s="273"/>
      <c r="NPI158" s="274"/>
      <c r="NPJ158" s="274"/>
      <c r="NPK158" s="274"/>
      <c r="NPL158" s="274"/>
      <c r="NPM158" s="274"/>
      <c r="NPN158" s="273"/>
      <c r="NPO158" s="274"/>
      <c r="NPP158" s="274"/>
      <c r="NPQ158" s="274"/>
      <c r="NPR158" s="274"/>
      <c r="NPS158" s="274"/>
      <c r="NPT158" s="273"/>
      <c r="NPU158" s="274"/>
      <c r="NPV158" s="274"/>
      <c r="NPW158" s="274"/>
      <c r="NPX158" s="274"/>
      <c r="NPY158" s="274"/>
      <c r="NPZ158" s="273"/>
      <c r="NQA158" s="274"/>
      <c r="NQB158" s="274"/>
      <c r="NQC158" s="274"/>
      <c r="NQD158" s="274"/>
      <c r="NQE158" s="274"/>
      <c r="NQF158" s="273"/>
      <c r="NQG158" s="274"/>
      <c r="NQH158" s="274"/>
      <c r="NQI158" s="274"/>
      <c r="NQJ158" s="274"/>
      <c r="NQK158" s="274"/>
      <c r="NQL158" s="273"/>
      <c r="NQM158" s="274"/>
      <c r="NQN158" s="274"/>
      <c r="NQO158" s="274"/>
      <c r="NQP158" s="274"/>
      <c r="NQQ158" s="274"/>
      <c r="NQR158" s="273"/>
      <c r="NQS158" s="274"/>
      <c r="NQT158" s="274"/>
      <c r="NQU158" s="274"/>
      <c r="NQV158" s="274"/>
      <c r="NQW158" s="274"/>
      <c r="NQX158" s="273"/>
      <c r="NQY158" s="274"/>
      <c r="NQZ158" s="274"/>
      <c r="NRA158" s="274"/>
      <c r="NRB158" s="274"/>
      <c r="NRC158" s="274"/>
      <c r="NRD158" s="273"/>
      <c r="NRE158" s="274"/>
      <c r="NRF158" s="274"/>
      <c r="NRG158" s="274"/>
      <c r="NRH158" s="274"/>
      <c r="NRI158" s="274"/>
      <c r="NRJ158" s="273"/>
      <c r="NRK158" s="274"/>
      <c r="NRL158" s="274"/>
      <c r="NRM158" s="274"/>
      <c r="NRN158" s="274"/>
      <c r="NRO158" s="274"/>
      <c r="NRP158" s="273"/>
      <c r="NRQ158" s="274"/>
      <c r="NRR158" s="274"/>
      <c r="NRS158" s="274"/>
      <c r="NRT158" s="274"/>
      <c r="NRU158" s="274"/>
      <c r="NRV158" s="273"/>
      <c r="NRW158" s="274"/>
      <c r="NRX158" s="274"/>
      <c r="NRY158" s="274"/>
      <c r="NRZ158" s="274"/>
      <c r="NSA158" s="274"/>
      <c r="NSB158" s="273"/>
      <c r="NSC158" s="274"/>
      <c r="NSD158" s="274"/>
      <c r="NSE158" s="274"/>
      <c r="NSF158" s="274"/>
      <c r="NSG158" s="274"/>
      <c r="NSH158" s="273"/>
      <c r="NSI158" s="274"/>
      <c r="NSJ158" s="274"/>
      <c r="NSK158" s="274"/>
      <c r="NSL158" s="274"/>
      <c r="NSM158" s="274"/>
      <c r="NSN158" s="273"/>
      <c r="NSO158" s="274"/>
      <c r="NSP158" s="274"/>
      <c r="NSQ158" s="274"/>
      <c r="NSR158" s="274"/>
      <c r="NSS158" s="274"/>
      <c r="NST158" s="273"/>
      <c r="NSU158" s="274"/>
      <c r="NSV158" s="274"/>
      <c r="NSW158" s="274"/>
      <c r="NSX158" s="274"/>
      <c r="NSY158" s="274"/>
      <c r="NSZ158" s="273"/>
      <c r="NTA158" s="274"/>
      <c r="NTB158" s="274"/>
      <c r="NTC158" s="274"/>
      <c r="NTD158" s="274"/>
      <c r="NTE158" s="274"/>
      <c r="NTF158" s="273"/>
      <c r="NTG158" s="274"/>
      <c r="NTH158" s="274"/>
      <c r="NTI158" s="274"/>
      <c r="NTJ158" s="274"/>
      <c r="NTK158" s="274"/>
      <c r="NTL158" s="273"/>
      <c r="NTM158" s="274"/>
      <c r="NTN158" s="274"/>
      <c r="NTO158" s="274"/>
      <c r="NTP158" s="274"/>
      <c r="NTQ158" s="274"/>
      <c r="NTR158" s="273"/>
      <c r="NTS158" s="274"/>
      <c r="NTT158" s="274"/>
      <c r="NTU158" s="274"/>
      <c r="NTV158" s="274"/>
      <c r="NTW158" s="274"/>
      <c r="NTX158" s="273"/>
      <c r="NTY158" s="274"/>
      <c r="NTZ158" s="274"/>
      <c r="NUA158" s="274"/>
      <c r="NUB158" s="274"/>
      <c r="NUC158" s="274"/>
      <c r="NUD158" s="273"/>
      <c r="NUE158" s="274"/>
      <c r="NUF158" s="274"/>
      <c r="NUG158" s="274"/>
      <c r="NUH158" s="274"/>
      <c r="NUI158" s="274"/>
      <c r="NUJ158" s="273"/>
      <c r="NUK158" s="274"/>
      <c r="NUL158" s="274"/>
      <c r="NUM158" s="274"/>
      <c r="NUN158" s="274"/>
      <c r="NUO158" s="274"/>
      <c r="NUP158" s="273"/>
      <c r="NUQ158" s="274"/>
      <c r="NUR158" s="274"/>
      <c r="NUS158" s="274"/>
      <c r="NUT158" s="274"/>
      <c r="NUU158" s="274"/>
      <c r="NUV158" s="273"/>
      <c r="NUW158" s="274"/>
      <c r="NUX158" s="274"/>
      <c r="NUY158" s="274"/>
      <c r="NUZ158" s="274"/>
      <c r="NVA158" s="274"/>
      <c r="NVB158" s="273"/>
      <c r="NVC158" s="274"/>
      <c r="NVD158" s="274"/>
      <c r="NVE158" s="274"/>
      <c r="NVF158" s="274"/>
      <c r="NVG158" s="274"/>
      <c r="NVH158" s="273"/>
      <c r="NVI158" s="274"/>
      <c r="NVJ158" s="274"/>
      <c r="NVK158" s="274"/>
      <c r="NVL158" s="274"/>
      <c r="NVM158" s="274"/>
      <c r="NVN158" s="273"/>
      <c r="NVO158" s="274"/>
      <c r="NVP158" s="274"/>
      <c r="NVQ158" s="274"/>
      <c r="NVR158" s="274"/>
      <c r="NVS158" s="274"/>
      <c r="NVT158" s="273"/>
      <c r="NVU158" s="274"/>
      <c r="NVV158" s="274"/>
      <c r="NVW158" s="274"/>
      <c r="NVX158" s="274"/>
      <c r="NVY158" s="274"/>
      <c r="NVZ158" s="273"/>
      <c r="NWA158" s="274"/>
      <c r="NWB158" s="274"/>
      <c r="NWC158" s="274"/>
      <c r="NWD158" s="274"/>
      <c r="NWE158" s="274"/>
      <c r="NWF158" s="273"/>
      <c r="NWG158" s="274"/>
      <c r="NWH158" s="274"/>
      <c r="NWI158" s="274"/>
      <c r="NWJ158" s="274"/>
      <c r="NWK158" s="274"/>
      <c r="NWL158" s="273"/>
      <c r="NWM158" s="274"/>
      <c r="NWN158" s="274"/>
      <c r="NWO158" s="274"/>
      <c r="NWP158" s="274"/>
      <c r="NWQ158" s="274"/>
      <c r="NWR158" s="273"/>
      <c r="NWS158" s="274"/>
      <c r="NWT158" s="274"/>
      <c r="NWU158" s="274"/>
      <c r="NWV158" s="274"/>
      <c r="NWW158" s="274"/>
      <c r="NWX158" s="273"/>
      <c r="NWY158" s="274"/>
      <c r="NWZ158" s="274"/>
      <c r="NXA158" s="274"/>
      <c r="NXB158" s="274"/>
      <c r="NXC158" s="274"/>
      <c r="NXD158" s="273"/>
      <c r="NXE158" s="274"/>
      <c r="NXF158" s="274"/>
      <c r="NXG158" s="274"/>
      <c r="NXH158" s="274"/>
      <c r="NXI158" s="274"/>
      <c r="NXJ158" s="273"/>
      <c r="NXK158" s="274"/>
      <c r="NXL158" s="274"/>
      <c r="NXM158" s="274"/>
      <c r="NXN158" s="274"/>
      <c r="NXO158" s="274"/>
      <c r="NXP158" s="273"/>
      <c r="NXQ158" s="274"/>
      <c r="NXR158" s="274"/>
      <c r="NXS158" s="274"/>
      <c r="NXT158" s="274"/>
      <c r="NXU158" s="274"/>
      <c r="NXV158" s="273"/>
      <c r="NXW158" s="274"/>
      <c r="NXX158" s="274"/>
      <c r="NXY158" s="274"/>
      <c r="NXZ158" s="274"/>
      <c r="NYA158" s="274"/>
      <c r="NYB158" s="273"/>
      <c r="NYC158" s="274"/>
      <c r="NYD158" s="274"/>
      <c r="NYE158" s="274"/>
      <c r="NYF158" s="274"/>
      <c r="NYG158" s="274"/>
      <c r="NYH158" s="273"/>
      <c r="NYI158" s="274"/>
      <c r="NYJ158" s="274"/>
      <c r="NYK158" s="274"/>
      <c r="NYL158" s="274"/>
      <c r="NYM158" s="274"/>
      <c r="NYN158" s="273"/>
      <c r="NYO158" s="274"/>
      <c r="NYP158" s="274"/>
      <c r="NYQ158" s="274"/>
      <c r="NYR158" s="274"/>
      <c r="NYS158" s="274"/>
      <c r="NYT158" s="273"/>
      <c r="NYU158" s="274"/>
      <c r="NYV158" s="274"/>
      <c r="NYW158" s="274"/>
      <c r="NYX158" s="274"/>
      <c r="NYY158" s="274"/>
      <c r="NYZ158" s="273"/>
      <c r="NZA158" s="274"/>
      <c r="NZB158" s="274"/>
      <c r="NZC158" s="274"/>
      <c r="NZD158" s="274"/>
      <c r="NZE158" s="274"/>
      <c r="NZF158" s="273"/>
      <c r="NZG158" s="274"/>
      <c r="NZH158" s="274"/>
      <c r="NZI158" s="274"/>
      <c r="NZJ158" s="274"/>
      <c r="NZK158" s="274"/>
      <c r="NZL158" s="273"/>
      <c r="NZM158" s="274"/>
      <c r="NZN158" s="274"/>
      <c r="NZO158" s="274"/>
      <c r="NZP158" s="274"/>
      <c r="NZQ158" s="274"/>
      <c r="NZR158" s="273"/>
      <c r="NZS158" s="274"/>
      <c r="NZT158" s="274"/>
      <c r="NZU158" s="274"/>
      <c r="NZV158" s="274"/>
      <c r="NZW158" s="274"/>
      <c r="NZX158" s="273"/>
      <c r="NZY158" s="274"/>
      <c r="NZZ158" s="274"/>
      <c r="OAA158" s="274"/>
      <c r="OAB158" s="274"/>
      <c r="OAC158" s="274"/>
      <c r="OAD158" s="273"/>
      <c r="OAE158" s="274"/>
      <c r="OAF158" s="274"/>
      <c r="OAG158" s="274"/>
      <c r="OAH158" s="274"/>
      <c r="OAI158" s="274"/>
      <c r="OAJ158" s="273"/>
      <c r="OAK158" s="274"/>
      <c r="OAL158" s="274"/>
      <c r="OAM158" s="274"/>
      <c r="OAN158" s="274"/>
      <c r="OAO158" s="274"/>
      <c r="OAP158" s="273"/>
      <c r="OAQ158" s="274"/>
      <c r="OAR158" s="274"/>
      <c r="OAS158" s="274"/>
      <c r="OAT158" s="274"/>
      <c r="OAU158" s="274"/>
      <c r="OAV158" s="273"/>
      <c r="OAW158" s="274"/>
      <c r="OAX158" s="274"/>
      <c r="OAY158" s="274"/>
      <c r="OAZ158" s="274"/>
      <c r="OBA158" s="274"/>
      <c r="OBB158" s="273"/>
      <c r="OBC158" s="274"/>
      <c r="OBD158" s="274"/>
      <c r="OBE158" s="274"/>
      <c r="OBF158" s="274"/>
      <c r="OBG158" s="274"/>
      <c r="OBH158" s="273"/>
      <c r="OBI158" s="274"/>
      <c r="OBJ158" s="274"/>
      <c r="OBK158" s="274"/>
      <c r="OBL158" s="274"/>
      <c r="OBM158" s="274"/>
      <c r="OBN158" s="273"/>
      <c r="OBO158" s="274"/>
      <c r="OBP158" s="274"/>
      <c r="OBQ158" s="274"/>
      <c r="OBR158" s="274"/>
      <c r="OBS158" s="274"/>
      <c r="OBT158" s="273"/>
      <c r="OBU158" s="274"/>
      <c r="OBV158" s="274"/>
      <c r="OBW158" s="274"/>
      <c r="OBX158" s="274"/>
      <c r="OBY158" s="274"/>
      <c r="OBZ158" s="273"/>
      <c r="OCA158" s="274"/>
      <c r="OCB158" s="274"/>
      <c r="OCC158" s="274"/>
      <c r="OCD158" s="274"/>
      <c r="OCE158" s="274"/>
      <c r="OCF158" s="273"/>
      <c r="OCG158" s="274"/>
      <c r="OCH158" s="274"/>
      <c r="OCI158" s="274"/>
      <c r="OCJ158" s="274"/>
      <c r="OCK158" s="274"/>
      <c r="OCL158" s="273"/>
      <c r="OCM158" s="274"/>
      <c r="OCN158" s="274"/>
      <c r="OCO158" s="274"/>
      <c r="OCP158" s="274"/>
      <c r="OCQ158" s="274"/>
      <c r="OCR158" s="273"/>
      <c r="OCS158" s="274"/>
      <c r="OCT158" s="274"/>
      <c r="OCU158" s="274"/>
      <c r="OCV158" s="274"/>
      <c r="OCW158" s="274"/>
      <c r="OCX158" s="273"/>
      <c r="OCY158" s="274"/>
      <c r="OCZ158" s="274"/>
      <c r="ODA158" s="274"/>
      <c r="ODB158" s="274"/>
      <c r="ODC158" s="274"/>
      <c r="ODD158" s="273"/>
      <c r="ODE158" s="274"/>
      <c r="ODF158" s="274"/>
      <c r="ODG158" s="274"/>
      <c r="ODH158" s="274"/>
      <c r="ODI158" s="274"/>
      <c r="ODJ158" s="273"/>
      <c r="ODK158" s="274"/>
      <c r="ODL158" s="274"/>
      <c r="ODM158" s="274"/>
      <c r="ODN158" s="274"/>
      <c r="ODO158" s="274"/>
      <c r="ODP158" s="273"/>
      <c r="ODQ158" s="274"/>
      <c r="ODR158" s="274"/>
      <c r="ODS158" s="274"/>
      <c r="ODT158" s="274"/>
      <c r="ODU158" s="274"/>
      <c r="ODV158" s="273"/>
      <c r="ODW158" s="274"/>
      <c r="ODX158" s="274"/>
      <c r="ODY158" s="274"/>
      <c r="ODZ158" s="274"/>
      <c r="OEA158" s="274"/>
      <c r="OEB158" s="273"/>
      <c r="OEC158" s="274"/>
      <c r="OED158" s="274"/>
      <c r="OEE158" s="274"/>
      <c r="OEF158" s="274"/>
      <c r="OEG158" s="274"/>
      <c r="OEH158" s="273"/>
      <c r="OEI158" s="274"/>
      <c r="OEJ158" s="274"/>
      <c r="OEK158" s="274"/>
      <c r="OEL158" s="274"/>
      <c r="OEM158" s="274"/>
      <c r="OEN158" s="273"/>
      <c r="OEO158" s="274"/>
      <c r="OEP158" s="274"/>
      <c r="OEQ158" s="274"/>
      <c r="OER158" s="274"/>
      <c r="OES158" s="274"/>
      <c r="OET158" s="273"/>
      <c r="OEU158" s="274"/>
      <c r="OEV158" s="274"/>
      <c r="OEW158" s="274"/>
      <c r="OEX158" s="274"/>
      <c r="OEY158" s="274"/>
      <c r="OEZ158" s="273"/>
      <c r="OFA158" s="274"/>
      <c r="OFB158" s="274"/>
      <c r="OFC158" s="274"/>
      <c r="OFD158" s="274"/>
      <c r="OFE158" s="274"/>
      <c r="OFF158" s="273"/>
      <c r="OFG158" s="274"/>
      <c r="OFH158" s="274"/>
      <c r="OFI158" s="274"/>
      <c r="OFJ158" s="274"/>
      <c r="OFK158" s="274"/>
      <c r="OFL158" s="273"/>
      <c r="OFM158" s="274"/>
      <c r="OFN158" s="274"/>
      <c r="OFO158" s="274"/>
      <c r="OFP158" s="274"/>
      <c r="OFQ158" s="274"/>
      <c r="OFR158" s="273"/>
      <c r="OFS158" s="274"/>
      <c r="OFT158" s="274"/>
      <c r="OFU158" s="274"/>
      <c r="OFV158" s="274"/>
      <c r="OFW158" s="274"/>
      <c r="OFX158" s="273"/>
      <c r="OFY158" s="274"/>
      <c r="OFZ158" s="274"/>
      <c r="OGA158" s="274"/>
      <c r="OGB158" s="274"/>
      <c r="OGC158" s="274"/>
      <c r="OGD158" s="273"/>
      <c r="OGE158" s="274"/>
      <c r="OGF158" s="274"/>
      <c r="OGG158" s="274"/>
      <c r="OGH158" s="274"/>
      <c r="OGI158" s="274"/>
      <c r="OGJ158" s="273"/>
      <c r="OGK158" s="274"/>
      <c r="OGL158" s="274"/>
      <c r="OGM158" s="274"/>
      <c r="OGN158" s="274"/>
      <c r="OGO158" s="274"/>
      <c r="OGP158" s="273"/>
      <c r="OGQ158" s="274"/>
      <c r="OGR158" s="274"/>
      <c r="OGS158" s="274"/>
      <c r="OGT158" s="274"/>
      <c r="OGU158" s="274"/>
      <c r="OGV158" s="273"/>
      <c r="OGW158" s="274"/>
      <c r="OGX158" s="274"/>
      <c r="OGY158" s="274"/>
      <c r="OGZ158" s="274"/>
      <c r="OHA158" s="274"/>
      <c r="OHB158" s="273"/>
      <c r="OHC158" s="274"/>
      <c r="OHD158" s="274"/>
      <c r="OHE158" s="274"/>
      <c r="OHF158" s="274"/>
      <c r="OHG158" s="274"/>
      <c r="OHH158" s="273"/>
      <c r="OHI158" s="274"/>
      <c r="OHJ158" s="274"/>
      <c r="OHK158" s="274"/>
      <c r="OHL158" s="274"/>
      <c r="OHM158" s="274"/>
      <c r="OHN158" s="273"/>
      <c r="OHO158" s="274"/>
      <c r="OHP158" s="274"/>
      <c r="OHQ158" s="274"/>
      <c r="OHR158" s="274"/>
      <c r="OHS158" s="274"/>
      <c r="OHT158" s="273"/>
      <c r="OHU158" s="274"/>
      <c r="OHV158" s="274"/>
      <c r="OHW158" s="274"/>
      <c r="OHX158" s="274"/>
      <c r="OHY158" s="274"/>
      <c r="OHZ158" s="273"/>
      <c r="OIA158" s="274"/>
      <c r="OIB158" s="274"/>
      <c r="OIC158" s="274"/>
      <c r="OID158" s="274"/>
      <c r="OIE158" s="274"/>
      <c r="OIF158" s="273"/>
      <c r="OIG158" s="274"/>
      <c r="OIH158" s="274"/>
      <c r="OII158" s="274"/>
      <c r="OIJ158" s="274"/>
      <c r="OIK158" s="274"/>
      <c r="OIL158" s="273"/>
      <c r="OIM158" s="274"/>
      <c r="OIN158" s="274"/>
      <c r="OIO158" s="274"/>
      <c r="OIP158" s="274"/>
      <c r="OIQ158" s="274"/>
      <c r="OIR158" s="273"/>
      <c r="OIS158" s="274"/>
      <c r="OIT158" s="274"/>
      <c r="OIU158" s="274"/>
      <c r="OIV158" s="274"/>
      <c r="OIW158" s="274"/>
      <c r="OIX158" s="273"/>
      <c r="OIY158" s="274"/>
      <c r="OIZ158" s="274"/>
      <c r="OJA158" s="274"/>
      <c r="OJB158" s="274"/>
      <c r="OJC158" s="274"/>
      <c r="OJD158" s="273"/>
      <c r="OJE158" s="274"/>
      <c r="OJF158" s="274"/>
      <c r="OJG158" s="274"/>
      <c r="OJH158" s="274"/>
      <c r="OJI158" s="274"/>
      <c r="OJJ158" s="273"/>
      <c r="OJK158" s="274"/>
      <c r="OJL158" s="274"/>
      <c r="OJM158" s="274"/>
      <c r="OJN158" s="274"/>
      <c r="OJO158" s="274"/>
      <c r="OJP158" s="273"/>
      <c r="OJQ158" s="274"/>
      <c r="OJR158" s="274"/>
      <c r="OJS158" s="274"/>
      <c r="OJT158" s="274"/>
      <c r="OJU158" s="274"/>
      <c r="OJV158" s="273"/>
      <c r="OJW158" s="274"/>
      <c r="OJX158" s="274"/>
      <c r="OJY158" s="274"/>
      <c r="OJZ158" s="274"/>
      <c r="OKA158" s="274"/>
      <c r="OKB158" s="273"/>
      <c r="OKC158" s="274"/>
      <c r="OKD158" s="274"/>
      <c r="OKE158" s="274"/>
      <c r="OKF158" s="274"/>
      <c r="OKG158" s="274"/>
      <c r="OKH158" s="273"/>
      <c r="OKI158" s="274"/>
      <c r="OKJ158" s="274"/>
      <c r="OKK158" s="274"/>
      <c r="OKL158" s="274"/>
      <c r="OKM158" s="274"/>
      <c r="OKN158" s="273"/>
      <c r="OKO158" s="274"/>
      <c r="OKP158" s="274"/>
      <c r="OKQ158" s="274"/>
      <c r="OKR158" s="274"/>
      <c r="OKS158" s="274"/>
      <c r="OKT158" s="273"/>
      <c r="OKU158" s="274"/>
      <c r="OKV158" s="274"/>
      <c r="OKW158" s="274"/>
      <c r="OKX158" s="274"/>
      <c r="OKY158" s="274"/>
      <c r="OKZ158" s="273"/>
      <c r="OLA158" s="274"/>
      <c r="OLB158" s="274"/>
      <c r="OLC158" s="274"/>
      <c r="OLD158" s="274"/>
      <c r="OLE158" s="274"/>
      <c r="OLF158" s="273"/>
      <c r="OLG158" s="274"/>
      <c r="OLH158" s="274"/>
      <c r="OLI158" s="274"/>
      <c r="OLJ158" s="274"/>
      <c r="OLK158" s="274"/>
      <c r="OLL158" s="273"/>
      <c r="OLM158" s="274"/>
      <c r="OLN158" s="274"/>
      <c r="OLO158" s="274"/>
      <c r="OLP158" s="274"/>
      <c r="OLQ158" s="274"/>
      <c r="OLR158" s="273"/>
      <c r="OLS158" s="274"/>
      <c r="OLT158" s="274"/>
      <c r="OLU158" s="274"/>
      <c r="OLV158" s="274"/>
      <c r="OLW158" s="274"/>
      <c r="OLX158" s="273"/>
      <c r="OLY158" s="274"/>
      <c r="OLZ158" s="274"/>
      <c r="OMA158" s="274"/>
      <c r="OMB158" s="274"/>
      <c r="OMC158" s="274"/>
      <c r="OMD158" s="273"/>
      <c r="OME158" s="274"/>
      <c r="OMF158" s="274"/>
      <c r="OMG158" s="274"/>
      <c r="OMH158" s="274"/>
      <c r="OMI158" s="274"/>
      <c r="OMJ158" s="273"/>
      <c r="OMK158" s="274"/>
      <c r="OML158" s="274"/>
      <c r="OMM158" s="274"/>
      <c r="OMN158" s="274"/>
      <c r="OMO158" s="274"/>
      <c r="OMP158" s="273"/>
      <c r="OMQ158" s="274"/>
      <c r="OMR158" s="274"/>
      <c r="OMS158" s="274"/>
      <c r="OMT158" s="274"/>
      <c r="OMU158" s="274"/>
      <c r="OMV158" s="273"/>
      <c r="OMW158" s="274"/>
      <c r="OMX158" s="274"/>
      <c r="OMY158" s="274"/>
      <c r="OMZ158" s="274"/>
      <c r="ONA158" s="274"/>
      <c r="ONB158" s="273"/>
      <c r="ONC158" s="274"/>
      <c r="OND158" s="274"/>
      <c r="ONE158" s="274"/>
      <c r="ONF158" s="274"/>
      <c r="ONG158" s="274"/>
      <c r="ONH158" s="273"/>
      <c r="ONI158" s="274"/>
      <c r="ONJ158" s="274"/>
      <c r="ONK158" s="274"/>
      <c r="ONL158" s="274"/>
      <c r="ONM158" s="274"/>
      <c r="ONN158" s="273"/>
      <c r="ONO158" s="274"/>
      <c r="ONP158" s="274"/>
      <c r="ONQ158" s="274"/>
      <c r="ONR158" s="274"/>
      <c r="ONS158" s="274"/>
      <c r="ONT158" s="273"/>
      <c r="ONU158" s="274"/>
      <c r="ONV158" s="274"/>
      <c r="ONW158" s="274"/>
      <c r="ONX158" s="274"/>
      <c r="ONY158" s="274"/>
      <c r="ONZ158" s="273"/>
      <c r="OOA158" s="274"/>
      <c r="OOB158" s="274"/>
      <c r="OOC158" s="274"/>
      <c r="OOD158" s="274"/>
      <c r="OOE158" s="274"/>
      <c r="OOF158" s="273"/>
      <c r="OOG158" s="274"/>
      <c r="OOH158" s="274"/>
      <c r="OOI158" s="274"/>
      <c r="OOJ158" s="274"/>
      <c r="OOK158" s="274"/>
      <c r="OOL158" s="273"/>
      <c r="OOM158" s="274"/>
      <c r="OON158" s="274"/>
      <c r="OOO158" s="274"/>
      <c r="OOP158" s="274"/>
      <c r="OOQ158" s="274"/>
      <c r="OOR158" s="273"/>
      <c r="OOS158" s="274"/>
      <c r="OOT158" s="274"/>
      <c r="OOU158" s="274"/>
      <c r="OOV158" s="274"/>
      <c r="OOW158" s="274"/>
      <c r="OOX158" s="273"/>
      <c r="OOY158" s="274"/>
      <c r="OOZ158" s="274"/>
      <c r="OPA158" s="274"/>
      <c r="OPB158" s="274"/>
      <c r="OPC158" s="274"/>
      <c r="OPD158" s="273"/>
      <c r="OPE158" s="274"/>
      <c r="OPF158" s="274"/>
      <c r="OPG158" s="274"/>
      <c r="OPH158" s="274"/>
      <c r="OPI158" s="274"/>
      <c r="OPJ158" s="273"/>
      <c r="OPK158" s="274"/>
      <c r="OPL158" s="274"/>
      <c r="OPM158" s="274"/>
      <c r="OPN158" s="274"/>
      <c r="OPO158" s="274"/>
      <c r="OPP158" s="273"/>
      <c r="OPQ158" s="274"/>
      <c r="OPR158" s="274"/>
      <c r="OPS158" s="274"/>
      <c r="OPT158" s="274"/>
      <c r="OPU158" s="274"/>
      <c r="OPV158" s="273"/>
      <c r="OPW158" s="274"/>
      <c r="OPX158" s="274"/>
      <c r="OPY158" s="274"/>
      <c r="OPZ158" s="274"/>
      <c r="OQA158" s="274"/>
      <c r="OQB158" s="273"/>
      <c r="OQC158" s="274"/>
      <c r="OQD158" s="274"/>
      <c r="OQE158" s="274"/>
      <c r="OQF158" s="274"/>
      <c r="OQG158" s="274"/>
      <c r="OQH158" s="273"/>
      <c r="OQI158" s="274"/>
      <c r="OQJ158" s="274"/>
      <c r="OQK158" s="274"/>
      <c r="OQL158" s="274"/>
      <c r="OQM158" s="274"/>
      <c r="OQN158" s="273"/>
      <c r="OQO158" s="274"/>
      <c r="OQP158" s="274"/>
      <c r="OQQ158" s="274"/>
      <c r="OQR158" s="274"/>
      <c r="OQS158" s="274"/>
      <c r="OQT158" s="273"/>
      <c r="OQU158" s="274"/>
      <c r="OQV158" s="274"/>
      <c r="OQW158" s="274"/>
      <c r="OQX158" s="274"/>
      <c r="OQY158" s="274"/>
      <c r="OQZ158" s="273"/>
      <c r="ORA158" s="274"/>
      <c r="ORB158" s="274"/>
      <c r="ORC158" s="274"/>
      <c r="ORD158" s="274"/>
      <c r="ORE158" s="274"/>
      <c r="ORF158" s="273"/>
      <c r="ORG158" s="274"/>
      <c r="ORH158" s="274"/>
      <c r="ORI158" s="274"/>
      <c r="ORJ158" s="274"/>
      <c r="ORK158" s="274"/>
      <c r="ORL158" s="273"/>
      <c r="ORM158" s="274"/>
      <c r="ORN158" s="274"/>
      <c r="ORO158" s="274"/>
      <c r="ORP158" s="274"/>
      <c r="ORQ158" s="274"/>
      <c r="ORR158" s="273"/>
      <c r="ORS158" s="274"/>
      <c r="ORT158" s="274"/>
      <c r="ORU158" s="274"/>
      <c r="ORV158" s="274"/>
      <c r="ORW158" s="274"/>
      <c r="ORX158" s="273"/>
      <c r="ORY158" s="274"/>
      <c r="ORZ158" s="274"/>
      <c r="OSA158" s="274"/>
      <c r="OSB158" s="274"/>
      <c r="OSC158" s="274"/>
      <c r="OSD158" s="273"/>
      <c r="OSE158" s="274"/>
      <c r="OSF158" s="274"/>
      <c r="OSG158" s="274"/>
      <c r="OSH158" s="274"/>
      <c r="OSI158" s="274"/>
      <c r="OSJ158" s="273"/>
      <c r="OSK158" s="274"/>
      <c r="OSL158" s="274"/>
      <c r="OSM158" s="274"/>
      <c r="OSN158" s="274"/>
      <c r="OSO158" s="274"/>
      <c r="OSP158" s="273"/>
      <c r="OSQ158" s="274"/>
      <c r="OSR158" s="274"/>
      <c r="OSS158" s="274"/>
      <c r="OST158" s="274"/>
      <c r="OSU158" s="274"/>
      <c r="OSV158" s="273"/>
      <c r="OSW158" s="274"/>
      <c r="OSX158" s="274"/>
      <c r="OSY158" s="274"/>
      <c r="OSZ158" s="274"/>
      <c r="OTA158" s="274"/>
      <c r="OTB158" s="273"/>
      <c r="OTC158" s="274"/>
      <c r="OTD158" s="274"/>
      <c r="OTE158" s="274"/>
      <c r="OTF158" s="274"/>
      <c r="OTG158" s="274"/>
      <c r="OTH158" s="273"/>
      <c r="OTI158" s="274"/>
      <c r="OTJ158" s="274"/>
      <c r="OTK158" s="274"/>
      <c r="OTL158" s="274"/>
      <c r="OTM158" s="274"/>
      <c r="OTN158" s="273"/>
      <c r="OTO158" s="274"/>
      <c r="OTP158" s="274"/>
      <c r="OTQ158" s="274"/>
      <c r="OTR158" s="274"/>
      <c r="OTS158" s="274"/>
      <c r="OTT158" s="273"/>
      <c r="OTU158" s="274"/>
      <c r="OTV158" s="274"/>
      <c r="OTW158" s="274"/>
      <c r="OTX158" s="274"/>
      <c r="OTY158" s="274"/>
      <c r="OTZ158" s="273"/>
      <c r="OUA158" s="274"/>
      <c r="OUB158" s="274"/>
      <c r="OUC158" s="274"/>
      <c r="OUD158" s="274"/>
      <c r="OUE158" s="274"/>
      <c r="OUF158" s="273"/>
      <c r="OUG158" s="274"/>
      <c r="OUH158" s="274"/>
      <c r="OUI158" s="274"/>
      <c r="OUJ158" s="274"/>
      <c r="OUK158" s="274"/>
      <c r="OUL158" s="273"/>
      <c r="OUM158" s="274"/>
      <c r="OUN158" s="274"/>
      <c r="OUO158" s="274"/>
      <c r="OUP158" s="274"/>
      <c r="OUQ158" s="274"/>
      <c r="OUR158" s="273"/>
      <c r="OUS158" s="274"/>
      <c r="OUT158" s="274"/>
      <c r="OUU158" s="274"/>
      <c r="OUV158" s="274"/>
      <c r="OUW158" s="274"/>
      <c r="OUX158" s="273"/>
      <c r="OUY158" s="274"/>
      <c r="OUZ158" s="274"/>
      <c r="OVA158" s="274"/>
      <c r="OVB158" s="274"/>
      <c r="OVC158" s="274"/>
      <c r="OVD158" s="273"/>
      <c r="OVE158" s="274"/>
      <c r="OVF158" s="274"/>
      <c r="OVG158" s="274"/>
      <c r="OVH158" s="274"/>
      <c r="OVI158" s="274"/>
      <c r="OVJ158" s="273"/>
      <c r="OVK158" s="274"/>
      <c r="OVL158" s="274"/>
      <c r="OVM158" s="274"/>
      <c r="OVN158" s="274"/>
      <c r="OVO158" s="274"/>
      <c r="OVP158" s="273"/>
      <c r="OVQ158" s="274"/>
      <c r="OVR158" s="274"/>
      <c r="OVS158" s="274"/>
      <c r="OVT158" s="274"/>
      <c r="OVU158" s="274"/>
      <c r="OVV158" s="273"/>
      <c r="OVW158" s="274"/>
      <c r="OVX158" s="274"/>
      <c r="OVY158" s="274"/>
      <c r="OVZ158" s="274"/>
      <c r="OWA158" s="274"/>
      <c r="OWB158" s="273"/>
      <c r="OWC158" s="274"/>
      <c r="OWD158" s="274"/>
      <c r="OWE158" s="274"/>
      <c r="OWF158" s="274"/>
      <c r="OWG158" s="274"/>
      <c r="OWH158" s="273"/>
      <c r="OWI158" s="274"/>
      <c r="OWJ158" s="274"/>
      <c r="OWK158" s="274"/>
      <c r="OWL158" s="274"/>
      <c r="OWM158" s="274"/>
      <c r="OWN158" s="273"/>
      <c r="OWO158" s="274"/>
      <c r="OWP158" s="274"/>
      <c r="OWQ158" s="274"/>
      <c r="OWR158" s="274"/>
      <c r="OWS158" s="274"/>
      <c r="OWT158" s="273"/>
      <c r="OWU158" s="274"/>
      <c r="OWV158" s="274"/>
      <c r="OWW158" s="274"/>
      <c r="OWX158" s="274"/>
      <c r="OWY158" s="274"/>
      <c r="OWZ158" s="273"/>
      <c r="OXA158" s="274"/>
      <c r="OXB158" s="274"/>
      <c r="OXC158" s="274"/>
      <c r="OXD158" s="274"/>
      <c r="OXE158" s="274"/>
      <c r="OXF158" s="273"/>
      <c r="OXG158" s="274"/>
      <c r="OXH158" s="274"/>
      <c r="OXI158" s="274"/>
      <c r="OXJ158" s="274"/>
      <c r="OXK158" s="274"/>
      <c r="OXL158" s="273"/>
      <c r="OXM158" s="274"/>
      <c r="OXN158" s="274"/>
      <c r="OXO158" s="274"/>
      <c r="OXP158" s="274"/>
      <c r="OXQ158" s="274"/>
      <c r="OXR158" s="273"/>
      <c r="OXS158" s="274"/>
      <c r="OXT158" s="274"/>
      <c r="OXU158" s="274"/>
      <c r="OXV158" s="274"/>
      <c r="OXW158" s="274"/>
      <c r="OXX158" s="273"/>
      <c r="OXY158" s="274"/>
      <c r="OXZ158" s="274"/>
      <c r="OYA158" s="274"/>
      <c r="OYB158" s="274"/>
      <c r="OYC158" s="274"/>
      <c r="OYD158" s="273"/>
      <c r="OYE158" s="274"/>
      <c r="OYF158" s="274"/>
      <c r="OYG158" s="274"/>
      <c r="OYH158" s="274"/>
      <c r="OYI158" s="274"/>
      <c r="OYJ158" s="273"/>
      <c r="OYK158" s="274"/>
      <c r="OYL158" s="274"/>
      <c r="OYM158" s="274"/>
      <c r="OYN158" s="274"/>
      <c r="OYO158" s="274"/>
      <c r="OYP158" s="273"/>
      <c r="OYQ158" s="274"/>
      <c r="OYR158" s="274"/>
      <c r="OYS158" s="274"/>
      <c r="OYT158" s="274"/>
      <c r="OYU158" s="274"/>
      <c r="OYV158" s="273"/>
      <c r="OYW158" s="274"/>
      <c r="OYX158" s="274"/>
      <c r="OYY158" s="274"/>
      <c r="OYZ158" s="274"/>
      <c r="OZA158" s="274"/>
      <c r="OZB158" s="273"/>
      <c r="OZC158" s="274"/>
      <c r="OZD158" s="274"/>
      <c r="OZE158" s="274"/>
      <c r="OZF158" s="274"/>
      <c r="OZG158" s="274"/>
      <c r="OZH158" s="273"/>
      <c r="OZI158" s="274"/>
      <c r="OZJ158" s="274"/>
      <c r="OZK158" s="274"/>
      <c r="OZL158" s="274"/>
      <c r="OZM158" s="274"/>
      <c r="OZN158" s="273"/>
      <c r="OZO158" s="274"/>
      <c r="OZP158" s="274"/>
      <c r="OZQ158" s="274"/>
      <c r="OZR158" s="274"/>
      <c r="OZS158" s="274"/>
      <c r="OZT158" s="273"/>
      <c r="OZU158" s="274"/>
      <c r="OZV158" s="274"/>
      <c r="OZW158" s="274"/>
      <c r="OZX158" s="274"/>
      <c r="OZY158" s="274"/>
      <c r="OZZ158" s="273"/>
      <c r="PAA158" s="274"/>
      <c r="PAB158" s="274"/>
      <c r="PAC158" s="274"/>
      <c r="PAD158" s="274"/>
      <c r="PAE158" s="274"/>
      <c r="PAF158" s="273"/>
      <c r="PAG158" s="274"/>
      <c r="PAH158" s="274"/>
      <c r="PAI158" s="274"/>
      <c r="PAJ158" s="274"/>
      <c r="PAK158" s="274"/>
      <c r="PAL158" s="273"/>
      <c r="PAM158" s="274"/>
      <c r="PAN158" s="274"/>
      <c r="PAO158" s="274"/>
      <c r="PAP158" s="274"/>
      <c r="PAQ158" s="274"/>
      <c r="PAR158" s="273"/>
      <c r="PAS158" s="274"/>
      <c r="PAT158" s="274"/>
      <c r="PAU158" s="274"/>
      <c r="PAV158" s="274"/>
      <c r="PAW158" s="274"/>
      <c r="PAX158" s="273"/>
      <c r="PAY158" s="274"/>
      <c r="PAZ158" s="274"/>
      <c r="PBA158" s="274"/>
      <c r="PBB158" s="274"/>
      <c r="PBC158" s="274"/>
      <c r="PBD158" s="273"/>
      <c r="PBE158" s="274"/>
      <c r="PBF158" s="274"/>
      <c r="PBG158" s="274"/>
      <c r="PBH158" s="274"/>
      <c r="PBI158" s="274"/>
      <c r="PBJ158" s="273"/>
      <c r="PBK158" s="274"/>
      <c r="PBL158" s="274"/>
      <c r="PBM158" s="274"/>
      <c r="PBN158" s="274"/>
      <c r="PBO158" s="274"/>
      <c r="PBP158" s="273"/>
      <c r="PBQ158" s="274"/>
      <c r="PBR158" s="274"/>
      <c r="PBS158" s="274"/>
      <c r="PBT158" s="274"/>
      <c r="PBU158" s="274"/>
      <c r="PBV158" s="273"/>
      <c r="PBW158" s="274"/>
      <c r="PBX158" s="274"/>
      <c r="PBY158" s="274"/>
      <c r="PBZ158" s="274"/>
      <c r="PCA158" s="274"/>
      <c r="PCB158" s="273"/>
      <c r="PCC158" s="274"/>
      <c r="PCD158" s="274"/>
      <c r="PCE158" s="274"/>
      <c r="PCF158" s="274"/>
      <c r="PCG158" s="274"/>
      <c r="PCH158" s="273"/>
      <c r="PCI158" s="274"/>
      <c r="PCJ158" s="274"/>
      <c r="PCK158" s="274"/>
      <c r="PCL158" s="274"/>
      <c r="PCM158" s="274"/>
      <c r="PCN158" s="273"/>
      <c r="PCO158" s="274"/>
      <c r="PCP158" s="274"/>
      <c r="PCQ158" s="274"/>
      <c r="PCR158" s="274"/>
      <c r="PCS158" s="274"/>
      <c r="PCT158" s="273"/>
      <c r="PCU158" s="274"/>
      <c r="PCV158" s="274"/>
      <c r="PCW158" s="274"/>
      <c r="PCX158" s="274"/>
      <c r="PCY158" s="274"/>
      <c r="PCZ158" s="273"/>
      <c r="PDA158" s="274"/>
      <c r="PDB158" s="274"/>
      <c r="PDC158" s="274"/>
      <c r="PDD158" s="274"/>
      <c r="PDE158" s="274"/>
      <c r="PDF158" s="273"/>
      <c r="PDG158" s="274"/>
      <c r="PDH158" s="274"/>
      <c r="PDI158" s="274"/>
      <c r="PDJ158" s="274"/>
      <c r="PDK158" s="274"/>
      <c r="PDL158" s="273"/>
      <c r="PDM158" s="274"/>
      <c r="PDN158" s="274"/>
      <c r="PDO158" s="274"/>
      <c r="PDP158" s="274"/>
      <c r="PDQ158" s="274"/>
      <c r="PDR158" s="273"/>
      <c r="PDS158" s="274"/>
      <c r="PDT158" s="274"/>
      <c r="PDU158" s="274"/>
      <c r="PDV158" s="274"/>
      <c r="PDW158" s="274"/>
      <c r="PDX158" s="273"/>
      <c r="PDY158" s="274"/>
      <c r="PDZ158" s="274"/>
      <c r="PEA158" s="274"/>
      <c r="PEB158" s="274"/>
      <c r="PEC158" s="274"/>
      <c r="PED158" s="273"/>
      <c r="PEE158" s="274"/>
      <c r="PEF158" s="274"/>
      <c r="PEG158" s="274"/>
      <c r="PEH158" s="274"/>
      <c r="PEI158" s="274"/>
      <c r="PEJ158" s="273"/>
      <c r="PEK158" s="274"/>
      <c r="PEL158" s="274"/>
      <c r="PEM158" s="274"/>
      <c r="PEN158" s="274"/>
      <c r="PEO158" s="274"/>
      <c r="PEP158" s="273"/>
      <c r="PEQ158" s="274"/>
      <c r="PER158" s="274"/>
      <c r="PES158" s="274"/>
      <c r="PET158" s="274"/>
      <c r="PEU158" s="274"/>
      <c r="PEV158" s="273"/>
      <c r="PEW158" s="274"/>
      <c r="PEX158" s="274"/>
      <c r="PEY158" s="274"/>
      <c r="PEZ158" s="274"/>
      <c r="PFA158" s="274"/>
      <c r="PFB158" s="273"/>
      <c r="PFC158" s="274"/>
      <c r="PFD158" s="274"/>
      <c r="PFE158" s="274"/>
      <c r="PFF158" s="274"/>
      <c r="PFG158" s="274"/>
      <c r="PFH158" s="273"/>
      <c r="PFI158" s="274"/>
      <c r="PFJ158" s="274"/>
      <c r="PFK158" s="274"/>
      <c r="PFL158" s="274"/>
      <c r="PFM158" s="274"/>
      <c r="PFN158" s="273"/>
      <c r="PFO158" s="274"/>
      <c r="PFP158" s="274"/>
      <c r="PFQ158" s="274"/>
      <c r="PFR158" s="274"/>
      <c r="PFS158" s="274"/>
      <c r="PFT158" s="273"/>
      <c r="PFU158" s="274"/>
      <c r="PFV158" s="274"/>
      <c r="PFW158" s="274"/>
      <c r="PFX158" s="274"/>
      <c r="PFY158" s="274"/>
      <c r="PFZ158" s="273"/>
      <c r="PGA158" s="274"/>
      <c r="PGB158" s="274"/>
      <c r="PGC158" s="274"/>
      <c r="PGD158" s="274"/>
      <c r="PGE158" s="274"/>
      <c r="PGF158" s="273"/>
      <c r="PGG158" s="274"/>
      <c r="PGH158" s="274"/>
      <c r="PGI158" s="274"/>
      <c r="PGJ158" s="274"/>
      <c r="PGK158" s="274"/>
      <c r="PGL158" s="273"/>
      <c r="PGM158" s="274"/>
      <c r="PGN158" s="274"/>
      <c r="PGO158" s="274"/>
      <c r="PGP158" s="274"/>
      <c r="PGQ158" s="274"/>
      <c r="PGR158" s="273"/>
      <c r="PGS158" s="274"/>
      <c r="PGT158" s="274"/>
      <c r="PGU158" s="274"/>
      <c r="PGV158" s="274"/>
      <c r="PGW158" s="274"/>
      <c r="PGX158" s="273"/>
      <c r="PGY158" s="274"/>
      <c r="PGZ158" s="274"/>
      <c r="PHA158" s="274"/>
      <c r="PHB158" s="274"/>
      <c r="PHC158" s="274"/>
      <c r="PHD158" s="273"/>
      <c r="PHE158" s="274"/>
      <c r="PHF158" s="274"/>
      <c r="PHG158" s="274"/>
      <c r="PHH158" s="274"/>
      <c r="PHI158" s="274"/>
      <c r="PHJ158" s="273"/>
      <c r="PHK158" s="274"/>
      <c r="PHL158" s="274"/>
      <c r="PHM158" s="274"/>
      <c r="PHN158" s="274"/>
      <c r="PHO158" s="274"/>
      <c r="PHP158" s="273"/>
      <c r="PHQ158" s="274"/>
      <c r="PHR158" s="274"/>
      <c r="PHS158" s="274"/>
      <c r="PHT158" s="274"/>
      <c r="PHU158" s="274"/>
      <c r="PHV158" s="273"/>
      <c r="PHW158" s="274"/>
      <c r="PHX158" s="274"/>
      <c r="PHY158" s="274"/>
      <c r="PHZ158" s="274"/>
      <c r="PIA158" s="274"/>
      <c r="PIB158" s="273"/>
      <c r="PIC158" s="274"/>
      <c r="PID158" s="274"/>
      <c r="PIE158" s="274"/>
      <c r="PIF158" s="274"/>
      <c r="PIG158" s="274"/>
      <c r="PIH158" s="273"/>
      <c r="PII158" s="274"/>
      <c r="PIJ158" s="274"/>
      <c r="PIK158" s="274"/>
      <c r="PIL158" s="274"/>
      <c r="PIM158" s="274"/>
      <c r="PIN158" s="273"/>
      <c r="PIO158" s="274"/>
      <c r="PIP158" s="274"/>
      <c r="PIQ158" s="274"/>
      <c r="PIR158" s="274"/>
      <c r="PIS158" s="274"/>
      <c r="PIT158" s="273"/>
      <c r="PIU158" s="274"/>
      <c r="PIV158" s="274"/>
      <c r="PIW158" s="274"/>
      <c r="PIX158" s="274"/>
      <c r="PIY158" s="274"/>
      <c r="PIZ158" s="273"/>
      <c r="PJA158" s="274"/>
      <c r="PJB158" s="274"/>
      <c r="PJC158" s="274"/>
      <c r="PJD158" s="274"/>
      <c r="PJE158" s="274"/>
      <c r="PJF158" s="273"/>
      <c r="PJG158" s="274"/>
      <c r="PJH158" s="274"/>
      <c r="PJI158" s="274"/>
      <c r="PJJ158" s="274"/>
      <c r="PJK158" s="274"/>
      <c r="PJL158" s="273"/>
      <c r="PJM158" s="274"/>
      <c r="PJN158" s="274"/>
      <c r="PJO158" s="274"/>
      <c r="PJP158" s="274"/>
      <c r="PJQ158" s="274"/>
      <c r="PJR158" s="273"/>
      <c r="PJS158" s="274"/>
      <c r="PJT158" s="274"/>
      <c r="PJU158" s="274"/>
      <c r="PJV158" s="274"/>
      <c r="PJW158" s="274"/>
      <c r="PJX158" s="273"/>
      <c r="PJY158" s="274"/>
      <c r="PJZ158" s="274"/>
      <c r="PKA158" s="274"/>
      <c r="PKB158" s="274"/>
      <c r="PKC158" s="274"/>
      <c r="PKD158" s="273"/>
      <c r="PKE158" s="274"/>
      <c r="PKF158" s="274"/>
      <c r="PKG158" s="274"/>
      <c r="PKH158" s="274"/>
      <c r="PKI158" s="274"/>
      <c r="PKJ158" s="273"/>
      <c r="PKK158" s="274"/>
      <c r="PKL158" s="274"/>
      <c r="PKM158" s="274"/>
      <c r="PKN158" s="274"/>
      <c r="PKO158" s="274"/>
      <c r="PKP158" s="273"/>
      <c r="PKQ158" s="274"/>
      <c r="PKR158" s="274"/>
      <c r="PKS158" s="274"/>
      <c r="PKT158" s="274"/>
      <c r="PKU158" s="274"/>
      <c r="PKV158" s="273"/>
      <c r="PKW158" s="274"/>
      <c r="PKX158" s="274"/>
      <c r="PKY158" s="274"/>
      <c r="PKZ158" s="274"/>
      <c r="PLA158" s="274"/>
      <c r="PLB158" s="273"/>
      <c r="PLC158" s="274"/>
      <c r="PLD158" s="274"/>
      <c r="PLE158" s="274"/>
      <c r="PLF158" s="274"/>
      <c r="PLG158" s="274"/>
      <c r="PLH158" s="273"/>
      <c r="PLI158" s="274"/>
      <c r="PLJ158" s="274"/>
      <c r="PLK158" s="274"/>
      <c r="PLL158" s="274"/>
      <c r="PLM158" s="274"/>
      <c r="PLN158" s="273"/>
      <c r="PLO158" s="274"/>
      <c r="PLP158" s="274"/>
      <c r="PLQ158" s="274"/>
      <c r="PLR158" s="274"/>
      <c r="PLS158" s="274"/>
      <c r="PLT158" s="273"/>
      <c r="PLU158" s="274"/>
      <c r="PLV158" s="274"/>
      <c r="PLW158" s="274"/>
      <c r="PLX158" s="274"/>
      <c r="PLY158" s="274"/>
      <c r="PLZ158" s="273"/>
      <c r="PMA158" s="274"/>
      <c r="PMB158" s="274"/>
      <c r="PMC158" s="274"/>
      <c r="PMD158" s="274"/>
      <c r="PME158" s="274"/>
      <c r="PMF158" s="273"/>
      <c r="PMG158" s="274"/>
      <c r="PMH158" s="274"/>
      <c r="PMI158" s="274"/>
      <c r="PMJ158" s="274"/>
      <c r="PMK158" s="274"/>
      <c r="PML158" s="273"/>
      <c r="PMM158" s="274"/>
      <c r="PMN158" s="274"/>
      <c r="PMO158" s="274"/>
      <c r="PMP158" s="274"/>
      <c r="PMQ158" s="274"/>
      <c r="PMR158" s="273"/>
      <c r="PMS158" s="274"/>
      <c r="PMT158" s="274"/>
      <c r="PMU158" s="274"/>
      <c r="PMV158" s="274"/>
      <c r="PMW158" s="274"/>
      <c r="PMX158" s="273"/>
      <c r="PMY158" s="274"/>
      <c r="PMZ158" s="274"/>
      <c r="PNA158" s="274"/>
      <c r="PNB158" s="274"/>
      <c r="PNC158" s="274"/>
      <c r="PND158" s="273"/>
      <c r="PNE158" s="274"/>
      <c r="PNF158" s="274"/>
      <c r="PNG158" s="274"/>
      <c r="PNH158" s="274"/>
      <c r="PNI158" s="274"/>
      <c r="PNJ158" s="273"/>
      <c r="PNK158" s="274"/>
      <c r="PNL158" s="274"/>
      <c r="PNM158" s="274"/>
      <c r="PNN158" s="274"/>
      <c r="PNO158" s="274"/>
      <c r="PNP158" s="273"/>
      <c r="PNQ158" s="274"/>
      <c r="PNR158" s="274"/>
      <c r="PNS158" s="274"/>
      <c r="PNT158" s="274"/>
      <c r="PNU158" s="274"/>
      <c r="PNV158" s="273"/>
      <c r="PNW158" s="274"/>
      <c r="PNX158" s="274"/>
      <c r="PNY158" s="274"/>
      <c r="PNZ158" s="274"/>
      <c r="POA158" s="274"/>
      <c r="POB158" s="273"/>
      <c r="POC158" s="274"/>
      <c r="POD158" s="274"/>
      <c r="POE158" s="274"/>
      <c r="POF158" s="274"/>
      <c r="POG158" s="274"/>
      <c r="POH158" s="273"/>
      <c r="POI158" s="274"/>
      <c r="POJ158" s="274"/>
      <c r="POK158" s="274"/>
      <c r="POL158" s="274"/>
      <c r="POM158" s="274"/>
      <c r="PON158" s="273"/>
      <c r="POO158" s="274"/>
      <c r="POP158" s="274"/>
      <c r="POQ158" s="274"/>
      <c r="POR158" s="274"/>
      <c r="POS158" s="274"/>
      <c r="POT158" s="273"/>
      <c r="POU158" s="274"/>
      <c r="POV158" s="274"/>
      <c r="POW158" s="274"/>
      <c r="POX158" s="274"/>
      <c r="POY158" s="274"/>
      <c r="POZ158" s="273"/>
      <c r="PPA158" s="274"/>
      <c r="PPB158" s="274"/>
      <c r="PPC158" s="274"/>
      <c r="PPD158" s="274"/>
      <c r="PPE158" s="274"/>
      <c r="PPF158" s="273"/>
      <c r="PPG158" s="274"/>
      <c r="PPH158" s="274"/>
      <c r="PPI158" s="274"/>
      <c r="PPJ158" s="274"/>
      <c r="PPK158" s="274"/>
      <c r="PPL158" s="273"/>
      <c r="PPM158" s="274"/>
      <c r="PPN158" s="274"/>
      <c r="PPO158" s="274"/>
      <c r="PPP158" s="274"/>
      <c r="PPQ158" s="274"/>
      <c r="PPR158" s="273"/>
      <c r="PPS158" s="274"/>
      <c r="PPT158" s="274"/>
      <c r="PPU158" s="274"/>
      <c r="PPV158" s="274"/>
      <c r="PPW158" s="274"/>
      <c r="PPX158" s="273"/>
      <c r="PPY158" s="274"/>
      <c r="PPZ158" s="274"/>
      <c r="PQA158" s="274"/>
      <c r="PQB158" s="274"/>
      <c r="PQC158" s="274"/>
      <c r="PQD158" s="273"/>
      <c r="PQE158" s="274"/>
      <c r="PQF158" s="274"/>
      <c r="PQG158" s="274"/>
      <c r="PQH158" s="274"/>
      <c r="PQI158" s="274"/>
      <c r="PQJ158" s="273"/>
      <c r="PQK158" s="274"/>
      <c r="PQL158" s="274"/>
      <c r="PQM158" s="274"/>
      <c r="PQN158" s="274"/>
      <c r="PQO158" s="274"/>
      <c r="PQP158" s="273"/>
      <c r="PQQ158" s="274"/>
      <c r="PQR158" s="274"/>
      <c r="PQS158" s="274"/>
      <c r="PQT158" s="274"/>
      <c r="PQU158" s="274"/>
      <c r="PQV158" s="273"/>
      <c r="PQW158" s="274"/>
      <c r="PQX158" s="274"/>
      <c r="PQY158" s="274"/>
      <c r="PQZ158" s="274"/>
      <c r="PRA158" s="274"/>
      <c r="PRB158" s="273"/>
      <c r="PRC158" s="274"/>
      <c r="PRD158" s="274"/>
      <c r="PRE158" s="274"/>
      <c r="PRF158" s="274"/>
      <c r="PRG158" s="274"/>
      <c r="PRH158" s="273"/>
      <c r="PRI158" s="274"/>
      <c r="PRJ158" s="274"/>
      <c r="PRK158" s="274"/>
      <c r="PRL158" s="274"/>
      <c r="PRM158" s="274"/>
      <c r="PRN158" s="273"/>
      <c r="PRO158" s="274"/>
      <c r="PRP158" s="274"/>
      <c r="PRQ158" s="274"/>
      <c r="PRR158" s="274"/>
      <c r="PRS158" s="274"/>
      <c r="PRT158" s="273"/>
      <c r="PRU158" s="274"/>
      <c r="PRV158" s="274"/>
      <c r="PRW158" s="274"/>
      <c r="PRX158" s="274"/>
      <c r="PRY158" s="274"/>
      <c r="PRZ158" s="273"/>
      <c r="PSA158" s="274"/>
      <c r="PSB158" s="274"/>
      <c r="PSC158" s="274"/>
      <c r="PSD158" s="274"/>
      <c r="PSE158" s="274"/>
      <c r="PSF158" s="273"/>
      <c r="PSG158" s="274"/>
      <c r="PSH158" s="274"/>
      <c r="PSI158" s="274"/>
      <c r="PSJ158" s="274"/>
      <c r="PSK158" s="274"/>
      <c r="PSL158" s="273"/>
      <c r="PSM158" s="274"/>
      <c r="PSN158" s="274"/>
      <c r="PSO158" s="274"/>
      <c r="PSP158" s="274"/>
      <c r="PSQ158" s="274"/>
      <c r="PSR158" s="273"/>
      <c r="PSS158" s="274"/>
      <c r="PST158" s="274"/>
      <c r="PSU158" s="274"/>
      <c r="PSV158" s="274"/>
      <c r="PSW158" s="274"/>
      <c r="PSX158" s="273"/>
      <c r="PSY158" s="274"/>
      <c r="PSZ158" s="274"/>
      <c r="PTA158" s="274"/>
      <c r="PTB158" s="274"/>
      <c r="PTC158" s="274"/>
      <c r="PTD158" s="273"/>
      <c r="PTE158" s="274"/>
      <c r="PTF158" s="274"/>
      <c r="PTG158" s="274"/>
      <c r="PTH158" s="274"/>
      <c r="PTI158" s="274"/>
      <c r="PTJ158" s="273"/>
      <c r="PTK158" s="274"/>
      <c r="PTL158" s="274"/>
      <c r="PTM158" s="274"/>
      <c r="PTN158" s="274"/>
      <c r="PTO158" s="274"/>
      <c r="PTP158" s="273"/>
      <c r="PTQ158" s="274"/>
      <c r="PTR158" s="274"/>
      <c r="PTS158" s="274"/>
      <c r="PTT158" s="274"/>
      <c r="PTU158" s="274"/>
      <c r="PTV158" s="273"/>
      <c r="PTW158" s="274"/>
      <c r="PTX158" s="274"/>
      <c r="PTY158" s="274"/>
      <c r="PTZ158" s="274"/>
      <c r="PUA158" s="274"/>
      <c r="PUB158" s="273"/>
      <c r="PUC158" s="274"/>
      <c r="PUD158" s="274"/>
      <c r="PUE158" s="274"/>
      <c r="PUF158" s="274"/>
      <c r="PUG158" s="274"/>
      <c r="PUH158" s="273"/>
      <c r="PUI158" s="274"/>
      <c r="PUJ158" s="274"/>
      <c r="PUK158" s="274"/>
      <c r="PUL158" s="274"/>
      <c r="PUM158" s="274"/>
      <c r="PUN158" s="273"/>
      <c r="PUO158" s="274"/>
      <c r="PUP158" s="274"/>
      <c r="PUQ158" s="274"/>
      <c r="PUR158" s="274"/>
      <c r="PUS158" s="274"/>
      <c r="PUT158" s="273"/>
      <c r="PUU158" s="274"/>
      <c r="PUV158" s="274"/>
      <c r="PUW158" s="274"/>
      <c r="PUX158" s="274"/>
      <c r="PUY158" s="274"/>
      <c r="PUZ158" s="273"/>
      <c r="PVA158" s="274"/>
      <c r="PVB158" s="274"/>
      <c r="PVC158" s="274"/>
      <c r="PVD158" s="274"/>
      <c r="PVE158" s="274"/>
      <c r="PVF158" s="273"/>
      <c r="PVG158" s="274"/>
      <c r="PVH158" s="274"/>
      <c r="PVI158" s="274"/>
      <c r="PVJ158" s="274"/>
      <c r="PVK158" s="274"/>
      <c r="PVL158" s="273"/>
      <c r="PVM158" s="274"/>
      <c r="PVN158" s="274"/>
      <c r="PVO158" s="274"/>
      <c r="PVP158" s="274"/>
      <c r="PVQ158" s="274"/>
      <c r="PVR158" s="273"/>
      <c r="PVS158" s="274"/>
      <c r="PVT158" s="274"/>
      <c r="PVU158" s="274"/>
      <c r="PVV158" s="274"/>
      <c r="PVW158" s="274"/>
      <c r="PVX158" s="273"/>
      <c r="PVY158" s="274"/>
      <c r="PVZ158" s="274"/>
      <c r="PWA158" s="274"/>
      <c r="PWB158" s="274"/>
      <c r="PWC158" s="274"/>
      <c r="PWD158" s="273"/>
      <c r="PWE158" s="274"/>
      <c r="PWF158" s="274"/>
      <c r="PWG158" s="274"/>
      <c r="PWH158" s="274"/>
      <c r="PWI158" s="274"/>
      <c r="PWJ158" s="273"/>
      <c r="PWK158" s="274"/>
      <c r="PWL158" s="274"/>
      <c r="PWM158" s="274"/>
      <c r="PWN158" s="274"/>
      <c r="PWO158" s="274"/>
      <c r="PWP158" s="273"/>
      <c r="PWQ158" s="274"/>
      <c r="PWR158" s="274"/>
      <c r="PWS158" s="274"/>
      <c r="PWT158" s="274"/>
      <c r="PWU158" s="274"/>
      <c r="PWV158" s="273"/>
      <c r="PWW158" s="274"/>
      <c r="PWX158" s="274"/>
      <c r="PWY158" s="274"/>
      <c r="PWZ158" s="274"/>
      <c r="PXA158" s="274"/>
      <c r="PXB158" s="273"/>
      <c r="PXC158" s="274"/>
      <c r="PXD158" s="274"/>
      <c r="PXE158" s="274"/>
      <c r="PXF158" s="274"/>
      <c r="PXG158" s="274"/>
      <c r="PXH158" s="273"/>
      <c r="PXI158" s="274"/>
      <c r="PXJ158" s="274"/>
      <c r="PXK158" s="274"/>
      <c r="PXL158" s="274"/>
      <c r="PXM158" s="274"/>
      <c r="PXN158" s="273"/>
      <c r="PXO158" s="274"/>
      <c r="PXP158" s="274"/>
      <c r="PXQ158" s="274"/>
      <c r="PXR158" s="274"/>
      <c r="PXS158" s="274"/>
      <c r="PXT158" s="273"/>
      <c r="PXU158" s="274"/>
      <c r="PXV158" s="274"/>
      <c r="PXW158" s="274"/>
      <c r="PXX158" s="274"/>
      <c r="PXY158" s="274"/>
      <c r="PXZ158" s="273"/>
      <c r="PYA158" s="274"/>
      <c r="PYB158" s="274"/>
      <c r="PYC158" s="274"/>
      <c r="PYD158" s="274"/>
      <c r="PYE158" s="274"/>
      <c r="PYF158" s="273"/>
      <c r="PYG158" s="274"/>
      <c r="PYH158" s="274"/>
      <c r="PYI158" s="274"/>
      <c r="PYJ158" s="274"/>
      <c r="PYK158" s="274"/>
      <c r="PYL158" s="273"/>
      <c r="PYM158" s="274"/>
      <c r="PYN158" s="274"/>
      <c r="PYO158" s="274"/>
      <c r="PYP158" s="274"/>
      <c r="PYQ158" s="274"/>
      <c r="PYR158" s="273"/>
      <c r="PYS158" s="274"/>
      <c r="PYT158" s="274"/>
      <c r="PYU158" s="274"/>
      <c r="PYV158" s="274"/>
      <c r="PYW158" s="274"/>
      <c r="PYX158" s="273"/>
      <c r="PYY158" s="274"/>
      <c r="PYZ158" s="274"/>
      <c r="PZA158" s="274"/>
      <c r="PZB158" s="274"/>
      <c r="PZC158" s="274"/>
      <c r="PZD158" s="273"/>
      <c r="PZE158" s="274"/>
      <c r="PZF158" s="274"/>
      <c r="PZG158" s="274"/>
      <c r="PZH158" s="274"/>
      <c r="PZI158" s="274"/>
      <c r="PZJ158" s="273"/>
      <c r="PZK158" s="274"/>
      <c r="PZL158" s="274"/>
      <c r="PZM158" s="274"/>
      <c r="PZN158" s="274"/>
      <c r="PZO158" s="274"/>
      <c r="PZP158" s="273"/>
      <c r="PZQ158" s="274"/>
      <c r="PZR158" s="274"/>
      <c r="PZS158" s="274"/>
      <c r="PZT158" s="274"/>
      <c r="PZU158" s="274"/>
      <c r="PZV158" s="273"/>
      <c r="PZW158" s="274"/>
      <c r="PZX158" s="274"/>
      <c r="PZY158" s="274"/>
      <c r="PZZ158" s="274"/>
      <c r="QAA158" s="274"/>
      <c r="QAB158" s="273"/>
      <c r="QAC158" s="274"/>
      <c r="QAD158" s="274"/>
      <c r="QAE158" s="274"/>
      <c r="QAF158" s="274"/>
      <c r="QAG158" s="274"/>
      <c r="QAH158" s="273"/>
      <c r="QAI158" s="274"/>
      <c r="QAJ158" s="274"/>
      <c r="QAK158" s="274"/>
      <c r="QAL158" s="274"/>
      <c r="QAM158" s="274"/>
      <c r="QAN158" s="273"/>
      <c r="QAO158" s="274"/>
      <c r="QAP158" s="274"/>
      <c r="QAQ158" s="274"/>
      <c r="QAR158" s="274"/>
      <c r="QAS158" s="274"/>
      <c r="QAT158" s="273"/>
      <c r="QAU158" s="274"/>
      <c r="QAV158" s="274"/>
      <c r="QAW158" s="274"/>
      <c r="QAX158" s="274"/>
      <c r="QAY158" s="274"/>
      <c r="QAZ158" s="273"/>
      <c r="QBA158" s="274"/>
      <c r="QBB158" s="274"/>
      <c r="QBC158" s="274"/>
      <c r="QBD158" s="274"/>
      <c r="QBE158" s="274"/>
      <c r="QBF158" s="273"/>
      <c r="QBG158" s="274"/>
      <c r="QBH158" s="274"/>
      <c r="QBI158" s="274"/>
      <c r="QBJ158" s="274"/>
      <c r="QBK158" s="274"/>
      <c r="QBL158" s="273"/>
      <c r="QBM158" s="274"/>
      <c r="QBN158" s="274"/>
      <c r="QBO158" s="274"/>
      <c r="QBP158" s="274"/>
      <c r="QBQ158" s="274"/>
      <c r="QBR158" s="273"/>
      <c r="QBS158" s="274"/>
      <c r="QBT158" s="274"/>
      <c r="QBU158" s="274"/>
      <c r="QBV158" s="274"/>
      <c r="QBW158" s="274"/>
      <c r="QBX158" s="273"/>
      <c r="QBY158" s="274"/>
      <c r="QBZ158" s="274"/>
      <c r="QCA158" s="274"/>
      <c r="QCB158" s="274"/>
      <c r="QCC158" s="274"/>
      <c r="QCD158" s="273"/>
      <c r="QCE158" s="274"/>
      <c r="QCF158" s="274"/>
      <c r="QCG158" s="274"/>
      <c r="QCH158" s="274"/>
      <c r="QCI158" s="274"/>
      <c r="QCJ158" s="273"/>
      <c r="QCK158" s="274"/>
      <c r="QCL158" s="274"/>
      <c r="QCM158" s="274"/>
      <c r="QCN158" s="274"/>
      <c r="QCO158" s="274"/>
      <c r="QCP158" s="273"/>
      <c r="QCQ158" s="274"/>
      <c r="QCR158" s="274"/>
      <c r="QCS158" s="274"/>
      <c r="QCT158" s="274"/>
      <c r="QCU158" s="274"/>
      <c r="QCV158" s="273"/>
      <c r="QCW158" s="274"/>
      <c r="QCX158" s="274"/>
      <c r="QCY158" s="274"/>
      <c r="QCZ158" s="274"/>
      <c r="QDA158" s="274"/>
      <c r="QDB158" s="273"/>
      <c r="QDC158" s="274"/>
      <c r="QDD158" s="274"/>
      <c r="QDE158" s="274"/>
      <c r="QDF158" s="274"/>
      <c r="QDG158" s="274"/>
      <c r="QDH158" s="273"/>
      <c r="QDI158" s="274"/>
      <c r="QDJ158" s="274"/>
      <c r="QDK158" s="274"/>
      <c r="QDL158" s="274"/>
      <c r="QDM158" s="274"/>
      <c r="QDN158" s="273"/>
      <c r="QDO158" s="274"/>
      <c r="QDP158" s="274"/>
      <c r="QDQ158" s="274"/>
      <c r="QDR158" s="274"/>
      <c r="QDS158" s="274"/>
      <c r="QDT158" s="273"/>
      <c r="QDU158" s="274"/>
      <c r="QDV158" s="274"/>
      <c r="QDW158" s="274"/>
      <c r="QDX158" s="274"/>
      <c r="QDY158" s="274"/>
      <c r="QDZ158" s="273"/>
      <c r="QEA158" s="274"/>
      <c r="QEB158" s="274"/>
      <c r="QEC158" s="274"/>
      <c r="QED158" s="274"/>
      <c r="QEE158" s="274"/>
      <c r="QEF158" s="273"/>
      <c r="QEG158" s="274"/>
      <c r="QEH158" s="274"/>
      <c r="QEI158" s="274"/>
      <c r="QEJ158" s="274"/>
      <c r="QEK158" s="274"/>
      <c r="QEL158" s="273"/>
      <c r="QEM158" s="274"/>
      <c r="QEN158" s="274"/>
      <c r="QEO158" s="274"/>
      <c r="QEP158" s="274"/>
      <c r="QEQ158" s="274"/>
      <c r="QER158" s="273"/>
      <c r="QES158" s="274"/>
      <c r="QET158" s="274"/>
      <c r="QEU158" s="274"/>
      <c r="QEV158" s="274"/>
      <c r="QEW158" s="274"/>
      <c r="QEX158" s="273"/>
      <c r="QEY158" s="274"/>
      <c r="QEZ158" s="274"/>
      <c r="QFA158" s="274"/>
      <c r="QFB158" s="274"/>
      <c r="QFC158" s="274"/>
      <c r="QFD158" s="273"/>
      <c r="QFE158" s="274"/>
      <c r="QFF158" s="274"/>
      <c r="QFG158" s="274"/>
      <c r="QFH158" s="274"/>
      <c r="QFI158" s="274"/>
      <c r="QFJ158" s="273"/>
      <c r="QFK158" s="274"/>
      <c r="QFL158" s="274"/>
      <c r="QFM158" s="274"/>
      <c r="QFN158" s="274"/>
      <c r="QFO158" s="274"/>
      <c r="QFP158" s="273"/>
      <c r="QFQ158" s="274"/>
      <c r="QFR158" s="274"/>
      <c r="QFS158" s="274"/>
      <c r="QFT158" s="274"/>
      <c r="QFU158" s="274"/>
      <c r="QFV158" s="273"/>
      <c r="QFW158" s="274"/>
      <c r="QFX158" s="274"/>
      <c r="QFY158" s="274"/>
      <c r="QFZ158" s="274"/>
      <c r="QGA158" s="274"/>
      <c r="QGB158" s="273"/>
      <c r="QGC158" s="274"/>
      <c r="QGD158" s="274"/>
      <c r="QGE158" s="274"/>
      <c r="QGF158" s="274"/>
      <c r="QGG158" s="274"/>
      <c r="QGH158" s="273"/>
      <c r="QGI158" s="274"/>
      <c r="QGJ158" s="274"/>
      <c r="QGK158" s="274"/>
      <c r="QGL158" s="274"/>
      <c r="QGM158" s="274"/>
      <c r="QGN158" s="273"/>
      <c r="QGO158" s="274"/>
      <c r="QGP158" s="274"/>
      <c r="QGQ158" s="274"/>
      <c r="QGR158" s="274"/>
      <c r="QGS158" s="274"/>
      <c r="QGT158" s="273"/>
      <c r="QGU158" s="274"/>
      <c r="QGV158" s="274"/>
      <c r="QGW158" s="274"/>
      <c r="QGX158" s="274"/>
      <c r="QGY158" s="274"/>
      <c r="QGZ158" s="273"/>
      <c r="QHA158" s="274"/>
      <c r="QHB158" s="274"/>
      <c r="QHC158" s="274"/>
      <c r="QHD158" s="274"/>
      <c r="QHE158" s="274"/>
      <c r="QHF158" s="273"/>
      <c r="QHG158" s="274"/>
      <c r="QHH158" s="274"/>
      <c r="QHI158" s="274"/>
      <c r="QHJ158" s="274"/>
      <c r="QHK158" s="274"/>
      <c r="QHL158" s="273"/>
      <c r="QHM158" s="274"/>
      <c r="QHN158" s="274"/>
      <c r="QHO158" s="274"/>
      <c r="QHP158" s="274"/>
      <c r="QHQ158" s="274"/>
      <c r="QHR158" s="273"/>
      <c r="QHS158" s="274"/>
      <c r="QHT158" s="274"/>
      <c r="QHU158" s="274"/>
      <c r="QHV158" s="274"/>
      <c r="QHW158" s="274"/>
      <c r="QHX158" s="273"/>
      <c r="QHY158" s="274"/>
      <c r="QHZ158" s="274"/>
      <c r="QIA158" s="274"/>
      <c r="QIB158" s="274"/>
      <c r="QIC158" s="274"/>
      <c r="QID158" s="273"/>
      <c r="QIE158" s="274"/>
      <c r="QIF158" s="274"/>
      <c r="QIG158" s="274"/>
      <c r="QIH158" s="274"/>
      <c r="QII158" s="274"/>
      <c r="QIJ158" s="273"/>
      <c r="QIK158" s="274"/>
      <c r="QIL158" s="274"/>
      <c r="QIM158" s="274"/>
      <c r="QIN158" s="274"/>
      <c r="QIO158" s="274"/>
      <c r="QIP158" s="273"/>
      <c r="QIQ158" s="274"/>
      <c r="QIR158" s="274"/>
      <c r="QIS158" s="274"/>
      <c r="QIT158" s="274"/>
      <c r="QIU158" s="274"/>
      <c r="QIV158" s="273"/>
      <c r="QIW158" s="274"/>
      <c r="QIX158" s="274"/>
      <c r="QIY158" s="274"/>
      <c r="QIZ158" s="274"/>
      <c r="QJA158" s="274"/>
      <c r="QJB158" s="273"/>
      <c r="QJC158" s="274"/>
      <c r="QJD158" s="274"/>
      <c r="QJE158" s="274"/>
      <c r="QJF158" s="274"/>
      <c r="QJG158" s="274"/>
      <c r="QJH158" s="273"/>
      <c r="QJI158" s="274"/>
      <c r="QJJ158" s="274"/>
      <c r="QJK158" s="274"/>
      <c r="QJL158" s="274"/>
      <c r="QJM158" s="274"/>
      <c r="QJN158" s="273"/>
      <c r="QJO158" s="274"/>
      <c r="QJP158" s="274"/>
      <c r="QJQ158" s="274"/>
      <c r="QJR158" s="274"/>
      <c r="QJS158" s="274"/>
      <c r="QJT158" s="273"/>
      <c r="QJU158" s="274"/>
      <c r="QJV158" s="274"/>
      <c r="QJW158" s="274"/>
      <c r="QJX158" s="274"/>
      <c r="QJY158" s="274"/>
      <c r="QJZ158" s="273"/>
      <c r="QKA158" s="274"/>
      <c r="QKB158" s="274"/>
      <c r="QKC158" s="274"/>
      <c r="QKD158" s="274"/>
      <c r="QKE158" s="274"/>
      <c r="QKF158" s="273"/>
      <c r="QKG158" s="274"/>
      <c r="QKH158" s="274"/>
      <c r="QKI158" s="274"/>
      <c r="QKJ158" s="274"/>
      <c r="QKK158" s="274"/>
      <c r="QKL158" s="273"/>
      <c r="QKM158" s="274"/>
      <c r="QKN158" s="274"/>
      <c r="QKO158" s="274"/>
      <c r="QKP158" s="274"/>
      <c r="QKQ158" s="274"/>
      <c r="QKR158" s="273"/>
      <c r="QKS158" s="274"/>
      <c r="QKT158" s="274"/>
      <c r="QKU158" s="274"/>
      <c r="QKV158" s="274"/>
      <c r="QKW158" s="274"/>
      <c r="QKX158" s="273"/>
      <c r="QKY158" s="274"/>
      <c r="QKZ158" s="274"/>
      <c r="QLA158" s="274"/>
      <c r="QLB158" s="274"/>
      <c r="QLC158" s="274"/>
      <c r="QLD158" s="273"/>
      <c r="QLE158" s="274"/>
      <c r="QLF158" s="274"/>
      <c r="QLG158" s="274"/>
      <c r="QLH158" s="274"/>
      <c r="QLI158" s="274"/>
      <c r="QLJ158" s="273"/>
      <c r="QLK158" s="274"/>
      <c r="QLL158" s="274"/>
      <c r="QLM158" s="274"/>
      <c r="QLN158" s="274"/>
      <c r="QLO158" s="274"/>
      <c r="QLP158" s="273"/>
      <c r="QLQ158" s="274"/>
      <c r="QLR158" s="274"/>
      <c r="QLS158" s="274"/>
      <c r="QLT158" s="274"/>
      <c r="QLU158" s="274"/>
      <c r="QLV158" s="273"/>
      <c r="QLW158" s="274"/>
      <c r="QLX158" s="274"/>
      <c r="QLY158" s="274"/>
      <c r="QLZ158" s="274"/>
      <c r="QMA158" s="274"/>
      <c r="QMB158" s="273"/>
      <c r="QMC158" s="274"/>
      <c r="QMD158" s="274"/>
      <c r="QME158" s="274"/>
      <c r="QMF158" s="274"/>
      <c r="QMG158" s="274"/>
      <c r="QMH158" s="273"/>
      <c r="QMI158" s="274"/>
      <c r="QMJ158" s="274"/>
      <c r="QMK158" s="274"/>
      <c r="QML158" s="274"/>
      <c r="QMM158" s="274"/>
      <c r="QMN158" s="273"/>
      <c r="QMO158" s="274"/>
      <c r="QMP158" s="274"/>
      <c r="QMQ158" s="274"/>
      <c r="QMR158" s="274"/>
      <c r="QMS158" s="274"/>
      <c r="QMT158" s="273"/>
      <c r="QMU158" s="274"/>
      <c r="QMV158" s="274"/>
      <c r="QMW158" s="274"/>
      <c r="QMX158" s="274"/>
      <c r="QMY158" s="274"/>
      <c r="QMZ158" s="273"/>
      <c r="QNA158" s="274"/>
      <c r="QNB158" s="274"/>
      <c r="QNC158" s="274"/>
      <c r="QND158" s="274"/>
      <c r="QNE158" s="274"/>
      <c r="QNF158" s="273"/>
      <c r="QNG158" s="274"/>
      <c r="QNH158" s="274"/>
      <c r="QNI158" s="274"/>
      <c r="QNJ158" s="274"/>
      <c r="QNK158" s="274"/>
      <c r="QNL158" s="273"/>
      <c r="QNM158" s="274"/>
      <c r="QNN158" s="274"/>
      <c r="QNO158" s="274"/>
      <c r="QNP158" s="274"/>
      <c r="QNQ158" s="274"/>
      <c r="QNR158" s="273"/>
      <c r="QNS158" s="274"/>
      <c r="QNT158" s="274"/>
      <c r="QNU158" s="274"/>
      <c r="QNV158" s="274"/>
      <c r="QNW158" s="274"/>
      <c r="QNX158" s="273"/>
      <c r="QNY158" s="274"/>
      <c r="QNZ158" s="274"/>
      <c r="QOA158" s="274"/>
      <c r="QOB158" s="274"/>
      <c r="QOC158" s="274"/>
      <c r="QOD158" s="273"/>
      <c r="QOE158" s="274"/>
      <c r="QOF158" s="274"/>
      <c r="QOG158" s="274"/>
      <c r="QOH158" s="274"/>
      <c r="QOI158" s="274"/>
      <c r="QOJ158" s="273"/>
      <c r="QOK158" s="274"/>
      <c r="QOL158" s="274"/>
      <c r="QOM158" s="274"/>
      <c r="QON158" s="274"/>
      <c r="QOO158" s="274"/>
      <c r="QOP158" s="273"/>
      <c r="QOQ158" s="274"/>
      <c r="QOR158" s="274"/>
      <c r="QOS158" s="274"/>
      <c r="QOT158" s="274"/>
      <c r="QOU158" s="274"/>
      <c r="QOV158" s="273"/>
      <c r="QOW158" s="274"/>
      <c r="QOX158" s="274"/>
      <c r="QOY158" s="274"/>
      <c r="QOZ158" s="274"/>
      <c r="QPA158" s="274"/>
      <c r="QPB158" s="273"/>
      <c r="QPC158" s="274"/>
      <c r="QPD158" s="274"/>
      <c r="QPE158" s="274"/>
      <c r="QPF158" s="274"/>
      <c r="QPG158" s="274"/>
      <c r="QPH158" s="273"/>
      <c r="QPI158" s="274"/>
      <c r="QPJ158" s="274"/>
      <c r="QPK158" s="274"/>
      <c r="QPL158" s="274"/>
      <c r="QPM158" s="274"/>
      <c r="QPN158" s="273"/>
      <c r="QPO158" s="274"/>
      <c r="QPP158" s="274"/>
      <c r="QPQ158" s="274"/>
      <c r="QPR158" s="274"/>
      <c r="QPS158" s="274"/>
      <c r="QPT158" s="273"/>
      <c r="QPU158" s="274"/>
      <c r="QPV158" s="274"/>
      <c r="QPW158" s="274"/>
      <c r="QPX158" s="274"/>
      <c r="QPY158" s="274"/>
      <c r="QPZ158" s="273"/>
      <c r="QQA158" s="274"/>
      <c r="QQB158" s="274"/>
      <c r="QQC158" s="274"/>
      <c r="QQD158" s="274"/>
      <c r="QQE158" s="274"/>
      <c r="QQF158" s="273"/>
      <c r="QQG158" s="274"/>
      <c r="QQH158" s="274"/>
      <c r="QQI158" s="274"/>
      <c r="QQJ158" s="274"/>
      <c r="QQK158" s="274"/>
      <c r="QQL158" s="273"/>
      <c r="QQM158" s="274"/>
      <c r="QQN158" s="274"/>
      <c r="QQO158" s="274"/>
      <c r="QQP158" s="274"/>
      <c r="QQQ158" s="274"/>
      <c r="QQR158" s="273"/>
      <c r="QQS158" s="274"/>
      <c r="QQT158" s="274"/>
      <c r="QQU158" s="274"/>
      <c r="QQV158" s="274"/>
      <c r="QQW158" s="274"/>
      <c r="QQX158" s="273"/>
      <c r="QQY158" s="274"/>
      <c r="QQZ158" s="274"/>
      <c r="QRA158" s="274"/>
      <c r="QRB158" s="274"/>
      <c r="QRC158" s="274"/>
      <c r="QRD158" s="273"/>
      <c r="QRE158" s="274"/>
      <c r="QRF158" s="274"/>
      <c r="QRG158" s="274"/>
      <c r="QRH158" s="274"/>
      <c r="QRI158" s="274"/>
      <c r="QRJ158" s="273"/>
      <c r="QRK158" s="274"/>
      <c r="QRL158" s="274"/>
      <c r="QRM158" s="274"/>
      <c r="QRN158" s="274"/>
      <c r="QRO158" s="274"/>
      <c r="QRP158" s="273"/>
      <c r="QRQ158" s="274"/>
      <c r="QRR158" s="274"/>
      <c r="QRS158" s="274"/>
      <c r="QRT158" s="274"/>
      <c r="QRU158" s="274"/>
      <c r="QRV158" s="273"/>
      <c r="QRW158" s="274"/>
      <c r="QRX158" s="274"/>
      <c r="QRY158" s="274"/>
      <c r="QRZ158" s="274"/>
      <c r="QSA158" s="274"/>
      <c r="QSB158" s="273"/>
      <c r="QSC158" s="274"/>
      <c r="QSD158" s="274"/>
      <c r="QSE158" s="274"/>
      <c r="QSF158" s="274"/>
      <c r="QSG158" s="274"/>
      <c r="QSH158" s="273"/>
      <c r="QSI158" s="274"/>
      <c r="QSJ158" s="274"/>
      <c r="QSK158" s="274"/>
      <c r="QSL158" s="274"/>
      <c r="QSM158" s="274"/>
      <c r="QSN158" s="273"/>
      <c r="QSO158" s="274"/>
      <c r="QSP158" s="274"/>
      <c r="QSQ158" s="274"/>
      <c r="QSR158" s="274"/>
      <c r="QSS158" s="274"/>
      <c r="QST158" s="273"/>
      <c r="QSU158" s="274"/>
      <c r="QSV158" s="274"/>
      <c r="QSW158" s="274"/>
      <c r="QSX158" s="274"/>
      <c r="QSY158" s="274"/>
      <c r="QSZ158" s="273"/>
      <c r="QTA158" s="274"/>
      <c r="QTB158" s="274"/>
      <c r="QTC158" s="274"/>
      <c r="QTD158" s="274"/>
      <c r="QTE158" s="274"/>
      <c r="QTF158" s="273"/>
      <c r="QTG158" s="274"/>
      <c r="QTH158" s="274"/>
      <c r="QTI158" s="274"/>
      <c r="QTJ158" s="274"/>
      <c r="QTK158" s="274"/>
      <c r="QTL158" s="273"/>
      <c r="QTM158" s="274"/>
      <c r="QTN158" s="274"/>
      <c r="QTO158" s="274"/>
      <c r="QTP158" s="274"/>
      <c r="QTQ158" s="274"/>
      <c r="QTR158" s="273"/>
      <c r="QTS158" s="274"/>
      <c r="QTT158" s="274"/>
      <c r="QTU158" s="274"/>
      <c r="QTV158" s="274"/>
      <c r="QTW158" s="274"/>
      <c r="QTX158" s="273"/>
      <c r="QTY158" s="274"/>
      <c r="QTZ158" s="274"/>
      <c r="QUA158" s="274"/>
      <c r="QUB158" s="274"/>
      <c r="QUC158" s="274"/>
      <c r="QUD158" s="273"/>
      <c r="QUE158" s="274"/>
      <c r="QUF158" s="274"/>
      <c r="QUG158" s="274"/>
      <c r="QUH158" s="274"/>
      <c r="QUI158" s="274"/>
      <c r="QUJ158" s="273"/>
      <c r="QUK158" s="274"/>
      <c r="QUL158" s="274"/>
      <c r="QUM158" s="274"/>
      <c r="QUN158" s="274"/>
      <c r="QUO158" s="274"/>
      <c r="QUP158" s="273"/>
      <c r="QUQ158" s="274"/>
      <c r="QUR158" s="274"/>
      <c r="QUS158" s="274"/>
      <c r="QUT158" s="274"/>
      <c r="QUU158" s="274"/>
      <c r="QUV158" s="273"/>
      <c r="QUW158" s="274"/>
      <c r="QUX158" s="274"/>
      <c r="QUY158" s="274"/>
      <c r="QUZ158" s="274"/>
      <c r="QVA158" s="274"/>
      <c r="QVB158" s="273"/>
      <c r="QVC158" s="274"/>
      <c r="QVD158" s="274"/>
      <c r="QVE158" s="274"/>
      <c r="QVF158" s="274"/>
      <c r="QVG158" s="274"/>
      <c r="QVH158" s="273"/>
      <c r="QVI158" s="274"/>
      <c r="QVJ158" s="274"/>
      <c r="QVK158" s="274"/>
      <c r="QVL158" s="274"/>
      <c r="QVM158" s="274"/>
      <c r="QVN158" s="273"/>
      <c r="QVO158" s="274"/>
      <c r="QVP158" s="274"/>
      <c r="QVQ158" s="274"/>
      <c r="QVR158" s="274"/>
      <c r="QVS158" s="274"/>
      <c r="QVT158" s="273"/>
      <c r="QVU158" s="274"/>
      <c r="QVV158" s="274"/>
      <c r="QVW158" s="274"/>
      <c r="QVX158" s="274"/>
      <c r="QVY158" s="274"/>
      <c r="QVZ158" s="273"/>
      <c r="QWA158" s="274"/>
      <c r="QWB158" s="274"/>
      <c r="QWC158" s="274"/>
      <c r="QWD158" s="274"/>
      <c r="QWE158" s="274"/>
      <c r="QWF158" s="273"/>
      <c r="QWG158" s="274"/>
      <c r="QWH158" s="274"/>
      <c r="QWI158" s="274"/>
      <c r="QWJ158" s="274"/>
      <c r="QWK158" s="274"/>
      <c r="QWL158" s="273"/>
      <c r="QWM158" s="274"/>
      <c r="QWN158" s="274"/>
      <c r="QWO158" s="274"/>
      <c r="QWP158" s="274"/>
      <c r="QWQ158" s="274"/>
      <c r="QWR158" s="273"/>
      <c r="QWS158" s="274"/>
      <c r="QWT158" s="274"/>
      <c r="QWU158" s="274"/>
      <c r="QWV158" s="274"/>
      <c r="QWW158" s="274"/>
      <c r="QWX158" s="273"/>
      <c r="QWY158" s="274"/>
      <c r="QWZ158" s="274"/>
      <c r="QXA158" s="274"/>
      <c r="QXB158" s="274"/>
      <c r="QXC158" s="274"/>
      <c r="QXD158" s="273"/>
      <c r="QXE158" s="274"/>
      <c r="QXF158" s="274"/>
      <c r="QXG158" s="274"/>
      <c r="QXH158" s="274"/>
      <c r="QXI158" s="274"/>
      <c r="QXJ158" s="273"/>
      <c r="QXK158" s="274"/>
      <c r="QXL158" s="274"/>
      <c r="QXM158" s="274"/>
      <c r="QXN158" s="274"/>
      <c r="QXO158" s="274"/>
      <c r="QXP158" s="273"/>
      <c r="QXQ158" s="274"/>
      <c r="QXR158" s="274"/>
      <c r="QXS158" s="274"/>
      <c r="QXT158" s="274"/>
      <c r="QXU158" s="274"/>
      <c r="QXV158" s="273"/>
      <c r="QXW158" s="274"/>
      <c r="QXX158" s="274"/>
      <c r="QXY158" s="274"/>
      <c r="QXZ158" s="274"/>
      <c r="QYA158" s="274"/>
      <c r="QYB158" s="273"/>
      <c r="QYC158" s="274"/>
      <c r="QYD158" s="274"/>
      <c r="QYE158" s="274"/>
      <c r="QYF158" s="274"/>
      <c r="QYG158" s="274"/>
      <c r="QYH158" s="273"/>
      <c r="QYI158" s="274"/>
      <c r="QYJ158" s="274"/>
      <c r="QYK158" s="274"/>
      <c r="QYL158" s="274"/>
      <c r="QYM158" s="274"/>
      <c r="QYN158" s="273"/>
      <c r="QYO158" s="274"/>
      <c r="QYP158" s="274"/>
      <c r="QYQ158" s="274"/>
      <c r="QYR158" s="274"/>
      <c r="QYS158" s="274"/>
      <c r="QYT158" s="273"/>
      <c r="QYU158" s="274"/>
      <c r="QYV158" s="274"/>
      <c r="QYW158" s="274"/>
      <c r="QYX158" s="274"/>
      <c r="QYY158" s="274"/>
      <c r="QYZ158" s="273"/>
      <c r="QZA158" s="274"/>
      <c r="QZB158" s="274"/>
      <c r="QZC158" s="274"/>
      <c r="QZD158" s="274"/>
      <c r="QZE158" s="274"/>
      <c r="QZF158" s="273"/>
      <c r="QZG158" s="274"/>
      <c r="QZH158" s="274"/>
      <c r="QZI158" s="274"/>
      <c r="QZJ158" s="274"/>
      <c r="QZK158" s="274"/>
      <c r="QZL158" s="273"/>
      <c r="QZM158" s="274"/>
      <c r="QZN158" s="274"/>
      <c r="QZO158" s="274"/>
      <c r="QZP158" s="274"/>
      <c r="QZQ158" s="274"/>
      <c r="QZR158" s="273"/>
      <c r="QZS158" s="274"/>
      <c r="QZT158" s="274"/>
      <c r="QZU158" s="274"/>
      <c r="QZV158" s="274"/>
      <c r="QZW158" s="274"/>
      <c r="QZX158" s="273"/>
      <c r="QZY158" s="274"/>
      <c r="QZZ158" s="274"/>
      <c r="RAA158" s="274"/>
      <c r="RAB158" s="274"/>
      <c r="RAC158" s="274"/>
      <c r="RAD158" s="273"/>
      <c r="RAE158" s="274"/>
      <c r="RAF158" s="274"/>
      <c r="RAG158" s="274"/>
      <c r="RAH158" s="274"/>
      <c r="RAI158" s="274"/>
      <c r="RAJ158" s="273"/>
      <c r="RAK158" s="274"/>
      <c r="RAL158" s="274"/>
      <c r="RAM158" s="274"/>
      <c r="RAN158" s="274"/>
      <c r="RAO158" s="274"/>
      <c r="RAP158" s="273"/>
      <c r="RAQ158" s="274"/>
      <c r="RAR158" s="274"/>
      <c r="RAS158" s="274"/>
      <c r="RAT158" s="274"/>
      <c r="RAU158" s="274"/>
      <c r="RAV158" s="273"/>
      <c r="RAW158" s="274"/>
      <c r="RAX158" s="274"/>
      <c r="RAY158" s="274"/>
      <c r="RAZ158" s="274"/>
      <c r="RBA158" s="274"/>
      <c r="RBB158" s="273"/>
      <c r="RBC158" s="274"/>
      <c r="RBD158" s="274"/>
      <c r="RBE158" s="274"/>
      <c r="RBF158" s="274"/>
      <c r="RBG158" s="274"/>
      <c r="RBH158" s="273"/>
      <c r="RBI158" s="274"/>
      <c r="RBJ158" s="274"/>
      <c r="RBK158" s="274"/>
      <c r="RBL158" s="274"/>
      <c r="RBM158" s="274"/>
      <c r="RBN158" s="273"/>
      <c r="RBO158" s="274"/>
      <c r="RBP158" s="274"/>
      <c r="RBQ158" s="274"/>
      <c r="RBR158" s="274"/>
      <c r="RBS158" s="274"/>
      <c r="RBT158" s="273"/>
      <c r="RBU158" s="274"/>
      <c r="RBV158" s="274"/>
      <c r="RBW158" s="274"/>
      <c r="RBX158" s="274"/>
      <c r="RBY158" s="274"/>
      <c r="RBZ158" s="273"/>
      <c r="RCA158" s="274"/>
      <c r="RCB158" s="274"/>
      <c r="RCC158" s="274"/>
      <c r="RCD158" s="274"/>
      <c r="RCE158" s="274"/>
      <c r="RCF158" s="273"/>
      <c r="RCG158" s="274"/>
      <c r="RCH158" s="274"/>
      <c r="RCI158" s="274"/>
      <c r="RCJ158" s="274"/>
      <c r="RCK158" s="274"/>
      <c r="RCL158" s="273"/>
      <c r="RCM158" s="274"/>
      <c r="RCN158" s="274"/>
      <c r="RCO158" s="274"/>
      <c r="RCP158" s="274"/>
      <c r="RCQ158" s="274"/>
      <c r="RCR158" s="273"/>
      <c r="RCS158" s="274"/>
      <c r="RCT158" s="274"/>
      <c r="RCU158" s="274"/>
      <c r="RCV158" s="274"/>
      <c r="RCW158" s="274"/>
      <c r="RCX158" s="273"/>
      <c r="RCY158" s="274"/>
      <c r="RCZ158" s="274"/>
      <c r="RDA158" s="274"/>
      <c r="RDB158" s="274"/>
      <c r="RDC158" s="274"/>
      <c r="RDD158" s="273"/>
      <c r="RDE158" s="274"/>
      <c r="RDF158" s="274"/>
      <c r="RDG158" s="274"/>
      <c r="RDH158" s="274"/>
      <c r="RDI158" s="274"/>
      <c r="RDJ158" s="273"/>
      <c r="RDK158" s="274"/>
      <c r="RDL158" s="274"/>
      <c r="RDM158" s="274"/>
      <c r="RDN158" s="274"/>
      <c r="RDO158" s="274"/>
      <c r="RDP158" s="273"/>
      <c r="RDQ158" s="274"/>
      <c r="RDR158" s="274"/>
      <c r="RDS158" s="274"/>
      <c r="RDT158" s="274"/>
      <c r="RDU158" s="274"/>
      <c r="RDV158" s="273"/>
      <c r="RDW158" s="274"/>
      <c r="RDX158" s="274"/>
      <c r="RDY158" s="274"/>
      <c r="RDZ158" s="274"/>
      <c r="REA158" s="274"/>
      <c r="REB158" s="273"/>
      <c r="REC158" s="274"/>
      <c r="RED158" s="274"/>
      <c r="REE158" s="274"/>
      <c r="REF158" s="274"/>
      <c r="REG158" s="274"/>
      <c r="REH158" s="273"/>
      <c r="REI158" s="274"/>
      <c r="REJ158" s="274"/>
      <c r="REK158" s="274"/>
      <c r="REL158" s="274"/>
      <c r="REM158" s="274"/>
      <c r="REN158" s="273"/>
      <c r="REO158" s="274"/>
      <c r="REP158" s="274"/>
      <c r="REQ158" s="274"/>
      <c r="RER158" s="274"/>
      <c r="RES158" s="274"/>
      <c r="RET158" s="273"/>
      <c r="REU158" s="274"/>
      <c r="REV158" s="274"/>
      <c r="REW158" s="274"/>
      <c r="REX158" s="274"/>
      <c r="REY158" s="274"/>
      <c r="REZ158" s="273"/>
      <c r="RFA158" s="274"/>
      <c r="RFB158" s="274"/>
      <c r="RFC158" s="274"/>
      <c r="RFD158" s="274"/>
      <c r="RFE158" s="274"/>
      <c r="RFF158" s="273"/>
      <c r="RFG158" s="274"/>
      <c r="RFH158" s="274"/>
      <c r="RFI158" s="274"/>
      <c r="RFJ158" s="274"/>
      <c r="RFK158" s="274"/>
      <c r="RFL158" s="273"/>
      <c r="RFM158" s="274"/>
      <c r="RFN158" s="274"/>
      <c r="RFO158" s="274"/>
      <c r="RFP158" s="274"/>
      <c r="RFQ158" s="274"/>
      <c r="RFR158" s="273"/>
      <c r="RFS158" s="274"/>
      <c r="RFT158" s="274"/>
      <c r="RFU158" s="274"/>
      <c r="RFV158" s="274"/>
      <c r="RFW158" s="274"/>
      <c r="RFX158" s="273"/>
      <c r="RFY158" s="274"/>
      <c r="RFZ158" s="274"/>
      <c r="RGA158" s="274"/>
      <c r="RGB158" s="274"/>
      <c r="RGC158" s="274"/>
      <c r="RGD158" s="273"/>
      <c r="RGE158" s="274"/>
      <c r="RGF158" s="274"/>
      <c r="RGG158" s="274"/>
      <c r="RGH158" s="274"/>
      <c r="RGI158" s="274"/>
      <c r="RGJ158" s="273"/>
      <c r="RGK158" s="274"/>
      <c r="RGL158" s="274"/>
      <c r="RGM158" s="274"/>
      <c r="RGN158" s="274"/>
      <c r="RGO158" s="274"/>
      <c r="RGP158" s="273"/>
      <c r="RGQ158" s="274"/>
      <c r="RGR158" s="274"/>
      <c r="RGS158" s="274"/>
      <c r="RGT158" s="274"/>
      <c r="RGU158" s="274"/>
      <c r="RGV158" s="273"/>
      <c r="RGW158" s="274"/>
      <c r="RGX158" s="274"/>
      <c r="RGY158" s="274"/>
      <c r="RGZ158" s="274"/>
      <c r="RHA158" s="274"/>
      <c r="RHB158" s="273"/>
      <c r="RHC158" s="274"/>
      <c r="RHD158" s="274"/>
      <c r="RHE158" s="274"/>
      <c r="RHF158" s="274"/>
      <c r="RHG158" s="274"/>
      <c r="RHH158" s="273"/>
      <c r="RHI158" s="274"/>
      <c r="RHJ158" s="274"/>
      <c r="RHK158" s="274"/>
      <c r="RHL158" s="274"/>
      <c r="RHM158" s="274"/>
      <c r="RHN158" s="273"/>
      <c r="RHO158" s="274"/>
      <c r="RHP158" s="274"/>
      <c r="RHQ158" s="274"/>
      <c r="RHR158" s="274"/>
      <c r="RHS158" s="274"/>
      <c r="RHT158" s="273"/>
      <c r="RHU158" s="274"/>
      <c r="RHV158" s="274"/>
      <c r="RHW158" s="274"/>
      <c r="RHX158" s="274"/>
      <c r="RHY158" s="274"/>
      <c r="RHZ158" s="273"/>
      <c r="RIA158" s="274"/>
      <c r="RIB158" s="274"/>
      <c r="RIC158" s="274"/>
      <c r="RID158" s="274"/>
      <c r="RIE158" s="274"/>
      <c r="RIF158" s="273"/>
      <c r="RIG158" s="274"/>
      <c r="RIH158" s="274"/>
      <c r="RII158" s="274"/>
      <c r="RIJ158" s="274"/>
      <c r="RIK158" s="274"/>
      <c r="RIL158" s="273"/>
      <c r="RIM158" s="274"/>
      <c r="RIN158" s="274"/>
      <c r="RIO158" s="274"/>
      <c r="RIP158" s="274"/>
      <c r="RIQ158" s="274"/>
      <c r="RIR158" s="273"/>
      <c r="RIS158" s="274"/>
      <c r="RIT158" s="274"/>
      <c r="RIU158" s="274"/>
      <c r="RIV158" s="274"/>
      <c r="RIW158" s="274"/>
      <c r="RIX158" s="273"/>
      <c r="RIY158" s="274"/>
      <c r="RIZ158" s="274"/>
      <c r="RJA158" s="274"/>
      <c r="RJB158" s="274"/>
      <c r="RJC158" s="274"/>
      <c r="RJD158" s="273"/>
      <c r="RJE158" s="274"/>
      <c r="RJF158" s="274"/>
      <c r="RJG158" s="274"/>
      <c r="RJH158" s="274"/>
      <c r="RJI158" s="274"/>
      <c r="RJJ158" s="273"/>
      <c r="RJK158" s="274"/>
      <c r="RJL158" s="274"/>
      <c r="RJM158" s="274"/>
      <c r="RJN158" s="274"/>
      <c r="RJO158" s="274"/>
      <c r="RJP158" s="273"/>
      <c r="RJQ158" s="274"/>
      <c r="RJR158" s="274"/>
      <c r="RJS158" s="274"/>
      <c r="RJT158" s="274"/>
      <c r="RJU158" s="274"/>
      <c r="RJV158" s="273"/>
      <c r="RJW158" s="274"/>
      <c r="RJX158" s="274"/>
      <c r="RJY158" s="274"/>
      <c r="RJZ158" s="274"/>
      <c r="RKA158" s="274"/>
      <c r="RKB158" s="273"/>
      <c r="RKC158" s="274"/>
      <c r="RKD158" s="274"/>
      <c r="RKE158" s="274"/>
      <c r="RKF158" s="274"/>
      <c r="RKG158" s="274"/>
      <c r="RKH158" s="273"/>
      <c r="RKI158" s="274"/>
      <c r="RKJ158" s="274"/>
      <c r="RKK158" s="274"/>
      <c r="RKL158" s="274"/>
      <c r="RKM158" s="274"/>
      <c r="RKN158" s="273"/>
      <c r="RKO158" s="274"/>
      <c r="RKP158" s="274"/>
      <c r="RKQ158" s="274"/>
      <c r="RKR158" s="274"/>
      <c r="RKS158" s="274"/>
      <c r="RKT158" s="273"/>
      <c r="RKU158" s="274"/>
      <c r="RKV158" s="274"/>
      <c r="RKW158" s="274"/>
      <c r="RKX158" s="274"/>
      <c r="RKY158" s="274"/>
      <c r="RKZ158" s="273"/>
      <c r="RLA158" s="274"/>
      <c r="RLB158" s="274"/>
      <c r="RLC158" s="274"/>
      <c r="RLD158" s="274"/>
      <c r="RLE158" s="274"/>
      <c r="RLF158" s="273"/>
      <c r="RLG158" s="274"/>
      <c r="RLH158" s="274"/>
      <c r="RLI158" s="274"/>
      <c r="RLJ158" s="274"/>
      <c r="RLK158" s="274"/>
      <c r="RLL158" s="273"/>
      <c r="RLM158" s="274"/>
      <c r="RLN158" s="274"/>
      <c r="RLO158" s="274"/>
      <c r="RLP158" s="274"/>
      <c r="RLQ158" s="274"/>
      <c r="RLR158" s="273"/>
      <c r="RLS158" s="274"/>
      <c r="RLT158" s="274"/>
      <c r="RLU158" s="274"/>
      <c r="RLV158" s="274"/>
      <c r="RLW158" s="274"/>
      <c r="RLX158" s="273"/>
      <c r="RLY158" s="274"/>
      <c r="RLZ158" s="274"/>
      <c r="RMA158" s="274"/>
      <c r="RMB158" s="274"/>
      <c r="RMC158" s="274"/>
      <c r="RMD158" s="273"/>
      <c r="RME158" s="274"/>
      <c r="RMF158" s="274"/>
      <c r="RMG158" s="274"/>
      <c r="RMH158" s="274"/>
      <c r="RMI158" s="274"/>
      <c r="RMJ158" s="273"/>
      <c r="RMK158" s="274"/>
      <c r="RML158" s="274"/>
      <c r="RMM158" s="274"/>
      <c r="RMN158" s="274"/>
      <c r="RMO158" s="274"/>
      <c r="RMP158" s="273"/>
      <c r="RMQ158" s="274"/>
      <c r="RMR158" s="274"/>
      <c r="RMS158" s="274"/>
      <c r="RMT158" s="274"/>
      <c r="RMU158" s="274"/>
      <c r="RMV158" s="273"/>
      <c r="RMW158" s="274"/>
      <c r="RMX158" s="274"/>
      <c r="RMY158" s="274"/>
      <c r="RMZ158" s="274"/>
      <c r="RNA158" s="274"/>
      <c r="RNB158" s="273"/>
      <c r="RNC158" s="274"/>
      <c r="RND158" s="274"/>
      <c r="RNE158" s="274"/>
      <c r="RNF158" s="274"/>
      <c r="RNG158" s="274"/>
      <c r="RNH158" s="273"/>
      <c r="RNI158" s="274"/>
      <c r="RNJ158" s="274"/>
      <c r="RNK158" s="274"/>
      <c r="RNL158" s="274"/>
      <c r="RNM158" s="274"/>
      <c r="RNN158" s="273"/>
      <c r="RNO158" s="274"/>
      <c r="RNP158" s="274"/>
      <c r="RNQ158" s="274"/>
      <c r="RNR158" s="274"/>
      <c r="RNS158" s="274"/>
      <c r="RNT158" s="273"/>
      <c r="RNU158" s="274"/>
      <c r="RNV158" s="274"/>
      <c r="RNW158" s="274"/>
      <c r="RNX158" s="274"/>
      <c r="RNY158" s="274"/>
      <c r="RNZ158" s="273"/>
      <c r="ROA158" s="274"/>
      <c r="ROB158" s="274"/>
      <c r="ROC158" s="274"/>
      <c r="ROD158" s="274"/>
      <c r="ROE158" s="274"/>
      <c r="ROF158" s="273"/>
      <c r="ROG158" s="274"/>
      <c r="ROH158" s="274"/>
      <c r="ROI158" s="274"/>
      <c r="ROJ158" s="274"/>
      <c r="ROK158" s="274"/>
      <c r="ROL158" s="273"/>
      <c r="ROM158" s="274"/>
      <c r="RON158" s="274"/>
      <c r="ROO158" s="274"/>
      <c r="ROP158" s="274"/>
      <c r="ROQ158" s="274"/>
      <c r="ROR158" s="273"/>
      <c r="ROS158" s="274"/>
      <c r="ROT158" s="274"/>
      <c r="ROU158" s="274"/>
      <c r="ROV158" s="274"/>
      <c r="ROW158" s="274"/>
      <c r="ROX158" s="273"/>
      <c r="ROY158" s="274"/>
      <c r="ROZ158" s="274"/>
      <c r="RPA158" s="274"/>
      <c r="RPB158" s="274"/>
      <c r="RPC158" s="274"/>
      <c r="RPD158" s="273"/>
      <c r="RPE158" s="274"/>
      <c r="RPF158" s="274"/>
      <c r="RPG158" s="274"/>
      <c r="RPH158" s="274"/>
      <c r="RPI158" s="274"/>
      <c r="RPJ158" s="273"/>
      <c r="RPK158" s="274"/>
      <c r="RPL158" s="274"/>
      <c r="RPM158" s="274"/>
      <c r="RPN158" s="274"/>
      <c r="RPO158" s="274"/>
      <c r="RPP158" s="273"/>
      <c r="RPQ158" s="274"/>
      <c r="RPR158" s="274"/>
      <c r="RPS158" s="274"/>
      <c r="RPT158" s="274"/>
      <c r="RPU158" s="274"/>
      <c r="RPV158" s="273"/>
      <c r="RPW158" s="274"/>
      <c r="RPX158" s="274"/>
      <c r="RPY158" s="274"/>
      <c r="RPZ158" s="274"/>
      <c r="RQA158" s="274"/>
      <c r="RQB158" s="273"/>
      <c r="RQC158" s="274"/>
      <c r="RQD158" s="274"/>
      <c r="RQE158" s="274"/>
      <c r="RQF158" s="274"/>
      <c r="RQG158" s="274"/>
      <c r="RQH158" s="273"/>
      <c r="RQI158" s="274"/>
      <c r="RQJ158" s="274"/>
      <c r="RQK158" s="274"/>
      <c r="RQL158" s="274"/>
      <c r="RQM158" s="274"/>
      <c r="RQN158" s="273"/>
      <c r="RQO158" s="274"/>
      <c r="RQP158" s="274"/>
      <c r="RQQ158" s="274"/>
      <c r="RQR158" s="274"/>
      <c r="RQS158" s="274"/>
      <c r="RQT158" s="273"/>
      <c r="RQU158" s="274"/>
      <c r="RQV158" s="274"/>
      <c r="RQW158" s="274"/>
      <c r="RQX158" s="274"/>
      <c r="RQY158" s="274"/>
      <c r="RQZ158" s="273"/>
      <c r="RRA158" s="274"/>
      <c r="RRB158" s="274"/>
      <c r="RRC158" s="274"/>
      <c r="RRD158" s="274"/>
      <c r="RRE158" s="274"/>
      <c r="RRF158" s="273"/>
      <c r="RRG158" s="274"/>
      <c r="RRH158" s="274"/>
      <c r="RRI158" s="274"/>
      <c r="RRJ158" s="274"/>
      <c r="RRK158" s="274"/>
      <c r="RRL158" s="273"/>
      <c r="RRM158" s="274"/>
      <c r="RRN158" s="274"/>
      <c r="RRO158" s="274"/>
      <c r="RRP158" s="274"/>
      <c r="RRQ158" s="274"/>
      <c r="RRR158" s="273"/>
      <c r="RRS158" s="274"/>
      <c r="RRT158" s="274"/>
      <c r="RRU158" s="274"/>
      <c r="RRV158" s="274"/>
      <c r="RRW158" s="274"/>
      <c r="RRX158" s="273"/>
      <c r="RRY158" s="274"/>
      <c r="RRZ158" s="274"/>
      <c r="RSA158" s="274"/>
      <c r="RSB158" s="274"/>
      <c r="RSC158" s="274"/>
      <c r="RSD158" s="273"/>
      <c r="RSE158" s="274"/>
      <c r="RSF158" s="274"/>
      <c r="RSG158" s="274"/>
      <c r="RSH158" s="274"/>
      <c r="RSI158" s="274"/>
      <c r="RSJ158" s="273"/>
      <c r="RSK158" s="274"/>
      <c r="RSL158" s="274"/>
      <c r="RSM158" s="274"/>
      <c r="RSN158" s="274"/>
      <c r="RSO158" s="274"/>
      <c r="RSP158" s="273"/>
      <c r="RSQ158" s="274"/>
      <c r="RSR158" s="274"/>
      <c r="RSS158" s="274"/>
      <c r="RST158" s="274"/>
      <c r="RSU158" s="274"/>
      <c r="RSV158" s="273"/>
      <c r="RSW158" s="274"/>
      <c r="RSX158" s="274"/>
      <c r="RSY158" s="274"/>
      <c r="RSZ158" s="274"/>
      <c r="RTA158" s="274"/>
      <c r="RTB158" s="273"/>
      <c r="RTC158" s="274"/>
      <c r="RTD158" s="274"/>
      <c r="RTE158" s="274"/>
      <c r="RTF158" s="274"/>
      <c r="RTG158" s="274"/>
      <c r="RTH158" s="273"/>
      <c r="RTI158" s="274"/>
      <c r="RTJ158" s="274"/>
      <c r="RTK158" s="274"/>
      <c r="RTL158" s="274"/>
      <c r="RTM158" s="274"/>
      <c r="RTN158" s="273"/>
      <c r="RTO158" s="274"/>
      <c r="RTP158" s="274"/>
      <c r="RTQ158" s="274"/>
      <c r="RTR158" s="274"/>
      <c r="RTS158" s="274"/>
      <c r="RTT158" s="273"/>
      <c r="RTU158" s="274"/>
      <c r="RTV158" s="274"/>
      <c r="RTW158" s="274"/>
      <c r="RTX158" s="274"/>
      <c r="RTY158" s="274"/>
      <c r="RTZ158" s="273"/>
      <c r="RUA158" s="274"/>
      <c r="RUB158" s="274"/>
      <c r="RUC158" s="274"/>
      <c r="RUD158" s="274"/>
      <c r="RUE158" s="274"/>
      <c r="RUF158" s="273"/>
      <c r="RUG158" s="274"/>
      <c r="RUH158" s="274"/>
      <c r="RUI158" s="274"/>
      <c r="RUJ158" s="274"/>
      <c r="RUK158" s="274"/>
      <c r="RUL158" s="273"/>
      <c r="RUM158" s="274"/>
      <c r="RUN158" s="274"/>
      <c r="RUO158" s="274"/>
      <c r="RUP158" s="274"/>
      <c r="RUQ158" s="274"/>
      <c r="RUR158" s="273"/>
      <c r="RUS158" s="274"/>
      <c r="RUT158" s="274"/>
      <c r="RUU158" s="274"/>
      <c r="RUV158" s="274"/>
      <c r="RUW158" s="274"/>
      <c r="RUX158" s="273"/>
      <c r="RUY158" s="274"/>
      <c r="RUZ158" s="274"/>
      <c r="RVA158" s="274"/>
      <c r="RVB158" s="274"/>
      <c r="RVC158" s="274"/>
      <c r="RVD158" s="273"/>
      <c r="RVE158" s="274"/>
      <c r="RVF158" s="274"/>
      <c r="RVG158" s="274"/>
      <c r="RVH158" s="274"/>
      <c r="RVI158" s="274"/>
      <c r="RVJ158" s="273"/>
      <c r="RVK158" s="274"/>
      <c r="RVL158" s="274"/>
      <c r="RVM158" s="274"/>
      <c r="RVN158" s="274"/>
      <c r="RVO158" s="274"/>
      <c r="RVP158" s="273"/>
      <c r="RVQ158" s="274"/>
      <c r="RVR158" s="274"/>
      <c r="RVS158" s="274"/>
      <c r="RVT158" s="274"/>
      <c r="RVU158" s="274"/>
      <c r="RVV158" s="273"/>
      <c r="RVW158" s="274"/>
      <c r="RVX158" s="274"/>
      <c r="RVY158" s="274"/>
      <c r="RVZ158" s="274"/>
      <c r="RWA158" s="274"/>
      <c r="RWB158" s="273"/>
      <c r="RWC158" s="274"/>
      <c r="RWD158" s="274"/>
      <c r="RWE158" s="274"/>
      <c r="RWF158" s="274"/>
      <c r="RWG158" s="274"/>
      <c r="RWH158" s="273"/>
      <c r="RWI158" s="274"/>
      <c r="RWJ158" s="274"/>
      <c r="RWK158" s="274"/>
      <c r="RWL158" s="274"/>
      <c r="RWM158" s="274"/>
      <c r="RWN158" s="273"/>
      <c r="RWO158" s="274"/>
      <c r="RWP158" s="274"/>
      <c r="RWQ158" s="274"/>
      <c r="RWR158" s="274"/>
      <c r="RWS158" s="274"/>
      <c r="RWT158" s="273"/>
      <c r="RWU158" s="274"/>
      <c r="RWV158" s="274"/>
      <c r="RWW158" s="274"/>
      <c r="RWX158" s="274"/>
      <c r="RWY158" s="274"/>
      <c r="RWZ158" s="273"/>
      <c r="RXA158" s="274"/>
      <c r="RXB158" s="274"/>
      <c r="RXC158" s="274"/>
      <c r="RXD158" s="274"/>
      <c r="RXE158" s="274"/>
      <c r="RXF158" s="273"/>
      <c r="RXG158" s="274"/>
      <c r="RXH158" s="274"/>
      <c r="RXI158" s="274"/>
      <c r="RXJ158" s="274"/>
      <c r="RXK158" s="274"/>
      <c r="RXL158" s="273"/>
      <c r="RXM158" s="274"/>
      <c r="RXN158" s="274"/>
      <c r="RXO158" s="274"/>
      <c r="RXP158" s="274"/>
      <c r="RXQ158" s="274"/>
      <c r="RXR158" s="273"/>
      <c r="RXS158" s="274"/>
      <c r="RXT158" s="274"/>
      <c r="RXU158" s="274"/>
      <c r="RXV158" s="274"/>
      <c r="RXW158" s="274"/>
      <c r="RXX158" s="273"/>
      <c r="RXY158" s="274"/>
      <c r="RXZ158" s="274"/>
      <c r="RYA158" s="274"/>
      <c r="RYB158" s="274"/>
      <c r="RYC158" s="274"/>
      <c r="RYD158" s="273"/>
      <c r="RYE158" s="274"/>
      <c r="RYF158" s="274"/>
      <c r="RYG158" s="274"/>
      <c r="RYH158" s="274"/>
      <c r="RYI158" s="274"/>
      <c r="RYJ158" s="273"/>
      <c r="RYK158" s="274"/>
      <c r="RYL158" s="274"/>
      <c r="RYM158" s="274"/>
      <c r="RYN158" s="274"/>
      <c r="RYO158" s="274"/>
      <c r="RYP158" s="273"/>
      <c r="RYQ158" s="274"/>
      <c r="RYR158" s="274"/>
      <c r="RYS158" s="274"/>
      <c r="RYT158" s="274"/>
      <c r="RYU158" s="274"/>
      <c r="RYV158" s="273"/>
      <c r="RYW158" s="274"/>
      <c r="RYX158" s="274"/>
      <c r="RYY158" s="274"/>
      <c r="RYZ158" s="274"/>
      <c r="RZA158" s="274"/>
      <c r="RZB158" s="273"/>
      <c r="RZC158" s="274"/>
      <c r="RZD158" s="274"/>
      <c r="RZE158" s="274"/>
      <c r="RZF158" s="274"/>
      <c r="RZG158" s="274"/>
      <c r="RZH158" s="273"/>
      <c r="RZI158" s="274"/>
      <c r="RZJ158" s="274"/>
      <c r="RZK158" s="274"/>
      <c r="RZL158" s="274"/>
      <c r="RZM158" s="274"/>
      <c r="RZN158" s="273"/>
      <c r="RZO158" s="274"/>
      <c r="RZP158" s="274"/>
      <c r="RZQ158" s="274"/>
      <c r="RZR158" s="274"/>
      <c r="RZS158" s="274"/>
      <c r="RZT158" s="273"/>
      <c r="RZU158" s="274"/>
      <c r="RZV158" s="274"/>
      <c r="RZW158" s="274"/>
      <c r="RZX158" s="274"/>
      <c r="RZY158" s="274"/>
      <c r="RZZ158" s="273"/>
      <c r="SAA158" s="274"/>
      <c r="SAB158" s="274"/>
      <c r="SAC158" s="274"/>
      <c r="SAD158" s="274"/>
      <c r="SAE158" s="274"/>
      <c r="SAF158" s="273"/>
      <c r="SAG158" s="274"/>
      <c r="SAH158" s="274"/>
      <c r="SAI158" s="274"/>
      <c r="SAJ158" s="274"/>
      <c r="SAK158" s="274"/>
      <c r="SAL158" s="273"/>
      <c r="SAM158" s="274"/>
      <c r="SAN158" s="274"/>
      <c r="SAO158" s="274"/>
      <c r="SAP158" s="274"/>
      <c r="SAQ158" s="274"/>
      <c r="SAR158" s="273"/>
      <c r="SAS158" s="274"/>
      <c r="SAT158" s="274"/>
      <c r="SAU158" s="274"/>
      <c r="SAV158" s="274"/>
      <c r="SAW158" s="274"/>
      <c r="SAX158" s="273"/>
      <c r="SAY158" s="274"/>
      <c r="SAZ158" s="274"/>
      <c r="SBA158" s="274"/>
      <c r="SBB158" s="274"/>
      <c r="SBC158" s="274"/>
      <c r="SBD158" s="273"/>
      <c r="SBE158" s="274"/>
      <c r="SBF158" s="274"/>
      <c r="SBG158" s="274"/>
      <c r="SBH158" s="274"/>
      <c r="SBI158" s="274"/>
      <c r="SBJ158" s="273"/>
      <c r="SBK158" s="274"/>
      <c r="SBL158" s="274"/>
      <c r="SBM158" s="274"/>
      <c r="SBN158" s="274"/>
      <c r="SBO158" s="274"/>
      <c r="SBP158" s="273"/>
      <c r="SBQ158" s="274"/>
      <c r="SBR158" s="274"/>
      <c r="SBS158" s="274"/>
      <c r="SBT158" s="274"/>
      <c r="SBU158" s="274"/>
      <c r="SBV158" s="273"/>
      <c r="SBW158" s="274"/>
      <c r="SBX158" s="274"/>
      <c r="SBY158" s="274"/>
      <c r="SBZ158" s="274"/>
      <c r="SCA158" s="274"/>
      <c r="SCB158" s="273"/>
      <c r="SCC158" s="274"/>
      <c r="SCD158" s="274"/>
      <c r="SCE158" s="274"/>
      <c r="SCF158" s="274"/>
      <c r="SCG158" s="274"/>
      <c r="SCH158" s="273"/>
      <c r="SCI158" s="274"/>
      <c r="SCJ158" s="274"/>
      <c r="SCK158" s="274"/>
      <c r="SCL158" s="274"/>
      <c r="SCM158" s="274"/>
      <c r="SCN158" s="273"/>
      <c r="SCO158" s="274"/>
      <c r="SCP158" s="274"/>
      <c r="SCQ158" s="274"/>
      <c r="SCR158" s="274"/>
      <c r="SCS158" s="274"/>
      <c r="SCT158" s="273"/>
      <c r="SCU158" s="274"/>
      <c r="SCV158" s="274"/>
      <c r="SCW158" s="274"/>
      <c r="SCX158" s="274"/>
      <c r="SCY158" s="274"/>
      <c r="SCZ158" s="273"/>
      <c r="SDA158" s="274"/>
      <c r="SDB158" s="274"/>
      <c r="SDC158" s="274"/>
      <c r="SDD158" s="274"/>
      <c r="SDE158" s="274"/>
      <c r="SDF158" s="273"/>
      <c r="SDG158" s="274"/>
      <c r="SDH158" s="274"/>
      <c r="SDI158" s="274"/>
      <c r="SDJ158" s="274"/>
      <c r="SDK158" s="274"/>
      <c r="SDL158" s="273"/>
      <c r="SDM158" s="274"/>
      <c r="SDN158" s="274"/>
      <c r="SDO158" s="274"/>
      <c r="SDP158" s="274"/>
      <c r="SDQ158" s="274"/>
      <c r="SDR158" s="273"/>
      <c r="SDS158" s="274"/>
      <c r="SDT158" s="274"/>
      <c r="SDU158" s="274"/>
      <c r="SDV158" s="274"/>
      <c r="SDW158" s="274"/>
      <c r="SDX158" s="273"/>
      <c r="SDY158" s="274"/>
      <c r="SDZ158" s="274"/>
      <c r="SEA158" s="274"/>
      <c r="SEB158" s="274"/>
      <c r="SEC158" s="274"/>
      <c r="SED158" s="273"/>
      <c r="SEE158" s="274"/>
      <c r="SEF158" s="274"/>
      <c r="SEG158" s="274"/>
      <c r="SEH158" s="274"/>
      <c r="SEI158" s="274"/>
      <c r="SEJ158" s="273"/>
      <c r="SEK158" s="274"/>
      <c r="SEL158" s="274"/>
      <c r="SEM158" s="274"/>
      <c r="SEN158" s="274"/>
      <c r="SEO158" s="274"/>
      <c r="SEP158" s="273"/>
      <c r="SEQ158" s="274"/>
      <c r="SER158" s="274"/>
      <c r="SES158" s="274"/>
      <c r="SET158" s="274"/>
      <c r="SEU158" s="274"/>
      <c r="SEV158" s="273"/>
      <c r="SEW158" s="274"/>
      <c r="SEX158" s="274"/>
      <c r="SEY158" s="274"/>
      <c r="SEZ158" s="274"/>
      <c r="SFA158" s="274"/>
      <c r="SFB158" s="273"/>
      <c r="SFC158" s="274"/>
      <c r="SFD158" s="274"/>
      <c r="SFE158" s="274"/>
      <c r="SFF158" s="274"/>
      <c r="SFG158" s="274"/>
      <c r="SFH158" s="273"/>
      <c r="SFI158" s="274"/>
      <c r="SFJ158" s="274"/>
      <c r="SFK158" s="274"/>
      <c r="SFL158" s="274"/>
      <c r="SFM158" s="274"/>
      <c r="SFN158" s="273"/>
      <c r="SFO158" s="274"/>
      <c r="SFP158" s="274"/>
      <c r="SFQ158" s="274"/>
      <c r="SFR158" s="274"/>
      <c r="SFS158" s="274"/>
      <c r="SFT158" s="273"/>
      <c r="SFU158" s="274"/>
      <c r="SFV158" s="274"/>
      <c r="SFW158" s="274"/>
      <c r="SFX158" s="274"/>
      <c r="SFY158" s="274"/>
      <c r="SFZ158" s="273"/>
      <c r="SGA158" s="274"/>
      <c r="SGB158" s="274"/>
      <c r="SGC158" s="274"/>
      <c r="SGD158" s="274"/>
      <c r="SGE158" s="274"/>
      <c r="SGF158" s="273"/>
      <c r="SGG158" s="274"/>
      <c r="SGH158" s="274"/>
      <c r="SGI158" s="274"/>
      <c r="SGJ158" s="274"/>
      <c r="SGK158" s="274"/>
      <c r="SGL158" s="273"/>
      <c r="SGM158" s="274"/>
      <c r="SGN158" s="274"/>
      <c r="SGO158" s="274"/>
      <c r="SGP158" s="274"/>
      <c r="SGQ158" s="274"/>
      <c r="SGR158" s="273"/>
      <c r="SGS158" s="274"/>
      <c r="SGT158" s="274"/>
      <c r="SGU158" s="274"/>
      <c r="SGV158" s="274"/>
      <c r="SGW158" s="274"/>
      <c r="SGX158" s="273"/>
      <c r="SGY158" s="274"/>
      <c r="SGZ158" s="274"/>
      <c r="SHA158" s="274"/>
      <c r="SHB158" s="274"/>
      <c r="SHC158" s="274"/>
      <c r="SHD158" s="273"/>
      <c r="SHE158" s="274"/>
      <c r="SHF158" s="274"/>
      <c r="SHG158" s="274"/>
      <c r="SHH158" s="274"/>
      <c r="SHI158" s="274"/>
      <c r="SHJ158" s="273"/>
      <c r="SHK158" s="274"/>
      <c r="SHL158" s="274"/>
      <c r="SHM158" s="274"/>
      <c r="SHN158" s="274"/>
      <c r="SHO158" s="274"/>
      <c r="SHP158" s="273"/>
      <c r="SHQ158" s="274"/>
      <c r="SHR158" s="274"/>
      <c r="SHS158" s="274"/>
      <c r="SHT158" s="274"/>
      <c r="SHU158" s="274"/>
      <c r="SHV158" s="273"/>
      <c r="SHW158" s="274"/>
      <c r="SHX158" s="274"/>
      <c r="SHY158" s="274"/>
      <c r="SHZ158" s="274"/>
      <c r="SIA158" s="274"/>
      <c r="SIB158" s="273"/>
      <c r="SIC158" s="274"/>
      <c r="SID158" s="274"/>
      <c r="SIE158" s="274"/>
      <c r="SIF158" s="274"/>
      <c r="SIG158" s="274"/>
      <c r="SIH158" s="273"/>
      <c r="SII158" s="274"/>
      <c r="SIJ158" s="274"/>
      <c r="SIK158" s="274"/>
      <c r="SIL158" s="274"/>
      <c r="SIM158" s="274"/>
      <c r="SIN158" s="273"/>
      <c r="SIO158" s="274"/>
      <c r="SIP158" s="274"/>
      <c r="SIQ158" s="274"/>
      <c r="SIR158" s="274"/>
      <c r="SIS158" s="274"/>
      <c r="SIT158" s="273"/>
      <c r="SIU158" s="274"/>
      <c r="SIV158" s="274"/>
      <c r="SIW158" s="274"/>
      <c r="SIX158" s="274"/>
      <c r="SIY158" s="274"/>
      <c r="SIZ158" s="273"/>
      <c r="SJA158" s="274"/>
      <c r="SJB158" s="274"/>
      <c r="SJC158" s="274"/>
      <c r="SJD158" s="274"/>
      <c r="SJE158" s="274"/>
      <c r="SJF158" s="273"/>
      <c r="SJG158" s="274"/>
      <c r="SJH158" s="274"/>
      <c r="SJI158" s="274"/>
      <c r="SJJ158" s="274"/>
      <c r="SJK158" s="274"/>
      <c r="SJL158" s="273"/>
      <c r="SJM158" s="274"/>
      <c r="SJN158" s="274"/>
      <c r="SJO158" s="274"/>
      <c r="SJP158" s="274"/>
      <c r="SJQ158" s="274"/>
      <c r="SJR158" s="273"/>
      <c r="SJS158" s="274"/>
      <c r="SJT158" s="274"/>
      <c r="SJU158" s="274"/>
      <c r="SJV158" s="274"/>
      <c r="SJW158" s="274"/>
      <c r="SJX158" s="273"/>
      <c r="SJY158" s="274"/>
      <c r="SJZ158" s="274"/>
      <c r="SKA158" s="274"/>
      <c r="SKB158" s="274"/>
      <c r="SKC158" s="274"/>
      <c r="SKD158" s="273"/>
      <c r="SKE158" s="274"/>
      <c r="SKF158" s="274"/>
      <c r="SKG158" s="274"/>
      <c r="SKH158" s="274"/>
      <c r="SKI158" s="274"/>
      <c r="SKJ158" s="273"/>
      <c r="SKK158" s="274"/>
      <c r="SKL158" s="274"/>
      <c r="SKM158" s="274"/>
      <c r="SKN158" s="274"/>
      <c r="SKO158" s="274"/>
      <c r="SKP158" s="273"/>
      <c r="SKQ158" s="274"/>
      <c r="SKR158" s="274"/>
      <c r="SKS158" s="274"/>
      <c r="SKT158" s="274"/>
      <c r="SKU158" s="274"/>
      <c r="SKV158" s="273"/>
      <c r="SKW158" s="274"/>
      <c r="SKX158" s="274"/>
      <c r="SKY158" s="274"/>
      <c r="SKZ158" s="274"/>
      <c r="SLA158" s="274"/>
      <c r="SLB158" s="273"/>
      <c r="SLC158" s="274"/>
      <c r="SLD158" s="274"/>
      <c r="SLE158" s="274"/>
      <c r="SLF158" s="274"/>
      <c r="SLG158" s="274"/>
      <c r="SLH158" s="273"/>
      <c r="SLI158" s="274"/>
      <c r="SLJ158" s="274"/>
      <c r="SLK158" s="274"/>
      <c r="SLL158" s="274"/>
      <c r="SLM158" s="274"/>
      <c r="SLN158" s="273"/>
      <c r="SLO158" s="274"/>
      <c r="SLP158" s="274"/>
      <c r="SLQ158" s="274"/>
      <c r="SLR158" s="274"/>
      <c r="SLS158" s="274"/>
      <c r="SLT158" s="273"/>
      <c r="SLU158" s="274"/>
      <c r="SLV158" s="274"/>
      <c r="SLW158" s="274"/>
      <c r="SLX158" s="274"/>
      <c r="SLY158" s="274"/>
      <c r="SLZ158" s="273"/>
      <c r="SMA158" s="274"/>
      <c r="SMB158" s="274"/>
      <c r="SMC158" s="274"/>
      <c r="SMD158" s="274"/>
      <c r="SME158" s="274"/>
      <c r="SMF158" s="273"/>
      <c r="SMG158" s="274"/>
      <c r="SMH158" s="274"/>
      <c r="SMI158" s="274"/>
      <c r="SMJ158" s="274"/>
      <c r="SMK158" s="274"/>
      <c r="SML158" s="273"/>
      <c r="SMM158" s="274"/>
      <c r="SMN158" s="274"/>
      <c r="SMO158" s="274"/>
      <c r="SMP158" s="274"/>
      <c r="SMQ158" s="274"/>
      <c r="SMR158" s="273"/>
      <c r="SMS158" s="274"/>
      <c r="SMT158" s="274"/>
      <c r="SMU158" s="274"/>
      <c r="SMV158" s="274"/>
      <c r="SMW158" s="274"/>
      <c r="SMX158" s="273"/>
      <c r="SMY158" s="274"/>
      <c r="SMZ158" s="274"/>
      <c r="SNA158" s="274"/>
      <c r="SNB158" s="274"/>
      <c r="SNC158" s="274"/>
      <c r="SND158" s="273"/>
      <c r="SNE158" s="274"/>
      <c r="SNF158" s="274"/>
      <c r="SNG158" s="274"/>
      <c r="SNH158" s="274"/>
      <c r="SNI158" s="274"/>
      <c r="SNJ158" s="273"/>
      <c r="SNK158" s="274"/>
      <c r="SNL158" s="274"/>
      <c r="SNM158" s="274"/>
      <c r="SNN158" s="274"/>
      <c r="SNO158" s="274"/>
      <c r="SNP158" s="273"/>
      <c r="SNQ158" s="274"/>
      <c r="SNR158" s="274"/>
      <c r="SNS158" s="274"/>
      <c r="SNT158" s="274"/>
      <c r="SNU158" s="274"/>
      <c r="SNV158" s="273"/>
      <c r="SNW158" s="274"/>
      <c r="SNX158" s="274"/>
      <c r="SNY158" s="274"/>
      <c r="SNZ158" s="274"/>
      <c r="SOA158" s="274"/>
      <c r="SOB158" s="273"/>
      <c r="SOC158" s="274"/>
      <c r="SOD158" s="274"/>
      <c r="SOE158" s="274"/>
      <c r="SOF158" s="274"/>
      <c r="SOG158" s="274"/>
      <c r="SOH158" s="273"/>
      <c r="SOI158" s="274"/>
      <c r="SOJ158" s="274"/>
      <c r="SOK158" s="274"/>
      <c r="SOL158" s="274"/>
      <c r="SOM158" s="274"/>
      <c r="SON158" s="273"/>
      <c r="SOO158" s="274"/>
      <c r="SOP158" s="274"/>
      <c r="SOQ158" s="274"/>
      <c r="SOR158" s="274"/>
      <c r="SOS158" s="274"/>
      <c r="SOT158" s="273"/>
      <c r="SOU158" s="274"/>
      <c r="SOV158" s="274"/>
      <c r="SOW158" s="274"/>
      <c r="SOX158" s="274"/>
      <c r="SOY158" s="274"/>
      <c r="SOZ158" s="273"/>
      <c r="SPA158" s="274"/>
      <c r="SPB158" s="274"/>
      <c r="SPC158" s="274"/>
      <c r="SPD158" s="274"/>
      <c r="SPE158" s="274"/>
      <c r="SPF158" s="273"/>
      <c r="SPG158" s="274"/>
      <c r="SPH158" s="274"/>
      <c r="SPI158" s="274"/>
      <c r="SPJ158" s="274"/>
      <c r="SPK158" s="274"/>
      <c r="SPL158" s="273"/>
      <c r="SPM158" s="274"/>
      <c r="SPN158" s="274"/>
      <c r="SPO158" s="274"/>
      <c r="SPP158" s="274"/>
      <c r="SPQ158" s="274"/>
      <c r="SPR158" s="273"/>
      <c r="SPS158" s="274"/>
      <c r="SPT158" s="274"/>
      <c r="SPU158" s="274"/>
      <c r="SPV158" s="274"/>
      <c r="SPW158" s="274"/>
      <c r="SPX158" s="273"/>
      <c r="SPY158" s="274"/>
      <c r="SPZ158" s="274"/>
      <c r="SQA158" s="274"/>
      <c r="SQB158" s="274"/>
      <c r="SQC158" s="274"/>
      <c r="SQD158" s="273"/>
      <c r="SQE158" s="274"/>
      <c r="SQF158" s="274"/>
      <c r="SQG158" s="274"/>
      <c r="SQH158" s="274"/>
      <c r="SQI158" s="274"/>
      <c r="SQJ158" s="273"/>
      <c r="SQK158" s="274"/>
      <c r="SQL158" s="274"/>
      <c r="SQM158" s="274"/>
      <c r="SQN158" s="274"/>
      <c r="SQO158" s="274"/>
      <c r="SQP158" s="273"/>
      <c r="SQQ158" s="274"/>
      <c r="SQR158" s="274"/>
      <c r="SQS158" s="274"/>
      <c r="SQT158" s="274"/>
      <c r="SQU158" s="274"/>
      <c r="SQV158" s="273"/>
      <c r="SQW158" s="274"/>
      <c r="SQX158" s="274"/>
      <c r="SQY158" s="274"/>
      <c r="SQZ158" s="274"/>
      <c r="SRA158" s="274"/>
      <c r="SRB158" s="273"/>
      <c r="SRC158" s="274"/>
      <c r="SRD158" s="274"/>
      <c r="SRE158" s="274"/>
      <c r="SRF158" s="274"/>
      <c r="SRG158" s="274"/>
      <c r="SRH158" s="273"/>
      <c r="SRI158" s="274"/>
      <c r="SRJ158" s="274"/>
      <c r="SRK158" s="274"/>
      <c r="SRL158" s="274"/>
      <c r="SRM158" s="274"/>
      <c r="SRN158" s="273"/>
      <c r="SRO158" s="274"/>
      <c r="SRP158" s="274"/>
      <c r="SRQ158" s="274"/>
      <c r="SRR158" s="274"/>
      <c r="SRS158" s="274"/>
      <c r="SRT158" s="273"/>
      <c r="SRU158" s="274"/>
      <c r="SRV158" s="274"/>
      <c r="SRW158" s="274"/>
      <c r="SRX158" s="274"/>
      <c r="SRY158" s="274"/>
      <c r="SRZ158" s="273"/>
      <c r="SSA158" s="274"/>
      <c r="SSB158" s="274"/>
      <c r="SSC158" s="274"/>
      <c r="SSD158" s="274"/>
      <c r="SSE158" s="274"/>
      <c r="SSF158" s="273"/>
      <c r="SSG158" s="274"/>
      <c r="SSH158" s="274"/>
      <c r="SSI158" s="274"/>
      <c r="SSJ158" s="274"/>
      <c r="SSK158" s="274"/>
      <c r="SSL158" s="273"/>
      <c r="SSM158" s="274"/>
      <c r="SSN158" s="274"/>
      <c r="SSO158" s="274"/>
      <c r="SSP158" s="274"/>
      <c r="SSQ158" s="274"/>
      <c r="SSR158" s="273"/>
      <c r="SSS158" s="274"/>
      <c r="SST158" s="274"/>
      <c r="SSU158" s="274"/>
      <c r="SSV158" s="274"/>
      <c r="SSW158" s="274"/>
      <c r="SSX158" s="273"/>
      <c r="SSY158" s="274"/>
      <c r="SSZ158" s="274"/>
      <c r="STA158" s="274"/>
      <c r="STB158" s="274"/>
      <c r="STC158" s="274"/>
      <c r="STD158" s="273"/>
      <c r="STE158" s="274"/>
      <c r="STF158" s="274"/>
      <c r="STG158" s="274"/>
      <c r="STH158" s="274"/>
      <c r="STI158" s="274"/>
      <c r="STJ158" s="273"/>
      <c r="STK158" s="274"/>
      <c r="STL158" s="274"/>
      <c r="STM158" s="274"/>
      <c r="STN158" s="274"/>
      <c r="STO158" s="274"/>
      <c r="STP158" s="273"/>
      <c r="STQ158" s="274"/>
      <c r="STR158" s="274"/>
      <c r="STS158" s="274"/>
      <c r="STT158" s="274"/>
      <c r="STU158" s="274"/>
      <c r="STV158" s="273"/>
      <c r="STW158" s="274"/>
      <c r="STX158" s="274"/>
      <c r="STY158" s="274"/>
      <c r="STZ158" s="274"/>
      <c r="SUA158" s="274"/>
      <c r="SUB158" s="273"/>
      <c r="SUC158" s="274"/>
      <c r="SUD158" s="274"/>
      <c r="SUE158" s="274"/>
      <c r="SUF158" s="274"/>
      <c r="SUG158" s="274"/>
      <c r="SUH158" s="273"/>
      <c r="SUI158" s="274"/>
      <c r="SUJ158" s="274"/>
      <c r="SUK158" s="274"/>
      <c r="SUL158" s="274"/>
      <c r="SUM158" s="274"/>
      <c r="SUN158" s="273"/>
      <c r="SUO158" s="274"/>
      <c r="SUP158" s="274"/>
      <c r="SUQ158" s="274"/>
      <c r="SUR158" s="274"/>
      <c r="SUS158" s="274"/>
      <c r="SUT158" s="273"/>
      <c r="SUU158" s="274"/>
      <c r="SUV158" s="274"/>
      <c r="SUW158" s="274"/>
      <c r="SUX158" s="274"/>
      <c r="SUY158" s="274"/>
      <c r="SUZ158" s="273"/>
      <c r="SVA158" s="274"/>
      <c r="SVB158" s="274"/>
      <c r="SVC158" s="274"/>
      <c r="SVD158" s="274"/>
      <c r="SVE158" s="274"/>
      <c r="SVF158" s="273"/>
      <c r="SVG158" s="274"/>
      <c r="SVH158" s="274"/>
      <c r="SVI158" s="274"/>
      <c r="SVJ158" s="274"/>
      <c r="SVK158" s="274"/>
      <c r="SVL158" s="273"/>
      <c r="SVM158" s="274"/>
      <c r="SVN158" s="274"/>
      <c r="SVO158" s="274"/>
      <c r="SVP158" s="274"/>
      <c r="SVQ158" s="274"/>
      <c r="SVR158" s="273"/>
      <c r="SVS158" s="274"/>
      <c r="SVT158" s="274"/>
      <c r="SVU158" s="274"/>
      <c r="SVV158" s="274"/>
      <c r="SVW158" s="274"/>
      <c r="SVX158" s="273"/>
      <c r="SVY158" s="274"/>
      <c r="SVZ158" s="274"/>
      <c r="SWA158" s="274"/>
      <c r="SWB158" s="274"/>
      <c r="SWC158" s="274"/>
      <c r="SWD158" s="273"/>
      <c r="SWE158" s="274"/>
      <c r="SWF158" s="274"/>
      <c r="SWG158" s="274"/>
      <c r="SWH158" s="274"/>
      <c r="SWI158" s="274"/>
      <c r="SWJ158" s="273"/>
      <c r="SWK158" s="274"/>
      <c r="SWL158" s="274"/>
      <c r="SWM158" s="274"/>
      <c r="SWN158" s="274"/>
      <c r="SWO158" s="274"/>
      <c r="SWP158" s="273"/>
      <c r="SWQ158" s="274"/>
      <c r="SWR158" s="274"/>
      <c r="SWS158" s="274"/>
      <c r="SWT158" s="274"/>
      <c r="SWU158" s="274"/>
      <c r="SWV158" s="273"/>
      <c r="SWW158" s="274"/>
      <c r="SWX158" s="274"/>
      <c r="SWY158" s="274"/>
      <c r="SWZ158" s="274"/>
      <c r="SXA158" s="274"/>
      <c r="SXB158" s="273"/>
      <c r="SXC158" s="274"/>
      <c r="SXD158" s="274"/>
      <c r="SXE158" s="274"/>
      <c r="SXF158" s="274"/>
      <c r="SXG158" s="274"/>
      <c r="SXH158" s="273"/>
      <c r="SXI158" s="274"/>
      <c r="SXJ158" s="274"/>
      <c r="SXK158" s="274"/>
      <c r="SXL158" s="274"/>
      <c r="SXM158" s="274"/>
      <c r="SXN158" s="273"/>
      <c r="SXO158" s="274"/>
      <c r="SXP158" s="274"/>
      <c r="SXQ158" s="274"/>
      <c r="SXR158" s="274"/>
      <c r="SXS158" s="274"/>
      <c r="SXT158" s="273"/>
      <c r="SXU158" s="274"/>
      <c r="SXV158" s="274"/>
      <c r="SXW158" s="274"/>
      <c r="SXX158" s="274"/>
      <c r="SXY158" s="274"/>
      <c r="SXZ158" s="273"/>
      <c r="SYA158" s="274"/>
      <c r="SYB158" s="274"/>
      <c r="SYC158" s="274"/>
      <c r="SYD158" s="274"/>
      <c r="SYE158" s="274"/>
      <c r="SYF158" s="273"/>
      <c r="SYG158" s="274"/>
      <c r="SYH158" s="274"/>
      <c r="SYI158" s="274"/>
      <c r="SYJ158" s="274"/>
      <c r="SYK158" s="274"/>
      <c r="SYL158" s="273"/>
      <c r="SYM158" s="274"/>
      <c r="SYN158" s="274"/>
      <c r="SYO158" s="274"/>
      <c r="SYP158" s="274"/>
      <c r="SYQ158" s="274"/>
      <c r="SYR158" s="273"/>
      <c r="SYS158" s="274"/>
      <c r="SYT158" s="274"/>
      <c r="SYU158" s="274"/>
      <c r="SYV158" s="274"/>
      <c r="SYW158" s="274"/>
      <c r="SYX158" s="273"/>
      <c r="SYY158" s="274"/>
      <c r="SYZ158" s="274"/>
      <c r="SZA158" s="274"/>
      <c r="SZB158" s="274"/>
      <c r="SZC158" s="274"/>
      <c r="SZD158" s="273"/>
      <c r="SZE158" s="274"/>
      <c r="SZF158" s="274"/>
      <c r="SZG158" s="274"/>
      <c r="SZH158" s="274"/>
      <c r="SZI158" s="274"/>
      <c r="SZJ158" s="273"/>
      <c r="SZK158" s="274"/>
      <c r="SZL158" s="274"/>
      <c r="SZM158" s="274"/>
      <c r="SZN158" s="274"/>
      <c r="SZO158" s="274"/>
      <c r="SZP158" s="273"/>
      <c r="SZQ158" s="274"/>
      <c r="SZR158" s="274"/>
      <c r="SZS158" s="274"/>
      <c r="SZT158" s="274"/>
      <c r="SZU158" s="274"/>
      <c r="SZV158" s="273"/>
      <c r="SZW158" s="274"/>
      <c r="SZX158" s="274"/>
      <c r="SZY158" s="274"/>
      <c r="SZZ158" s="274"/>
      <c r="TAA158" s="274"/>
      <c r="TAB158" s="273"/>
      <c r="TAC158" s="274"/>
      <c r="TAD158" s="274"/>
      <c r="TAE158" s="274"/>
      <c r="TAF158" s="274"/>
      <c r="TAG158" s="274"/>
      <c r="TAH158" s="273"/>
      <c r="TAI158" s="274"/>
      <c r="TAJ158" s="274"/>
      <c r="TAK158" s="274"/>
      <c r="TAL158" s="274"/>
      <c r="TAM158" s="274"/>
      <c r="TAN158" s="273"/>
      <c r="TAO158" s="274"/>
      <c r="TAP158" s="274"/>
      <c r="TAQ158" s="274"/>
      <c r="TAR158" s="274"/>
      <c r="TAS158" s="274"/>
      <c r="TAT158" s="273"/>
      <c r="TAU158" s="274"/>
      <c r="TAV158" s="274"/>
      <c r="TAW158" s="274"/>
      <c r="TAX158" s="274"/>
      <c r="TAY158" s="274"/>
      <c r="TAZ158" s="273"/>
      <c r="TBA158" s="274"/>
      <c r="TBB158" s="274"/>
      <c r="TBC158" s="274"/>
      <c r="TBD158" s="274"/>
      <c r="TBE158" s="274"/>
      <c r="TBF158" s="273"/>
      <c r="TBG158" s="274"/>
      <c r="TBH158" s="274"/>
      <c r="TBI158" s="274"/>
      <c r="TBJ158" s="274"/>
      <c r="TBK158" s="274"/>
      <c r="TBL158" s="273"/>
      <c r="TBM158" s="274"/>
      <c r="TBN158" s="274"/>
      <c r="TBO158" s="274"/>
      <c r="TBP158" s="274"/>
      <c r="TBQ158" s="274"/>
      <c r="TBR158" s="273"/>
      <c r="TBS158" s="274"/>
      <c r="TBT158" s="274"/>
      <c r="TBU158" s="274"/>
      <c r="TBV158" s="274"/>
      <c r="TBW158" s="274"/>
      <c r="TBX158" s="273"/>
      <c r="TBY158" s="274"/>
      <c r="TBZ158" s="274"/>
      <c r="TCA158" s="274"/>
      <c r="TCB158" s="274"/>
      <c r="TCC158" s="274"/>
      <c r="TCD158" s="273"/>
      <c r="TCE158" s="274"/>
      <c r="TCF158" s="274"/>
      <c r="TCG158" s="274"/>
      <c r="TCH158" s="274"/>
      <c r="TCI158" s="274"/>
      <c r="TCJ158" s="273"/>
      <c r="TCK158" s="274"/>
      <c r="TCL158" s="274"/>
      <c r="TCM158" s="274"/>
      <c r="TCN158" s="274"/>
      <c r="TCO158" s="274"/>
      <c r="TCP158" s="273"/>
      <c r="TCQ158" s="274"/>
      <c r="TCR158" s="274"/>
      <c r="TCS158" s="274"/>
      <c r="TCT158" s="274"/>
      <c r="TCU158" s="274"/>
      <c r="TCV158" s="273"/>
      <c r="TCW158" s="274"/>
      <c r="TCX158" s="274"/>
      <c r="TCY158" s="274"/>
      <c r="TCZ158" s="274"/>
      <c r="TDA158" s="274"/>
      <c r="TDB158" s="273"/>
      <c r="TDC158" s="274"/>
      <c r="TDD158" s="274"/>
      <c r="TDE158" s="274"/>
      <c r="TDF158" s="274"/>
      <c r="TDG158" s="274"/>
      <c r="TDH158" s="273"/>
      <c r="TDI158" s="274"/>
      <c r="TDJ158" s="274"/>
      <c r="TDK158" s="274"/>
      <c r="TDL158" s="274"/>
      <c r="TDM158" s="274"/>
      <c r="TDN158" s="273"/>
      <c r="TDO158" s="274"/>
      <c r="TDP158" s="274"/>
      <c r="TDQ158" s="274"/>
      <c r="TDR158" s="274"/>
      <c r="TDS158" s="274"/>
      <c r="TDT158" s="273"/>
      <c r="TDU158" s="274"/>
      <c r="TDV158" s="274"/>
      <c r="TDW158" s="274"/>
      <c r="TDX158" s="274"/>
      <c r="TDY158" s="274"/>
      <c r="TDZ158" s="273"/>
      <c r="TEA158" s="274"/>
      <c r="TEB158" s="274"/>
      <c r="TEC158" s="274"/>
      <c r="TED158" s="274"/>
      <c r="TEE158" s="274"/>
      <c r="TEF158" s="273"/>
      <c r="TEG158" s="274"/>
      <c r="TEH158" s="274"/>
      <c r="TEI158" s="274"/>
      <c r="TEJ158" s="274"/>
      <c r="TEK158" s="274"/>
      <c r="TEL158" s="273"/>
      <c r="TEM158" s="274"/>
      <c r="TEN158" s="274"/>
      <c r="TEO158" s="274"/>
      <c r="TEP158" s="274"/>
      <c r="TEQ158" s="274"/>
      <c r="TER158" s="273"/>
      <c r="TES158" s="274"/>
      <c r="TET158" s="274"/>
      <c r="TEU158" s="274"/>
      <c r="TEV158" s="274"/>
      <c r="TEW158" s="274"/>
      <c r="TEX158" s="273"/>
      <c r="TEY158" s="274"/>
      <c r="TEZ158" s="274"/>
      <c r="TFA158" s="274"/>
      <c r="TFB158" s="274"/>
      <c r="TFC158" s="274"/>
      <c r="TFD158" s="273"/>
      <c r="TFE158" s="274"/>
      <c r="TFF158" s="274"/>
      <c r="TFG158" s="274"/>
      <c r="TFH158" s="274"/>
      <c r="TFI158" s="274"/>
      <c r="TFJ158" s="273"/>
      <c r="TFK158" s="274"/>
      <c r="TFL158" s="274"/>
      <c r="TFM158" s="274"/>
      <c r="TFN158" s="274"/>
      <c r="TFO158" s="274"/>
      <c r="TFP158" s="273"/>
      <c r="TFQ158" s="274"/>
      <c r="TFR158" s="274"/>
      <c r="TFS158" s="274"/>
      <c r="TFT158" s="274"/>
      <c r="TFU158" s="274"/>
      <c r="TFV158" s="273"/>
      <c r="TFW158" s="274"/>
      <c r="TFX158" s="274"/>
      <c r="TFY158" s="274"/>
      <c r="TFZ158" s="274"/>
      <c r="TGA158" s="274"/>
      <c r="TGB158" s="273"/>
      <c r="TGC158" s="274"/>
      <c r="TGD158" s="274"/>
      <c r="TGE158" s="274"/>
      <c r="TGF158" s="274"/>
      <c r="TGG158" s="274"/>
      <c r="TGH158" s="273"/>
      <c r="TGI158" s="274"/>
      <c r="TGJ158" s="274"/>
      <c r="TGK158" s="274"/>
      <c r="TGL158" s="274"/>
      <c r="TGM158" s="274"/>
      <c r="TGN158" s="273"/>
      <c r="TGO158" s="274"/>
      <c r="TGP158" s="274"/>
      <c r="TGQ158" s="274"/>
      <c r="TGR158" s="274"/>
      <c r="TGS158" s="274"/>
      <c r="TGT158" s="273"/>
      <c r="TGU158" s="274"/>
      <c r="TGV158" s="274"/>
      <c r="TGW158" s="274"/>
      <c r="TGX158" s="274"/>
      <c r="TGY158" s="274"/>
      <c r="TGZ158" s="273"/>
      <c r="THA158" s="274"/>
      <c r="THB158" s="274"/>
      <c r="THC158" s="274"/>
      <c r="THD158" s="274"/>
      <c r="THE158" s="274"/>
      <c r="THF158" s="273"/>
      <c r="THG158" s="274"/>
      <c r="THH158" s="274"/>
      <c r="THI158" s="274"/>
      <c r="THJ158" s="274"/>
      <c r="THK158" s="274"/>
      <c r="THL158" s="273"/>
      <c r="THM158" s="274"/>
      <c r="THN158" s="274"/>
      <c r="THO158" s="274"/>
      <c r="THP158" s="274"/>
      <c r="THQ158" s="274"/>
      <c r="THR158" s="273"/>
      <c r="THS158" s="274"/>
      <c r="THT158" s="274"/>
      <c r="THU158" s="274"/>
      <c r="THV158" s="274"/>
      <c r="THW158" s="274"/>
      <c r="THX158" s="273"/>
      <c r="THY158" s="274"/>
      <c r="THZ158" s="274"/>
      <c r="TIA158" s="274"/>
      <c r="TIB158" s="274"/>
      <c r="TIC158" s="274"/>
      <c r="TID158" s="273"/>
      <c r="TIE158" s="274"/>
      <c r="TIF158" s="274"/>
      <c r="TIG158" s="274"/>
      <c r="TIH158" s="274"/>
      <c r="TII158" s="274"/>
      <c r="TIJ158" s="273"/>
      <c r="TIK158" s="274"/>
      <c r="TIL158" s="274"/>
      <c r="TIM158" s="274"/>
      <c r="TIN158" s="274"/>
      <c r="TIO158" s="274"/>
      <c r="TIP158" s="273"/>
      <c r="TIQ158" s="274"/>
      <c r="TIR158" s="274"/>
      <c r="TIS158" s="274"/>
      <c r="TIT158" s="274"/>
      <c r="TIU158" s="274"/>
      <c r="TIV158" s="273"/>
      <c r="TIW158" s="274"/>
      <c r="TIX158" s="274"/>
      <c r="TIY158" s="274"/>
      <c r="TIZ158" s="274"/>
      <c r="TJA158" s="274"/>
      <c r="TJB158" s="273"/>
      <c r="TJC158" s="274"/>
      <c r="TJD158" s="274"/>
      <c r="TJE158" s="274"/>
      <c r="TJF158" s="274"/>
      <c r="TJG158" s="274"/>
      <c r="TJH158" s="273"/>
      <c r="TJI158" s="274"/>
      <c r="TJJ158" s="274"/>
      <c r="TJK158" s="274"/>
      <c r="TJL158" s="274"/>
      <c r="TJM158" s="274"/>
      <c r="TJN158" s="273"/>
      <c r="TJO158" s="274"/>
      <c r="TJP158" s="274"/>
      <c r="TJQ158" s="274"/>
      <c r="TJR158" s="274"/>
      <c r="TJS158" s="274"/>
      <c r="TJT158" s="273"/>
      <c r="TJU158" s="274"/>
      <c r="TJV158" s="274"/>
      <c r="TJW158" s="274"/>
      <c r="TJX158" s="274"/>
      <c r="TJY158" s="274"/>
      <c r="TJZ158" s="273"/>
      <c r="TKA158" s="274"/>
      <c r="TKB158" s="274"/>
      <c r="TKC158" s="274"/>
      <c r="TKD158" s="274"/>
      <c r="TKE158" s="274"/>
      <c r="TKF158" s="273"/>
      <c r="TKG158" s="274"/>
      <c r="TKH158" s="274"/>
      <c r="TKI158" s="274"/>
      <c r="TKJ158" s="274"/>
      <c r="TKK158" s="274"/>
      <c r="TKL158" s="273"/>
      <c r="TKM158" s="274"/>
      <c r="TKN158" s="274"/>
      <c r="TKO158" s="274"/>
      <c r="TKP158" s="274"/>
      <c r="TKQ158" s="274"/>
      <c r="TKR158" s="273"/>
      <c r="TKS158" s="274"/>
      <c r="TKT158" s="274"/>
      <c r="TKU158" s="274"/>
      <c r="TKV158" s="274"/>
      <c r="TKW158" s="274"/>
      <c r="TKX158" s="273"/>
      <c r="TKY158" s="274"/>
      <c r="TKZ158" s="274"/>
      <c r="TLA158" s="274"/>
      <c r="TLB158" s="274"/>
      <c r="TLC158" s="274"/>
      <c r="TLD158" s="273"/>
      <c r="TLE158" s="274"/>
      <c r="TLF158" s="274"/>
      <c r="TLG158" s="274"/>
      <c r="TLH158" s="274"/>
      <c r="TLI158" s="274"/>
      <c r="TLJ158" s="273"/>
      <c r="TLK158" s="274"/>
      <c r="TLL158" s="274"/>
      <c r="TLM158" s="274"/>
      <c r="TLN158" s="274"/>
      <c r="TLO158" s="274"/>
      <c r="TLP158" s="273"/>
      <c r="TLQ158" s="274"/>
      <c r="TLR158" s="274"/>
      <c r="TLS158" s="274"/>
      <c r="TLT158" s="274"/>
      <c r="TLU158" s="274"/>
      <c r="TLV158" s="273"/>
      <c r="TLW158" s="274"/>
      <c r="TLX158" s="274"/>
      <c r="TLY158" s="274"/>
      <c r="TLZ158" s="274"/>
      <c r="TMA158" s="274"/>
      <c r="TMB158" s="273"/>
      <c r="TMC158" s="274"/>
      <c r="TMD158" s="274"/>
      <c r="TME158" s="274"/>
      <c r="TMF158" s="274"/>
      <c r="TMG158" s="274"/>
      <c r="TMH158" s="273"/>
      <c r="TMI158" s="274"/>
      <c r="TMJ158" s="274"/>
      <c r="TMK158" s="274"/>
      <c r="TML158" s="274"/>
      <c r="TMM158" s="274"/>
      <c r="TMN158" s="273"/>
      <c r="TMO158" s="274"/>
      <c r="TMP158" s="274"/>
      <c r="TMQ158" s="274"/>
      <c r="TMR158" s="274"/>
      <c r="TMS158" s="274"/>
      <c r="TMT158" s="273"/>
      <c r="TMU158" s="274"/>
      <c r="TMV158" s="274"/>
      <c r="TMW158" s="274"/>
      <c r="TMX158" s="274"/>
      <c r="TMY158" s="274"/>
      <c r="TMZ158" s="273"/>
      <c r="TNA158" s="274"/>
      <c r="TNB158" s="274"/>
      <c r="TNC158" s="274"/>
      <c r="TND158" s="274"/>
      <c r="TNE158" s="274"/>
      <c r="TNF158" s="273"/>
      <c r="TNG158" s="274"/>
      <c r="TNH158" s="274"/>
      <c r="TNI158" s="274"/>
      <c r="TNJ158" s="274"/>
      <c r="TNK158" s="274"/>
      <c r="TNL158" s="273"/>
      <c r="TNM158" s="274"/>
      <c r="TNN158" s="274"/>
      <c r="TNO158" s="274"/>
      <c r="TNP158" s="274"/>
      <c r="TNQ158" s="274"/>
      <c r="TNR158" s="273"/>
      <c r="TNS158" s="274"/>
      <c r="TNT158" s="274"/>
      <c r="TNU158" s="274"/>
      <c r="TNV158" s="274"/>
      <c r="TNW158" s="274"/>
      <c r="TNX158" s="273"/>
      <c r="TNY158" s="274"/>
      <c r="TNZ158" s="274"/>
      <c r="TOA158" s="274"/>
      <c r="TOB158" s="274"/>
      <c r="TOC158" s="274"/>
      <c r="TOD158" s="273"/>
      <c r="TOE158" s="274"/>
      <c r="TOF158" s="274"/>
      <c r="TOG158" s="274"/>
      <c r="TOH158" s="274"/>
      <c r="TOI158" s="274"/>
      <c r="TOJ158" s="273"/>
      <c r="TOK158" s="274"/>
      <c r="TOL158" s="274"/>
      <c r="TOM158" s="274"/>
      <c r="TON158" s="274"/>
      <c r="TOO158" s="274"/>
      <c r="TOP158" s="273"/>
      <c r="TOQ158" s="274"/>
      <c r="TOR158" s="274"/>
      <c r="TOS158" s="274"/>
      <c r="TOT158" s="274"/>
      <c r="TOU158" s="274"/>
      <c r="TOV158" s="273"/>
      <c r="TOW158" s="274"/>
      <c r="TOX158" s="274"/>
      <c r="TOY158" s="274"/>
      <c r="TOZ158" s="274"/>
      <c r="TPA158" s="274"/>
      <c r="TPB158" s="273"/>
      <c r="TPC158" s="274"/>
      <c r="TPD158" s="274"/>
      <c r="TPE158" s="274"/>
      <c r="TPF158" s="274"/>
      <c r="TPG158" s="274"/>
      <c r="TPH158" s="273"/>
      <c r="TPI158" s="274"/>
      <c r="TPJ158" s="274"/>
      <c r="TPK158" s="274"/>
      <c r="TPL158" s="274"/>
      <c r="TPM158" s="274"/>
      <c r="TPN158" s="273"/>
      <c r="TPO158" s="274"/>
      <c r="TPP158" s="274"/>
      <c r="TPQ158" s="274"/>
      <c r="TPR158" s="274"/>
      <c r="TPS158" s="274"/>
      <c r="TPT158" s="273"/>
      <c r="TPU158" s="274"/>
      <c r="TPV158" s="274"/>
      <c r="TPW158" s="274"/>
      <c r="TPX158" s="274"/>
      <c r="TPY158" s="274"/>
      <c r="TPZ158" s="273"/>
      <c r="TQA158" s="274"/>
      <c r="TQB158" s="274"/>
      <c r="TQC158" s="274"/>
      <c r="TQD158" s="274"/>
      <c r="TQE158" s="274"/>
      <c r="TQF158" s="273"/>
      <c r="TQG158" s="274"/>
      <c r="TQH158" s="274"/>
      <c r="TQI158" s="274"/>
      <c r="TQJ158" s="274"/>
      <c r="TQK158" s="274"/>
      <c r="TQL158" s="273"/>
      <c r="TQM158" s="274"/>
      <c r="TQN158" s="274"/>
      <c r="TQO158" s="274"/>
      <c r="TQP158" s="274"/>
      <c r="TQQ158" s="274"/>
      <c r="TQR158" s="273"/>
      <c r="TQS158" s="274"/>
      <c r="TQT158" s="274"/>
      <c r="TQU158" s="274"/>
      <c r="TQV158" s="274"/>
      <c r="TQW158" s="274"/>
      <c r="TQX158" s="273"/>
      <c r="TQY158" s="274"/>
      <c r="TQZ158" s="274"/>
      <c r="TRA158" s="274"/>
      <c r="TRB158" s="274"/>
      <c r="TRC158" s="274"/>
      <c r="TRD158" s="273"/>
      <c r="TRE158" s="274"/>
      <c r="TRF158" s="274"/>
      <c r="TRG158" s="274"/>
      <c r="TRH158" s="274"/>
      <c r="TRI158" s="274"/>
      <c r="TRJ158" s="273"/>
      <c r="TRK158" s="274"/>
      <c r="TRL158" s="274"/>
      <c r="TRM158" s="274"/>
      <c r="TRN158" s="274"/>
      <c r="TRO158" s="274"/>
      <c r="TRP158" s="273"/>
      <c r="TRQ158" s="274"/>
      <c r="TRR158" s="274"/>
      <c r="TRS158" s="274"/>
      <c r="TRT158" s="274"/>
      <c r="TRU158" s="274"/>
      <c r="TRV158" s="273"/>
      <c r="TRW158" s="274"/>
      <c r="TRX158" s="274"/>
      <c r="TRY158" s="274"/>
      <c r="TRZ158" s="274"/>
      <c r="TSA158" s="274"/>
      <c r="TSB158" s="273"/>
      <c r="TSC158" s="274"/>
      <c r="TSD158" s="274"/>
      <c r="TSE158" s="274"/>
      <c r="TSF158" s="274"/>
      <c r="TSG158" s="274"/>
      <c r="TSH158" s="273"/>
      <c r="TSI158" s="274"/>
      <c r="TSJ158" s="274"/>
      <c r="TSK158" s="274"/>
      <c r="TSL158" s="274"/>
      <c r="TSM158" s="274"/>
      <c r="TSN158" s="273"/>
      <c r="TSO158" s="274"/>
      <c r="TSP158" s="274"/>
      <c r="TSQ158" s="274"/>
      <c r="TSR158" s="274"/>
      <c r="TSS158" s="274"/>
      <c r="TST158" s="273"/>
      <c r="TSU158" s="274"/>
      <c r="TSV158" s="274"/>
      <c r="TSW158" s="274"/>
      <c r="TSX158" s="274"/>
      <c r="TSY158" s="274"/>
      <c r="TSZ158" s="273"/>
      <c r="TTA158" s="274"/>
      <c r="TTB158" s="274"/>
      <c r="TTC158" s="274"/>
      <c r="TTD158" s="274"/>
      <c r="TTE158" s="274"/>
      <c r="TTF158" s="273"/>
      <c r="TTG158" s="274"/>
      <c r="TTH158" s="274"/>
      <c r="TTI158" s="274"/>
      <c r="TTJ158" s="274"/>
      <c r="TTK158" s="274"/>
      <c r="TTL158" s="273"/>
      <c r="TTM158" s="274"/>
      <c r="TTN158" s="274"/>
      <c r="TTO158" s="274"/>
      <c r="TTP158" s="274"/>
      <c r="TTQ158" s="274"/>
      <c r="TTR158" s="273"/>
      <c r="TTS158" s="274"/>
      <c r="TTT158" s="274"/>
      <c r="TTU158" s="274"/>
      <c r="TTV158" s="274"/>
      <c r="TTW158" s="274"/>
      <c r="TTX158" s="273"/>
      <c r="TTY158" s="274"/>
      <c r="TTZ158" s="274"/>
      <c r="TUA158" s="274"/>
      <c r="TUB158" s="274"/>
      <c r="TUC158" s="274"/>
      <c r="TUD158" s="273"/>
      <c r="TUE158" s="274"/>
      <c r="TUF158" s="274"/>
      <c r="TUG158" s="274"/>
      <c r="TUH158" s="274"/>
      <c r="TUI158" s="274"/>
      <c r="TUJ158" s="273"/>
      <c r="TUK158" s="274"/>
      <c r="TUL158" s="274"/>
      <c r="TUM158" s="274"/>
      <c r="TUN158" s="274"/>
      <c r="TUO158" s="274"/>
      <c r="TUP158" s="273"/>
      <c r="TUQ158" s="274"/>
      <c r="TUR158" s="274"/>
      <c r="TUS158" s="274"/>
      <c r="TUT158" s="274"/>
      <c r="TUU158" s="274"/>
      <c r="TUV158" s="273"/>
      <c r="TUW158" s="274"/>
      <c r="TUX158" s="274"/>
      <c r="TUY158" s="274"/>
      <c r="TUZ158" s="274"/>
      <c r="TVA158" s="274"/>
      <c r="TVB158" s="273"/>
      <c r="TVC158" s="274"/>
      <c r="TVD158" s="274"/>
      <c r="TVE158" s="274"/>
      <c r="TVF158" s="274"/>
      <c r="TVG158" s="274"/>
      <c r="TVH158" s="273"/>
      <c r="TVI158" s="274"/>
      <c r="TVJ158" s="274"/>
      <c r="TVK158" s="274"/>
      <c r="TVL158" s="274"/>
      <c r="TVM158" s="274"/>
      <c r="TVN158" s="273"/>
      <c r="TVO158" s="274"/>
      <c r="TVP158" s="274"/>
      <c r="TVQ158" s="274"/>
      <c r="TVR158" s="274"/>
      <c r="TVS158" s="274"/>
      <c r="TVT158" s="273"/>
      <c r="TVU158" s="274"/>
      <c r="TVV158" s="274"/>
      <c r="TVW158" s="274"/>
      <c r="TVX158" s="274"/>
      <c r="TVY158" s="274"/>
      <c r="TVZ158" s="273"/>
      <c r="TWA158" s="274"/>
      <c r="TWB158" s="274"/>
      <c r="TWC158" s="274"/>
      <c r="TWD158" s="274"/>
      <c r="TWE158" s="274"/>
      <c r="TWF158" s="273"/>
      <c r="TWG158" s="274"/>
      <c r="TWH158" s="274"/>
      <c r="TWI158" s="274"/>
      <c r="TWJ158" s="274"/>
      <c r="TWK158" s="274"/>
      <c r="TWL158" s="273"/>
      <c r="TWM158" s="274"/>
      <c r="TWN158" s="274"/>
      <c r="TWO158" s="274"/>
      <c r="TWP158" s="274"/>
      <c r="TWQ158" s="274"/>
      <c r="TWR158" s="273"/>
      <c r="TWS158" s="274"/>
      <c r="TWT158" s="274"/>
      <c r="TWU158" s="274"/>
      <c r="TWV158" s="274"/>
      <c r="TWW158" s="274"/>
      <c r="TWX158" s="273"/>
      <c r="TWY158" s="274"/>
      <c r="TWZ158" s="274"/>
      <c r="TXA158" s="274"/>
      <c r="TXB158" s="274"/>
      <c r="TXC158" s="274"/>
      <c r="TXD158" s="273"/>
      <c r="TXE158" s="274"/>
      <c r="TXF158" s="274"/>
      <c r="TXG158" s="274"/>
      <c r="TXH158" s="274"/>
      <c r="TXI158" s="274"/>
      <c r="TXJ158" s="273"/>
      <c r="TXK158" s="274"/>
      <c r="TXL158" s="274"/>
      <c r="TXM158" s="274"/>
      <c r="TXN158" s="274"/>
      <c r="TXO158" s="274"/>
      <c r="TXP158" s="273"/>
      <c r="TXQ158" s="274"/>
      <c r="TXR158" s="274"/>
      <c r="TXS158" s="274"/>
      <c r="TXT158" s="274"/>
      <c r="TXU158" s="274"/>
      <c r="TXV158" s="273"/>
      <c r="TXW158" s="274"/>
      <c r="TXX158" s="274"/>
      <c r="TXY158" s="274"/>
      <c r="TXZ158" s="274"/>
      <c r="TYA158" s="274"/>
      <c r="TYB158" s="273"/>
      <c r="TYC158" s="274"/>
      <c r="TYD158" s="274"/>
      <c r="TYE158" s="274"/>
      <c r="TYF158" s="274"/>
      <c r="TYG158" s="274"/>
      <c r="TYH158" s="273"/>
      <c r="TYI158" s="274"/>
      <c r="TYJ158" s="274"/>
      <c r="TYK158" s="274"/>
      <c r="TYL158" s="274"/>
      <c r="TYM158" s="274"/>
      <c r="TYN158" s="273"/>
      <c r="TYO158" s="274"/>
      <c r="TYP158" s="274"/>
      <c r="TYQ158" s="274"/>
      <c r="TYR158" s="274"/>
      <c r="TYS158" s="274"/>
      <c r="TYT158" s="273"/>
      <c r="TYU158" s="274"/>
      <c r="TYV158" s="274"/>
      <c r="TYW158" s="274"/>
      <c r="TYX158" s="274"/>
      <c r="TYY158" s="274"/>
      <c r="TYZ158" s="273"/>
      <c r="TZA158" s="274"/>
      <c r="TZB158" s="274"/>
      <c r="TZC158" s="274"/>
      <c r="TZD158" s="274"/>
      <c r="TZE158" s="274"/>
      <c r="TZF158" s="273"/>
      <c r="TZG158" s="274"/>
      <c r="TZH158" s="274"/>
      <c r="TZI158" s="274"/>
      <c r="TZJ158" s="274"/>
      <c r="TZK158" s="274"/>
      <c r="TZL158" s="273"/>
      <c r="TZM158" s="274"/>
      <c r="TZN158" s="274"/>
      <c r="TZO158" s="274"/>
      <c r="TZP158" s="274"/>
      <c r="TZQ158" s="274"/>
      <c r="TZR158" s="273"/>
      <c r="TZS158" s="274"/>
      <c r="TZT158" s="274"/>
      <c r="TZU158" s="274"/>
      <c r="TZV158" s="274"/>
      <c r="TZW158" s="274"/>
      <c r="TZX158" s="273"/>
      <c r="TZY158" s="274"/>
      <c r="TZZ158" s="274"/>
      <c r="UAA158" s="274"/>
      <c r="UAB158" s="274"/>
      <c r="UAC158" s="274"/>
      <c r="UAD158" s="273"/>
      <c r="UAE158" s="274"/>
      <c r="UAF158" s="274"/>
      <c r="UAG158" s="274"/>
      <c r="UAH158" s="274"/>
      <c r="UAI158" s="274"/>
      <c r="UAJ158" s="273"/>
      <c r="UAK158" s="274"/>
      <c r="UAL158" s="274"/>
      <c r="UAM158" s="274"/>
      <c r="UAN158" s="274"/>
      <c r="UAO158" s="274"/>
      <c r="UAP158" s="273"/>
      <c r="UAQ158" s="274"/>
      <c r="UAR158" s="274"/>
      <c r="UAS158" s="274"/>
      <c r="UAT158" s="274"/>
      <c r="UAU158" s="274"/>
      <c r="UAV158" s="273"/>
      <c r="UAW158" s="274"/>
      <c r="UAX158" s="274"/>
      <c r="UAY158" s="274"/>
      <c r="UAZ158" s="274"/>
      <c r="UBA158" s="274"/>
      <c r="UBB158" s="273"/>
      <c r="UBC158" s="274"/>
      <c r="UBD158" s="274"/>
      <c r="UBE158" s="274"/>
      <c r="UBF158" s="274"/>
      <c r="UBG158" s="274"/>
      <c r="UBH158" s="273"/>
      <c r="UBI158" s="274"/>
      <c r="UBJ158" s="274"/>
      <c r="UBK158" s="274"/>
      <c r="UBL158" s="274"/>
      <c r="UBM158" s="274"/>
      <c r="UBN158" s="273"/>
      <c r="UBO158" s="274"/>
      <c r="UBP158" s="274"/>
      <c r="UBQ158" s="274"/>
      <c r="UBR158" s="274"/>
      <c r="UBS158" s="274"/>
      <c r="UBT158" s="273"/>
      <c r="UBU158" s="274"/>
      <c r="UBV158" s="274"/>
      <c r="UBW158" s="274"/>
      <c r="UBX158" s="274"/>
      <c r="UBY158" s="274"/>
      <c r="UBZ158" s="273"/>
      <c r="UCA158" s="274"/>
      <c r="UCB158" s="274"/>
      <c r="UCC158" s="274"/>
      <c r="UCD158" s="274"/>
      <c r="UCE158" s="274"/>
      <c r="UCF158" s="273"/>
      <c r="UCG158" s="274"/>
      <c r="UCH158" s="274"/>
      <c r="UCI158" s="274"/>
      <c r="UCJ158" s="274"/>
      <c r="UCK158" s="274"/>
      <c r="UCL158" s="273"/>
      <c r="UCM158" s="274"/>
      <c r="UCN158" s="274"/>
      <c r="UCO158" s="274"/>
      <c r="UCP158" s="274"/>
      <c r="UCQ158" s="274"/>
      <c r="UCR158" s="273"/>
      <c r="UCS158" s="274"/>
      <c r="UCT158" s="274"/>
      <c r="UCU158" s="274"/>
      <c r="UCV158" s="274"/>
      <c r="UCW158" s="274"/>
      <c r="UCX158" s="273"/>
      <c r="UCY158" s="274"/>
      <c r="UCZ158" s="274"/>
      <c r="UDA158" s="274"/>
      <c r="UDB158" s="274"/>
      <c r="UDC158" s="274"/>
      <c r="UDD158" s="273"/>
      <c r="UDE158" s="274"/>
      <c r="UDF158" s="274"/>
      <c r="UDG158" s="274"/>
      <c r="UDH158" s="274"/>
      <c r="UDI158" s="274"/>
      <c r="UDJ158" s="273"/>
      <c r="UDK158" s="274"/>
      <c r="UDL158" s="274"/>
      <c r="UDM158" s="274"/>
      <c r="UDN158" s="274"/>
      <c r="UDO158" s="274"/>
      <c r="UDP158" s="273"/>
      <c r="UDQ158" s="274"/>
      <c r="UDR158" s="274"/>
      <c r="UDS158" s="274"/>
      <c r="UDT158" s="274"/>
      <c r="UDU158" s="274"/>
      <c r="UDV158" s="273"/>
      <c r="UDW158" s="274"/>
      <c r="UDX158" s="274"/>
      <c r="UDY158" s="274"/>
      <c r="UDZ158" s="274"/>
      <c r="UEA158" s="274"/>
      <c r="UEB158" s="273"/>
      <c r="UEC158" s="274"/>
      <c r="UED158" s="274"/>
      <c r="UEE158" s="274"/>
      <c r="UEF158" s="274"/>
      <c r="UEG158" s="274"/>
      <c r="UEH158" s="273"/>
      <c r="UEI158" s="274"/>
      <c r="UEJ158" s="274"/>
      <c r="UEK158" s="274"/>
      <c r="UEL158" s="274"/>
      <c r="UEM158" s="274"/>
      <c r="UEN158" s="273"/>
      <c r="UEO158" s="274"/>
      <c r="UEP158" s="274"/>
      <c r="UEQ158" s="274"/>
      <c r="UER158" s="274"/>
      <c r="UES158" s="274"/>
      <c r="UET158" s="273"/>
      <c r="UEU158" s="274"/>
      <c r="UEV158" s="274"/>
      <c r="UEW158" s="274"/>
      <c r="UEX158" s="274"/>
      <c r="UEY158" s="274"/>
      <c r="UEZ158" s="273"/>
      <c r="UFA158" s="274"/>
      <c r="UFB158" s="274"/>
      <c r="UFC158" s="274"/>
      <c r="UFD158" s="274"/>
      <c r="UFE158" s="274"/>
      <c r="UFF158" s="273"/>
      <c r="UFG158" s="274"/>
      <c r="UFH158" s="274"/>
      <c r="UFI158" s="274"/>
      <c r="UFJ158" s="274"/>
      <c r="UFK158" s="274"/>
      <c r="UFL158" s="273"/>
      <c r="UFM158" s="274"/>
      <c r="UFN158" s="274"/>
      <c r="UFO158" s="274"/>
      <c r="UFP158" s="274"/>
      <c r="UFQ158" s="274"/>
      <c r="UFR158" s="273"/>
      <c r="UFS158" s="274"/>
      <c r="UFT158" s="274"/>
      <c r="UFU158" s="274"/>
      <c r="UFV158" s="274"/>
      <c r="UFW158" s="274"/>
      <c r="UFX158" s="273"/>
      <c r="UFY158" s="274"/>
      <c r="UFZ158" s="274"/>
      <c r="UGA158" s="274"/>
      <c r="UGB158" s="274"/>
      <c r="UGC158" s="274"/>
      <c r="UGD158" s="273"/>
      <c r="UGE158" s="274"/>
      <c r="UGF158" s="274"/>
      <c r="UGG158" s="274"/>
      <c r="UGH158" s="274"/>
      <c r="UGI158" s="274"/>
      <c r="UGJ158" s="273"/>
      <c r="UGK158" s="274"/>
      <c r="UGL158" s="274"/>
      <c r="UGM158" s="274"/>
      <c r="UGN158" s="274"/>
      <c r="UGO158" s="274"/>
      <c r="UGP158" s="273"/>
      <c r="UGQ158" s="274"/>
      <c r="UGR158" s="274"/>
      <c r="UGS158" s="274"/>
      <c r="UGT158" s="274"/>
      <c r="UGU158" s="274"/>
      <c r="UGV158" s="273"/>
      <c r="UGW158" s="274"/>
      <c r="UGX158" s="274"/>
      <c r="UGY158" s="274"/>
      <c r="UGZ158" s="274"/>
      <c r="UHA158" s="274"/>
      <c r="UHB158" s="273"/>
      <c r="UHC158" s="274"/>
      <c r="UHD158" s="274"/>
      <c r="UHE158" s="274"/>
      <c r="UHF158" s="274"/>
      <c r="UHG158" s="274"/>
      <c r="UHH158" s="273"/>
      <c r="UHI158" s="274"/>
      <c r="UHJ158" s="274"/>
      <c r="UHK158" s="274"/>
      <c r="UHL158" s="274"/>
      <c r="UHM158" s="274"/>
      <c r="UHN158" s="273"/>
      <c r="UHO158" s="274"/>
      <c r="UHP158" s="274"/>
      <c r="UHQ158" s="274"/>
      <c r="UHR158" s="274"/>
      <c r="UHS158" s="274"/>
      <c r="UHT158" s="273"/>
      <c r="UHU158" s="274"/>
      <c r="UHV158" s="274"/>
      <c r="UHW158" s="274"/>
      <c r="UHX158" s="274"/>
      <c r="UHY158" s="274"/>
      <c r="UHZ158" s="273"/>
      <c r="UIA158" s="274"/>
      <c r="UIB158" s="274"/>
      <c r="UIC158" s="274"/>
      <c r="UID158" s="274"/>
      <c r="UIE158" s="274"/>
      <c r="UIF158" s="273"/>
      <c r="UIG158" s="274"/>
      <c r="UIH158" s="274"/>
      <c r="UII158" s="274"/>
      <c r="UIJ158" s="274"/>
      <c r="UIK158" s="274"/>
      <c r="UIL158" s="273"/>
      <c r="UIM158" s="274"/>
      <c r="UIN158" s="274"/>
      <c r="UIO158" s="274"/>
      <c r="UIP158" s="274"/>
      <c r="UIQ158" s="274"/>
      <c r="UIR158" s="273"/>
      <c r="UIS158" s="274"/>
      <c r="UIT158" s="274"/>
      <c r="UIU158" s="274"/>
      <c r="UIV158" s="274"/>
      <c r="UIW158" s="274"/>
      <c r="UIX158" s="273"/>
      <c r="UIY158" s="274"/>
      <c r="UIZ158" s="274"/>
      <c r="UJA158" s="274"/>
      <c r="UJB158" s="274"/>
      <c r="UJC158" s="274"/>
      <c r="UJD158" s="273"/>
      <c r="UJE158" s="274"/>
      <c r="UJF158" s="274"/>
      <c r="UJG158" s="274"/>
      <c r="UJH158" s="274"/>
      <c r="UJI158" s="274"/>
      <c r="UJJ158" s="273"/>
      <c r="UJK158" s="274"/>
      <c r="UJL158" s="274"/>
      <c r="UJM158" s="274"/>
      <c r="UJN158" s="274"/>
      <c r="UJO158" s="274"/>
      <c r="UJP158" s="273"/>
      <c r="UJQ158" s="274"/>
      <c r="UJR158" s="274"/>
      <c r="UJS158" s="274"/>
      <c r="UJT158" s="274"/>
      <c r="UJU158" s="274"/>
      <c r="UJV158" s="273"/>
      <c r="UJW158" s="274"/>
      <c r="UJX158" s="274"/>
      <c r="UJY158" s="274"/>
      <c r="UJZ158" s="274"/>
      <c r="UKA158" s="274"/>
      <c r="UKB158" s="273"/>
      <c r="UKC158" s="274"/>
      <c r="UKD158" s="274"/>
      <c r="UKE158" s="274"/>
      <c r="UKF158" s="274"/>
      <c r="UKG158" s="274"/>
      <c r="UKH158" s="273"/>
      <c r="UKI158" s="274"/>
      <c r="UKJ158" s="274"/>
      <c r="UKK158" s="274"/>
      <c r="UKL158" s="274"/>
      <c r="UKM158" s="274"/>
      <c r="UKN158" s="273"/>
      <c r="UKO158" s="274"/>
      <c r="UKP158" s="274"/>
      <c r="UKQ158" s="274"/>
      <c r="UKR158" s="274"/>
      <c r="UKS158" s="274"/>
      <c r="UKT158" s="273"/>
      <c r="UKU158" s="274"/>
      <c r="UKV158" s="274"/>
      <c r="UKW158" s="274"/>
      <c r="UKX158" s="274"/>
      <c r="UKY158" s="274"/>
      <c r="UKZ158" s="273"/>
      <c r="ULA158" s="274"/>
      <c r="ULB158" s="274"/>
      <c r="ULC158" s="274"/>
      <c r="ULD158" s="274"/>
      <c r="ULE158" s="274"/>
      <c r="ULF158" s="273"/>
      <c r="ULG158" s="274"/>
      <c r="ULH158" s="274"/>
      <c r="ULI158" s="274"/>
      <c r="ULJ158" s="274"/>
      <c r="ULK158" s="274"/>
      <c r="ULL158" s="273"/>
      <c r="ULM158" s="274"/>
      <c r="ULN158" s="274"/>
      <c r="ULO158" s="274"/>
      <c r="ULP158" s="274"/>
      <c r="ULQ158" s="274"/>
      <c r="ULR158" s="273"/>
      <c r="ULS158" s="274"/>
      <c r="ULT158" s="274"/>
      <c r="ULU158" s="274"/>
      <c r="ULV158" s="274"/>
      <c r="ULW158" s="274"/>
      <c r="ULX158" s="273"/>
      <c r="ULY158" s="274"/>
      <c r="ULZ158" s="274"/>
      <c r="UMA158" s="274"/>
      <c r="UMB158" s="274"/>
      <c r="UMC158" s="274"/>
      <c r="UMD158" s="273"/>
      <c r="UME158" s="274"/>
      <c r="UMF158" s="274"/>
      <c r="UMG158" s="274"/>
      <c r="UMH158" s="274"/>
      <c r="UMI158" s="274"/>
      <c r="UMJ158" s="273"/>
      <c r="UMK158" s="274"/>
      <c r="UML158" s="274"/>
      <c r="UMM158" s="274"/>
      <c r="UMN158" s="274"/>
      <c r="UMO158" s="274"/>
      <c r="UMP158" s="273"/>
      <c r="UMQ158" s="274"/>
      <c r="UMR158" s="274"/>
      <c r="UMS158" s="274"/>
      <c r="UMT158" s="274"/>
      <c r="UMU158" s="274"/>
      <c r="UMV158" s="273"/>
      <c r="UMW158" s="274"/>
      <c r="UMX158" s="274"/>
      <c r="UMY158" s="274"/>
      <c r="UMZ158" s="274"/>
      <c r="UNA158" s="274"/>
      <c r="UNB158" s="273"/>
      <c r="UNC158" s="274"/>
      <c r="UND158" s="274"/>
      <c r="UNE158" s="274"/>
      <c r="UNF158" s="274"/>
      <c r="UNG158" s="274"/>
      <c r="UNH158" s="273"/>
      <c r="UNI158" s="274"/>
      <c r="UNJ158" s="274"/>
      <c r="UNK158" s="274"/>
      <c r="UNL158" s="274"/>
      <c r="UNM158" s="274"/>
      <c r="UNN158" s="273"/>
      <c r="UNO158" s="274"/>
      <c r="UNP158" s="274"/>
      <c r="UNQ158" s="274"/>
      <c r="UNR158" s="274"/>
      <c r="UNS158" s="274"/>
      <c r="UNT158" s="273"/>
      <c r="UNU158" s="274"/>
      <c r="UNV158" s="274"/>
      <c r="UNW158" s="274"/>
      <c r="UNX158" s="274"/>
      <c r="UNY158" s="274"/>
      <c r="UNZ158" s="273"/>
      <c r="UOA158" s="274"/>
      <c r="UOB158" s="274"/>
      <c r="UOC158" s="274"/>
      <c r="UOD158" s="274"/>
      <c r="UOE158" s="274"/>
      <c r="UOF158" s="273"/>
      <c r="UOG158" s="274"/>
      <c r="UOH158" s="274"/>
      <c r="UOI158" s="274"/>
      <c r="UOJ158" s="274"/>
      <c r="UOK158" s="274"/>
      <c r="UOL158" s="273"/>
      <c r="UOM158" s="274"/>
      <c r="UON158" s="274"/>
      <c r="UOO158" s="274"/>
      <c r="UOP158" s="274"/>
      <c r="UOQ158" s="274"/>
      <c r="UOR158" s="273"/>
      <c r="UOS158" s="274"/>
      <c r="UOT158" s="274"/>
      <c r="UOU158" s="274"/>
      <c r="UOV158" s="274"/>
      <c r="UOW158" s="274"/>
      <c r="UOX158" s="273"/>
      <c r="UOY158" s="274"/>
      <c r="UOZ158" s="274"/>
      <c r="UPA158" s="274"/>
      <c r="UPB158" s="274"/>
      <c r="UPC158" s="274"/>
      <c r="UPD158" s="273"/>
      <c r="UPE158" s="274"/>
      <c r="UPF158" s="274"/>
      <c r="UPG158" s="274"/>
      <c r="UPH158" s="274"/>
      <c r="UPI158" s="274"/>
      <c r="UPJ158" s="273"/>
      <c r="UPK158" s="274"/>
      <c r="UPL158" s="274"/>
      <c r="UPM158" s="274"/>
      <c r="UPN158" s="274"/>
      <c r="UPO158" s="274"/>
      <c r="UPP158" s="273"/>
      <c r="UPQ158" s="274"/>
      <c r="UPR158" s="274"/>
      <c r="UPS158" s="274"/>
      <c r="UPT158" s="274"/>
      <c r="UPU158" s="274"/>
      <c r="UPV158" s="273"/>
      <c r="UPW158" s="274"/>
      <c r="UPX158" s="274"/>
      <c r="UPY158" s="274"/>
      <c r="UPZ158" s="274"/>
      <c r="UQA158" s="274"/>
      <c r="UQB158" s="273"/>
      <c r="UQC158" s="274"/>
      <c r="UQD158" s="274"/>
      <c r="UQE158" s="274"/>
      <c r="UQF158" s="274"/>
      <c r="UQG158" s="274"/>
      <c r="UQH158" s="273"/>
      <c r="UQI158" s="274"/>
      <c r="UQJ158" s="274"/>
      <c r="UQK158" s="274"/>
      <c r="UQL158" s="274"/>
      <c r="UQM158" s="274"/>
      <c r="UQN158" s="273"/>
      <c r="UQO158" s="274"/>
      <c r="UQP158" s="274"/>
      <c r="UQQ158" s="274"/>
      <c r="UQR158" s="274"/>
      <c r="UQS158" s="274"/>
      <c r="UQT158" s="273"/>
      <c r="UQU158" s="274"/>
      <c r="UQV158" s="274"/>
      <c r="UQW158" s="274"/>
      <c r="UQX158" s="274"/>
      <c r="UQY158" s="274"/>
      <c r="UQZ158" s="273"/>
      <c r="URA158" s="274"/>
      <c r="URB158" s="274"/>
      <c r="URC158" s="274"/>
      <c r="URD158" s="274"/>
      <c r="URE158" s="274"/>
      <c r="URF158" s="273"/>
      <c r="URG158" s="274"/>
      <c r="URH158" s="274"/>
      <c r="URI158" s="274"/>
      <c r="URJ158" s="274"/>
      <c r="URK158" s="274"/>
      <c r="URL158" s="273"/>
      <c r="URM158" s="274"/>
      <c r="URN158" s="274"/>
      <c r="URO158" s="274"/>
      <c r="URP158" s="274"/>
      <c r="URQ158" s="274"/>
      <c r="URR158" s="273"/>
      <c r="URS158" s="274"/>
      <c r="URT158" s="274"/>
      <c r="URU158" s="274"/>
      <c r="URV158" s="274"/>
      <c r="URW158" s="274"/>
      <c r="URX158" s="273"/>
      <c r="URY158" s="274"/>
      <c r="URZ158" s="274"/>
      <c r="USA158" s="274"/>
      <c r="USB158" s="274"/>
      <c r="USC158" s="274"/>
      <c r="USD158" s="273"/>
      <c r="USE158" s="274"/>
      <c r="USF158" s="274"/>
      <c r="USG158" s="274"/>
      <c r="USH158" s="274"/>
      <c r="USI158" s="274"/>
      <c r="USJ158" s="273"/>
      <c r="USK158" s="274"/>
      <c r="USL158" s="274"/>
      <c r="USM158" s="274"/>
      <c r="USN158" s="274"/>
      <c r="USO158" s="274"/>
      <c r="USP158" s="273"/>
      <c r="USQ158" s="274"/>
      <c r="USR158" s="274"/>
      <c r="USS158" s="274"/>
      <c r="UST158" s="274"/>
      <c r="USU158" s="274"/>
      <c r="USV158" s="273"/>
      <c r="USW158" s="274"/>
      <c r="USX158" s="274"/>
      <c r="USY158" s="274"/>
      <c r="USZ158" s="274"/>
      <c r="UTA158" s="274"/>
      <c r="UTB158" s="273"/>
      <c r="UTC158" s="274"/>
      <c r="UTD158" s="274"/>
      <c r="UTE158" s="274"/>
      <c r="UTF158" s="274"/>
      <c r="UTG158" s="274"/>
      <c r="UTH158" s="273"/>
      <c r="UTI158" s="274"/>
      <c r="UTJ158" s="274"/>
      <c r="UTK158" s="274"/>
      <c r="UTL158" s="274"/>
      <c r="UTM158" s="274"/>
      <c r="UTN158" s="273"/>
      <c r="UTO158" s="274"/>
      <c r="UTP158" s="274"/>
      <c r="UTQ158" s="274"/>
      <c r="UTR158" s="274"/>
      <c r="UTS158" s="274"/>
      <c r="UTT158" s="273"/>
      <c r="UTU158" s="274"/>
      <c r="UTV158" s="274"/>
      <c r="UTW158" s="274"/>
      <c r="UTX158" s="274"/>
      <c r="UTY158" s="274"/>
      <c r="UTZ158" s="273"/>
      <c r="UUA158" s="274"/>
      <c r="UUB158" s="274"/>
      <c r="UUC158" s="274"/>
      <c r="UUD158" s="274"/>
      <c r="UUE158" s="274"/>
      <c r="UUF158" s="273"/>
      <c r="UUG158" s="274"/>
      <c r="UUH158" s="274"/>
      <c r="UUI158" s="274"/>
      <c r="UUJ158" s="274"/>
      <c r="UUK158" s="274"/>
      <c r="UUL158" s="273"/>
      <c r="UUM158" s="274"/>
      <c r="UUN158" s="274"/>
      <c r="UUO158" s="274"/>
      <c r="UUP158" s="274"/>
      <c r="UUQ158" s="274"/>
      <c r="UUR158" s="273"/>
      <c r="UUS158" s="274"/>
      <c r="UUT158" s="274"/>
      <c r="UUU158" s="274"/>
      <c r="UUV158" s="274"/>
      <c r="UUW158" s="274"/>
      <c r="UUX158" s="273"/>
      <c r="UUY158" s="274"/>
      <c r="UUZ158" s="274"/>
      <c r="UVA158" s="274"/>
      <c r="UVB158" s="274"/>
      <c r="UVC158" s="274"/>
      <c r="UVD158" s="273"/>
      <c r="UVE158" s="274"/>
      <c r="UVF158" s="274"/>
      <c r="UVG158" s="274"/>
      <c r="UVH158" s="274"/>
      <c r="UVI158" s="274"/>
      <c r="UVJ158" s="273"/>
      <c r="UVK158" s="274"/>
      <c r="UVL158" s="274"/>
      <c r="UVM158" s="274"/>
      <c r="UVN158" s="274"/>
      <c r="UVO158" s="274"/>
      <c r="UVP158" s="273"/>
      <c r="UVQ158" s="274"/>
      <c r="UVR158" s="274"/>
      <c r="UVS158" s="274"/>
      <c r="UVT158" s="274"/>
      <c r="UVU158" s="274"/>
      <c r="UVV158" s="273"/>
      <c r="UVW158" s="274"/>
      <c r="UVX158" s="274"/>
      <c r="UVY158" s="274"/>
      <c r="UVZ158" s="274"/>
      <c r="UWA158" s="274"/>
      <c r="UWB158" s="273"/>
      <c r="UWC158" s="274"/>
      <c r="UWD158" s="274"/>
      <c r="UWE158" s="274"/>
      <c r="UWF158" s="274"/>
      <c r="UWG158" s="274"/>
      <c r="UWH158" s="273"/>
      <c r="UWI158" s="274"/>
      <c r="UWJ158" s="274"/>
      <c r="UWK158" s="274"/>
      <c r="UWL158" s="274"/>
      <c r="UWM158" s="274"/>
      <c r="UWN158" s="273"/>
      <c r="UWO158" s="274"/>
      <c r="UWP158" s="274"/>
      <c r="UWQ158" s="274"/>
      <c r="UWR158" s="274"/>
      <c r="UWS158" s="274"/>
      <c r="UWT158" s="273"/>
      <c r="UWU158" s="274"/>
      <c r="UWV158" s="274"/>
      <c r="UWW158" s="274"/>
      <c r="UWX158" s="274"/>
      <c r="UWY158" s="274"/>
      <c r="UWZ158" s="273"/>
      <c r="UXA158" s="274"/>
      <c r="UXB158" s="274"/>
      <c r="UXC158" s="274"/>
      <c r="UXD158" s="274"/>
      <c r="UXE158" s="274"/>
      <c r="UXF158" s="273"/>
      <c r="UXG158" s="274"/>
      <c r="UXH158" s="274"/>
      <c r="UXI158" s="274"/>
      <c r="UXJ158" s="274"/>
      <c r="UXK158" s="274"/>
      <c r="UXL158" s="273"/>
      <c r="UXM158" s="274"/>
      <c r="UXN158" s="274"/>
      <c r="UXO158" s="274"/>
      <c r="UXP158" s="274"/>
      <c r="UXQ158" s="274"/>
      <c r="UXR158" s="273"/>
      <c r="UXS158" s="274"/>
      <c r="UXT158" s="274"/>
      <c r="UXU158" s="274"/>
      <c r="UXV158" s="274"/>
      <c r="UXW158" s="274"/>
      <c r="UXX158" s="273"/>
      <c r="UXY158" s="274"/>
      <c r="UXZ158" s="274"/>
      <c r="UYA158" s="274"/>
      <c r="UYB158" s="274"/>
      <c r="UYC158" s="274"/>
      <c r="UYD158" s="273"/>
      <c r="UYE158" s="274"/>
      <c r="UYF158" s="274"/>
      <c r="UYG158" s="274"/>
      <c r="UYH158" s="274"/>
      <c r="UYI158" s="274"/>
      <c r="UYJ158" s="273"/>
      <c r="UYK158" s="274"/>
      <c r="UYL158" s="274"/>
      <c r="UYM158" s="274"/>
      <c r="UYN158" s="274"/>
      <c r="UYO158" s="274"/>
      <c r="UYP158" s="273"/>
      <c r="UYQ158" s="274"/>
      <c r="UYR158" s="274"/>
      <c r="UYS158" s="274"/>
      <c r="UYT158" s="274"/>
      <c r="UYU158" s="274"/>
      <c r="UYV158" s="273"/>
      <c r="UYW158" s="274"/>
      <c r="UYX158" s="274"/>
      <c r="UYY158" s="274"/>
      <c r="UYZ158" s="274"/>
      <c r="UZA158" s="274"/>
      <c r="UZB158" s="273"/>
      <c r="UZC158" s="274"/>
      <c r="UZD158" s="274"/>
      <c r="UZE158" s="274"/>
      <c r="UZF158" s="274"/>
      <c r="UZG158" s="274"/>
      <c r="UZH158" s="273"/>
      <c r="UZI158" s="274"/>
      <c r="UZJ158" s="274"/>
      <c r="UZK158" s="274"/>
      <c r="UZL158" s="274"/>
      <c r="UZM158" s="274"/>
      <c r="UZN158" s="273"/>
      <c r="UZO158" s="274"/>
      <c r="UZP158" s="274"/>
      <c r="UZQ158" s="274"/>
      <c r="UZR158" s="274"/>
      <c r="UZS158" s="274"/>
      <c r="UZT158" s="273"/>
      <c r="UZU158" s="274"/>
      <c r="UZV158" s="274"/>
      <c r="UZW158" s="274"/>
      <c r="UZX158" s="274"/>
      <c r="UZY158" s="274"/>
      <c r="UZZ158" s="273"/>
      <c r="VAA158" s="274"/>
      <c r="VAB158" s="274"/>
      <c r="VAC158" s="274"/>
      <c r="VAD158" s="274"/>
      <c r="VAE158" s="274"/>
      <c r="VAF158" s="273"/>
      <c r="VAG158" s="274"/>
      <c r="VAH158" s="274"/>
      <c r="VAI158" s="274"/>
      <c r="VAJ158" s="274"/>
      <c r="VAK158" s="274"/>
      <c r="VAL158" s="273"/>
      <c r="VAM158" s="274"/>
      <c r="VAN158" s="274"/>
      <c r="VAO158" s="274"/>
      <c r="VAP158" s="274"/>
      <c r="VAQ158" s="274"/>
      <c r="VAR158" s="273"/>
      <c r="VAS158" s="274"/>
      <c r="VAT158" s="274"/>
      <c r="VAU158" s="274"/>
      <c r="VAV158" s="274"/>
      <c r="VAW158" s="274"/>
      <c r="VAX158" s="273"/>
      <c r="VAY158" s="274"/>
      <c r="VAZ158" s="274"/>
      <c r="VBA158" s="274"/>
      <c r="VBB158" s="274"/>
      <c r="VBC158" s="274"/>
      <c r="VBD158" s="273"/>
      <c r="VBE158" s="274"/>
      <c r="VBF158" s="274"/>
      <c r="VBG158" s="274"/>
      <c r="VBH158" s="274"/>
      <c r="VBI158" s="274"/>
      <c r="VBJ158" s="273"/>
      <c r="VBK158" s="274"/>
      <c r="VBL158" s="274"/>
      <c r="VBM158" s="274"/>
      <c r="VBN158" s="274"/>
      <c r="VBO158" s="274"/>
      <c r="VBP158" s="273"/>
      <c r="VBQ158" s="274"/>
      <c r="VBR158" s="274"/>
      <c r="VBS158" s="274"/>
      <c r="VBT158" s="274"/>
      <c r="VBU158" s="274"/>
      <c r="VBV158" s="273"/>
      <c r="VBW158" s="274"/>
      <c r="VBX158" s="274"/>
      <c r="VBY158" s="274"/>
      <c r="VBZ158" s="274"/>
      <c r="VCA158" s="274"/>
      <c r="VCB158" s="273"/>
      <c r="VCC158" s="274"/>
      <c r="VCD158" s="274"/>
      <c r="VCE158" s="274"/>
      <c r="VCF158" s="274"/>
      <c r="VCG158" s="274"/>
      <c r="VCH158" s="273"/>
      <c r="VCI158" s="274"/>
      <c r="VCJ158" s="274"/>
      <c r="VCK158" s="274"/>
      <c r="VCL158" s="274"/>
      <c r="VCM158" s="274"/>
      <c r="VCN158" s="273"/>
      <c r="VCO158" s="274"/>
      <c r="VCP158" s="274"/>
      <c r="VCQ158" s="274"/>
      <c r="VCR158" s="274"/>
      <c r="VCS158" s="274"/>
      <c r="VCT158" s="273"/>
      <c r="VCU158" s="274"/>
      <c r="VCV158" s="274"/>
      <c r="VCW158" s="274"/>
      <c r="VCX158" s="274"/>
      <c r="VCY158" s="274"/>
      <c r="VCZ158" s="273"/>
      <c r="VDA158" s="274"/>
      <c r="VDB158" s="274"/>
      <c r="VDC158" s="274"/>
      <c r="VDD158" s="274"/>
      <c r="VDE158" s="274"/>
      <c r="VDF158" s="273"/>
      <c r="VDG158" s="274"/>
      <c r="VDH158" s="274"/>
      <c r="VDI158" s="274"/>
      <c r="VDJ158" s="274"/>
      <c r="VDK158" s="274"/>
      <c r="VDL158" s="273"/>
      <c r="VDM158" s="274"/>
      <c r="VDN158" s="274"/>
      <c r="VDO158" s="274"/>
      <c r="VDP158" s="274"/>
      <c r="VDQ158" s="274"/>
      <c r="VDR158" s="273"/>
      <c r="VDS158" s="274"/>
      <c r="VDT158" s="274"/>
      <c r="VDU158" s="274"/>
      <c r="VDV158" s="274"/>
      <c r="VDW158" s="274"/>
      <c r="VDX158" s="273"/>
      <c r="VDY158" s="274"/>
      <c r="VDZ158" s="274"/>
      <c r="VEA158" s="274"/>
      <c r="VEB158" s="274"/>
      <c r="VEC158" s="274"/>
      <c r="VED158" s="273"/>
      <c r="VEE158" s="274"/>
      <c r="VEF158" s="274"/>
      <c r="VEG158" s="274"/>
      <c r="VEH158" s="274"/>
      <c r="VEI158" s="274"/>
      <c r="VEJ158" s="273"/>
      <c r="VEK158" s="274"/>
      <c r="VEL158" s="274"/>
      <c r="VEM158" s="274"/>
      <c r="VEN158" s="274"/>
      <c r="VEO158" s="274"/>
      <c r="VEP158" s="273"/>
      <c r="VEQ158" s="274"/>
      <c r="VER158" s="274"/>
      <c r="VES158" s="274"/>
      <c r="VET158" s="274"/>
      <c r="VEU158" s="274"/>
      <c r="VEV158" s="273"/>
      <c r="VEW158" s="274"/>
      <c r="VEX158" s="274"/>
      <c r="VEY158" s="274"/>
      <c r="VEZ158" s="274"/>
      <c r="VFA158" s="274"/>
      <c r="VFB158" s="273"/>
      <c r="VFC158" s="274"/>
      <c r="VFD158" s="274"/>
      <c r="VFE158" s="274"/>
      <c r="VFF158" s="274"/>
      <c r="VFG158" s="274"/>
      <c r="VFH158" s="273"/>
      <c r="VFI158" s="274"/>
      <c r="VFJ158" s="274"/>
      <c r="VFK158" s="274"/>
      <c r="VFL158" s="274"/>
      <c r="VFM158" s="274"/>
      <c r="VFN158" s="273"/>
      <c r="VFO158" s="274"/>
      <c r="VFP158" s="274"/>
      <c r="VFQ158" s="274"/>
      <c r="VFR158" s="274"/>
      <c r="VFS158" s="274"/>
      <c r="VFT158" s="273"/>
      <c r="VFU158" s="274"/>
      <c r="VFV158" s="274"/>
      <c r="VFW158" s="274"/>
      <c r="VFX158" s="274"/>
      <c r="VFY158" s="274"/>
      <c r="VFZ158" s="273"/>
      <c r="VGA158" s="274"/>
      <c r="VGB158" s="274"/>
      <c r="VGC158" s="274"/>
      <c r="VGD158" s="274"/>
      <c r="VGE158" s="274"/>
      <c r="VGF158" s="273"/>
      <c r="VGG158" s="274"/>
      <c r="VGH158" s="274"/>
      <c r="VGI158" s="274"/>
      <c r="VGJ158" s="274"/>
      <c r="VGK158" s="274"/>
      <c r="VGL158" s="273"/>
      <c r="VGM158" s="274"/>
      <c r="VGN158" s="274"/>
      <c r="VGO158" s="274"/>
      <c r="VGP158" s="274"/>
      <c r="VGQ158" s="274"/>
      <c r="VGR158" s="273"/>
      <c r="VGS158" s="274"/>
      <c r="VGT158" s="274"/>
      <c r="VGU158" s="274"/>
      <c r="VGV158" s="274"/>
      <c r="VGW158" s="274"/>
      <c r="VGX158" s="273"/>
      <c r="VGY158" s="274"/>
      <c r="VGZ158" s="274"/>
      <c r="VHA158" s="274"/>
      <c r="VHB158" s="274"/>
      <c r="VHC158" s="274"/>
      <c r="VHD158" s="273"/>
      <c r="VHE158" s="274"/>
      <c r="VHF158" s="274"/>
      <c r="VHG158" s="274"/>
      <c r="VHH158" s="274"/>
      <c r="VHI158" s="274"/>
      <c r="VHJ158" s="273"/>
      <c r="VHK158" s="274"/>
      <c r="VHL158" s="274"/>
      <c r="VHM158" s="274"/>
      <c r="VHN158" s="274"/>
      <c r="VHO158" s="274"/>
      <c r="VHP158" s="273"/>
      <c r="VHQ158" s="274"/>
      <c r="VHR158" s="274"/>
      <c r="VHS158" s="274"/>
      <c r="VHT158" s="274"/>
      <c r="VHU158" s="274"/>
      <c r="VHV158" s="273"/>
      <c r="VHW158" s="274"/>
      <c r="VHX158" s="274"/>
      <c r="VHY158" s="274"/>
      <c r="VHZ158" s="274"/>
      <c r="VIA158" s="274"/>
      <c r="VIB158" s="273"/>
      <c r="VIC158" s="274"/>
      <c r="VID158" s="274"/>
      <c r="VIE158" s="274"/>
      <c r="VIF158" s="274"/>
      <c r="VIG158" s="274"/>
      <c r="VIH158" s="273"/>
      <c r="VII158" s="274"/>
      <c r="VIJ158" s="274"/>
      <c r="VIK158" s="274"/>
      <c r="VIL158" s="274"/>
      <c r="VIM158" s="274"/>
      <c r="VIN158" s="273"/>
      <c r="VIO158" s="274"/>
      <c r="VIP158" s="274"/>
      <c r="VIQ158" s="274"/>
      <c r="VIR158" s="274"/>
      <c r="VIS158" s="274"/>
      <c r="VIT158" s="273"/>
      <c r="VIU158" s="274"/>
      <c r="VIV158" s="274"/>
      <c r="VIW158" s="274"/>
      <c r="VIX158" s="274"/>
      <c r="VIY158" s="274"/>
      <c r="VIZ158" s="273"/>
      <c r="VJA158" s="274"/>
      <c r="VJB158" s="274"/>
      <c r="VJC158" s="274"/>
      <c r="VJD158" s="274"/>
      <c r="VJE158" s="274"/>
      <c r="VJF158" s="273"/>
      <c r="VJG158" s="274"/>
      <c r="VJH158" s="274"/>
      <c r="VJI158" s="274"/>
      <c r="VJJ158" s="274"/>
      <c r="VJK158" s="274"/>
      <c r="VJL158" s="273"/>
      <c r="VJM158" s="274"/>
      <c r="VJN158" s="274"/>
      <c r="VJO158" s="274"/>
      <c r="VJP158" s="274"/>
      <c r="VJQ158" s="274"/>
      <c r="VJR158" s="273"/>
      <c r="VJS158" s="274"/>
      <c r="VJT158" s="274"/>
      <c r="VJU158" s="274"/>
      <c r="VJV158" s="274"/>
      <c r="VJW158" s="274"/>
      <c r="VJX158" s="273"/>
      <c r="VJY158" s="274"/>
      <c r="VJZ158" s="274"/>
      <c r="VKA158" s="274"/>
      <c r="VKB158" s="274"/>
      <c r="VKC158" s="274"/>
      <c r="VKD158" s="273"/>
      <c r="VKE158" s="274"/>
      <c r="VKF158" s="274"/>
      <c r="VKG158" s="274"/>
      <c r="VKH158" s="274"/>
      <c r="VKI158" s="274"/>
      <c r="VKJ158" s="273"/>
      <c r="VKK158" s="274"/>
      <c r="VKL158" s="274"/>
      <c r="VKM158" s="274"/>
      <c r="VKN158" s="274"/>
      <c r="VKO158" s="274"/>
      <c r="VKP158" s="273"/>
      <c r="VKQ158" s="274"/>
      <c r="VKR158" s="274"/>
      <c r="VKS158" s="274"/>
      <c r="VKT158" s="274"/>
      <c r="VKU158" s="274"/>
      <c r="VKV158" s="273"/>
      <c r="VKW158" s="274"/>
      <c r="VKX158" s="274"/>
      <c r="VKY158" s="274"/>
      <c r="VKZ158" s="274"/>
      <c r="VLA158" s="274"/>
      <c r="VLB158" s="273"/>
      <c r="VLC158" s="274"/>
      <c r="VLD158" s="274"/>
      <c r="VLE158" s="274"/>
      <c r="VLF158" s="274"/>
      <c r="VLG158" s="274"/>
      <c r="VLH158" s="273"/>
      <c r="VLI158" s="274"/>
      <c r="VLJ158" s="274"/>
      <c r="VLK158" s="274"/>
      <c r="VLL158" s="274"/>
      <c r="VLM158" s="274"/>
      <c r="VLN158" s="273"/>
      <c r="VLO158" s="274"/>
      <c r="VLP158" s="274"/>
      <c r="VLQ158" s="274"/>
      <c r="VLR158" s="274"/>
      <c r="VLS158" s="274"/>
      <c r="VLT158" s="273"/>
      <c r="VLU158" s="274"/>
      <c r="VLV158" s="274"/>
      <c r="VLW158" s="274"/>
      <c r="VLX158" s="274"/>
      <c r="VLY158" s="274"/>
      <c r="VLZ158" s="273"/>
      <c r="VMA158" s="274"/>
      <c r="VMB158" s="274"/>
      <c r="VMC158" s="274"/>
      <c r="VMD158" s="274"/>
      <c r="VME158" s="274"/>
      <c r="VMF158" s="273"/>
      <c r="VMG158" s="274"/>
      <c r="VMH158" s="274"/>
      <c r="VMI158" s="274"/>
      <c r="VMJ158" s="274"/>
      <c r="VMK158" s="274"/>
      <c r="VML158" s="273"/>
      <c r="VMM158" s="274"/>
      <c r="VMN158" s="274"/>
      <c r="VMO158" s="274"/>
      <c r="VMP158" s="274"/>
      <c r="VMQ158" s="274"/>
      <c r="VMR158" s="273"/>
      <c r="VMS158" s="274"/>
      <c r="VMT158" s="274"/>
      <c r="VMU158" s="274"/>
      <c r="VMV158" s="274"/>
      <c r="VMW158" s="274"/>
      <c r="VMX158" s="273"/>
      <c r="VMY158" s="274"/>
      <c r="VMZ158" s="274"/>
      <c r="VNA158" s="274"/>
      <c r="VNB158" s="274"/>
      <c r="VNC158" s="274"/>
      <c r="VND158" s="273"/>
      <c r="VNE158" s="274"/>
      <c r="VNF158" s="274"/>
      <c r="VNG158" s="274"/>
      <c r="VNH158" s="274"/>
      <c r="VNI158" s="274"/>
      <c r="VNJ158" s="273"/>
      <c r="VNK158" s="274"/>
      <c r="VNL158" s="274"/>
      <c r="VNM158" s="274"/>
      <c r="VNN158" s="274"/>
      <c r="VNO158" s="274"/>
      <c r="VNP158" s="273"/>
      <c r="VNQ158" s="274"/>
      <c r="VNR158" s="274"/>
      <c r="VNS158" s="274"/>
      <c r="VNT158" s="274"/>
      <c r="VNU158" s="274"/>
      <c r="VNV158" s="273"/>
      <c r="VNW158" s="274"/>
      <c r="VNX158" s="274"/>
      <c r="VNY158" s="274"/>
      <c r="VNZ158" s="274"/>
      <c r="VOA158" s="274"/>
      <c r="VOB158" s="273"/>
      <c r="VOC158" s="274"/>
      <c r="VOD158" s="274"/>
      <c r="VOE158" s="274"/>
      <c r="VOF158" s="274"/>
      <c r="VOG158" s="274"/>
      <c r="VOH158" s="273"/>
      <c r="VOI158" s="274"/>
      <c r="VOJ158" s="274"/>
      <c r="VOK158" s="274"/>
      <c r="VOL158" s="274"/>
      <c r="VOM158" s="274"/>
      <c r="VON158" s="273"/>
      <c r="VOO158" s="274"/>
      <c r="VOP158" s="274"/>
      <c r="VOQ158" s="274"/>
      <c r="VOR158" s="274"/>
      <c r="VOS158" s="274"/>
      <c r="VOT158" s="273"/>
      <c r="VOU158" s="274"/>
      <c r="VOV158" s="274"/>
      <c r="VOW158" s="274"/>
      <c r="VOX158" s="274"/>
      <c r="VOY158" s="274"/>
      <c r="VOZ158" s="273"/>
      <c r="VPA158" s="274"/>
      <c r="VPB158" s="274"/>
      <c r="VPC158" s="274"/>
      <c r="VPD158" s="274"/>
      <c r="VPE158" s="274"/>
      <c r="VPF158" s="273"/>
      <c r="VPG158" s="274"/>
      <c r="VPH158" s="274"/>
      <c r="VPI158" s="274"/>
      <c r="VPJ158" s="274"/>
      <c r="VPK158" s="274"/>
      <c r="VPL158" s="273"/>
      <c r="VPM158" s="274"/>
      <c r="VPN158" s="274"/>
      <c r="VPO158" s="274"/>
      <c r="VPP158" s="274"/>
      <c r="VPQ158" s="274"/>
      <c r="VPR158" s="273"/>
      <c r="VPS158" s="274"/>
      <c r="VPT158" s="274"/>
      <c r="VPU158" s="274"/>
      <c r="VPV158" s="274"/>
      <c r="VPW158" s="274"/>
      <c r="VPX158" s="273"/>
      <c r="VPY158" s="274"/>
      <c r="VPZ158" s="274"/>
      <c r="VQA158" s="274"/>
      <c r="VQB158" s="274"/>
      <c r="VQC158" s="274"/>
      <c r="VQD158" s="273"/>
      <c r="VQE158" s="274"/>
      <c r="VQF158" s="274"/>
      <c r="VQG158" s="274"/>
      <c r="VQH158" s="274"/>
      <c r="VQI158" s="274"/>
      <c r="VQJ158" s="273"/>
      <c r="VQK158" s="274"/>
      <c r="VQL158" s="274"/>
      <c r="VQM158" s="274"/>
      <c r="VQN158" s="274"/>
      <c r="VQO158" s="274"/>
      <c r="VQP158" s="273"/>
      <c r="VQQ158" s="274"/>
      <c r="VQR158" s="274"/>
      <c r="VQS158" s="274"/>
      <c r="VQT158" s="274"/>
      <c r="VQU158" s="274"/>
      <c r="VQV158" s="273"/>
      <c r="VQW158" s="274"/>
      <c r="VQX158" s="274"/>
      <c r="VQY158" s="274"/>
      <c r="VQZ158" s="274"/>
      <c r="VRA158" s="274"/>
      <c r="VRB158" s="273"/>
      <c r="VRC158" s="274"/>
      <c r="VRD158" s="274"/>
      <c r="VRE158" s="274"/>
      <c r="VRF158" s="274"/>
      <c r="VRG158" s="274"/>
      <c r="VRH158" s="273"/>
      <c r="VRI158" s="274"/>
      <c r="VRJ158" s="274"/>
      <c r="VRK158" s="274"/>
      <c r="VRL158" s="274"/>
      <c r="VRM158" s="274"/>
      <c r="VRN158" s="273"/>
      <c r="VRO158" s="274"/>
      <c r="VRP158" s="274"/>
      <c r="VRQ158" s="274"/>
      <c r="VRR158" s="274"/>
      <c r="VRS158" s="274"/>
      <c r="VRT158" s="273"/>
      <c r="VRU158" s="274"/>
      <c r="VRV158" s="274"/>
      <c r="VRW158" s="274"/>
      <c r="VRX158" s="274"/>
      <c r="VRY158" s="274"/>
      <c r="VRZ158" s="273"/>
      <c r="VSA158" s="274"/>
      <c r="VSB158" s="274"/>
      <c r="VSC158" s="274"/>
      <c r="VSD158" s="274"/>
      <c r="VSE158" s="274"/>
      <c r="VSF158" s="273"/>
      <c r="VSG158" s="274"/>
      <c r="VSH158" s="274"/>
      <c r="VSI158" s="274"/>
      <c r="VSJ158" s="274"/>
      <c r="VSK158" s="274"/>
      <c r="VSL158" s="273"/>
      <c r="VSM158" s="274"/>
      <c r="VSN158" s="274"/>
      <c r="VSO158" s="274"/>
      <c r="VSP158" s="274"/>
      <c r="VSQ158" s="274"/>
      <c r="VSR158" s="273"/>
      <c r="VSS158" s="274"/>
      <c r="VST158" s="274"/>
      <c r="VSU158" s="274"/>
      <c r="VSV158" s="274"/>
      <c r="VSW158" s="274"/>
      <c r="VSX158" s="273"/>
      <c r="VSY158" s="274"/>
      <c r="VSZ158" s="274"/>
      <c r="VTA158" s="274"/>
      <c r="VTB158" s="274"/>
      <c r="VTC158" s="274"/>
      <c r="VTD158" s="273"/>
      <c r="VTE158" s="274"/>
      <c r="VTF158" s="274"/>
      <c r="VTG158" s="274"/>
      <c r="VTH158" s="274"/>
      <c r="VTI158" s="274"/>
      <c r="VTJ158" s="273"/>
      <c r="VTK158" s="274"/>
      <c r="VTL158" s="274"/>
      <c r="VTM158" s="274"/>
      <c r="VTN158" s="274"/>
      <c r="VTO158" s="274"/>
      <c r="VTP158" s="273"/>
      <c r="VTQ158" s="274"/>
      <c r="VTR158" s="274"/>
      <c r="VTS158" s="274"/>
      <c r="VTT158" s="274"/>
      <c r="VTU158" s="274"/>
      <c r="VTV158" s="273"/>
      <c r="VTW158" s="274"/>
      <c r="VTX158" s="274"/>
      <c r="VTY158" s="274"/>
      <c r="VTZ158" s="274"/>
      <c r="VUA158" s="274"/>
      <c r="VUB158" s="273"/>
      <c r="VUC158" s="274"/>
      <c r="VUD158" s="274"/>
      <c r="VUE158" s="274"/>
      <c r="VUF158" s="274"/>
      <c r="VUG158" s="274"/>
      <c r="VUH158" s="273"/>
      <c r="VUI158" s="274"/>
      <c r="VUJ158" s="274"/>
      <c r="VUK158" s="274"/>
      <c r="VUL158" s="274"/>
      <c r="VUM158" s="274"/>
      <c r="VUN158" s="273"/>
      <c r="VUO158" s="274"/>
      <c r="VUP158" s="274"/>
      <c r="VUQ158" s="274"/>
      <c r="VUR158" s="274"/>
      <c r="VUS158" s="274"/>
      <c r="VUT158" s="273"/>
      <c r="VUU158" s="274"/>
      <c r="VUV158" s="274"/>
      <c r="VUW158" s="274"/>
      <c r="VUX158" s="274"/>
      <c r="VUY158" s="274"/>
      <c r="VUZ158" s="273"/>
      <c r="VVA158" s="274"/>
      <c r="VVB158" s="274"/>
      <c r="VVC158" s="274"/>
      <c r="VVD158" s="274"/>
      <c r="VVE158" s="274"/>
      <c r="VVF158" s="273"/>
      <c r="VVG158" s="274"/>
      <c r="VVH158" s="274"/>
      <c r="VVI158" s="274"/>
      <c r="VVJ158" s="274"/>
      <c r="VVK158" s="274"/>
      <c r="VVL158" s="273"/>
      <c r="VVM158" s="274"/>
      <c r="VVN158" s="274"/>
      <c r="VVO158" s="274"/>
      <c r="VVP158" s="274"/>
      <c r="VVQ158" s="274"/>
      <c r="VVR158" s="273"/>
      <c r="VVS158" s="274"/>
      <c r="VVT158" s="274"/>
      <c r="VVU158" s="274"/>
      <c r="VVV158" s="274"/>
      <c r="VVW158" s="274"/>
      <c r="VVX158" s="273"/>
      <c r="VVY158" s="274"/>
      <c r="VVZ158" s="274"/>
      <c r="VWA158" s="274"/>
      <c r="VWB158" s="274"/>
      <c r="VWC158" s="274"/>
      <c r="VWD158" s="273"/>
      <c r="VWE158" s="274"/>
      <c r="VWF158" s="274"/>
      <c r="VWG158" s="274"/>
      <c r="VWH158" s="274"/>
      <c r="VWI158" s="274"/>
      <c r="VWJ158" s="273"/>
      <c r="VWK158" s="274"/>
      <c r="VWL158" s="274"/>
      <c r="VWM158" s="274"/>
      <c r="VWN158" s="274"/>
      <c r="VWO158" s="274"/>
      <c r="VWP158" s="273"/>
      <c r="VWQ158" s="274"/>
      <c r="VWR158" s="274"/>
      <c r="VWS158" s="274"/>
      <c r="VWT158" s="274"/>
      <c r="VWU158" s="274"/>
      <c r="VWV158" s="273"/>
      <c r="VWW158" s="274"/>
      <c r="VWX158" s="274"/>
      <c r="VWY158" s="274"/>
      <c r="VWZ158" s="274"/>
      <c r="VXA158" s="274"/>
      <c r="VXB158" s="273"/>
      <c r="VXC158" s="274"/>
      <c r="VXD158" s="274"/>
      <c r="VXE158" s="274"/>
      <c r="VXF158" s="274"/>
      <c r="VXG158" s="274"/>
      <c r="VXH158" s="273"/>
      <c r="VXI158" s="274"/>
      <c r="VXJ158" s="274"/>
      <c r="VXK158" s="274"/>
      <c r="VXL158" s="274"/>
      <c r="VXM158" s="274"/>
      <c r="VXN158" s="273"/>
      <c r="VXO158" s="274"/>
      <c r="VXP158" s="274"/>
      <c r="VXQ158" s="274"/>
      <c r="VXR158" s="274"/>
      <c r="VXS158" s="274"/>
      <c r="VXT158" s="273"/>
      <c r="VXU158" s="274"/>
      <c r="VXV158" s="274"/>
      <c r="VXW158" s="274"/>
      <c r="VXX158" s="274"/>
      <c r="VXY158" s="274"/>
      <c r="VXZ158" s="273"/>
      <c r="VYA158" s="274"/>
      <c r="VYB158" s="274"/>
      <c r="VYC158" s="274"/>
      <c r="VYD158" s="274"/>
      <c r="VYE158" s="274"/>
      <c r="VYF158" s="273"/>
      <c r="VYG158" s="274"/>
      <c r="VYH158" s="274"/>
      <c r="VYI158" s="274"/>
      <c r="VYJ158" s="274"/>
      <c r="VYK158" s="274"/>
      <c r="VYL158" s="273"/>
      <c r="VYM158" s="274"/>
      <c r="VYN158" s="274"/>
      <c r="VYO158" s="274"/>
      <c r="VYP158" s="274"/>
      <c r="VYQ158" s="274"/>
      <c r="VYR158" s="273"/>
      <c r="VYS158" s="274"/>
      <c r="VYT158" s="274"/>
      <c r="VYU158" s="274"/>
      <c r="VYV158" s="274"/>
      <c r="VYW158" s="274"/>
      <c r="VYX158" s="273"/>
      <c r="VYY158" s="274"/>
      <c r="VYZ158" s="274"/>
      <c r="VZA158" s="274"/>
      <c r="VZB158" s="274"/>
      <c r="VZC158" s="274"/>
      <c r="VZD158" s="273"/>
      <c r="VZE158" s="274"/>
      <c r="VZF158" s="274"/>
      <c r="VZG158" s="274"/>
      <c r="VZH158" s="274"/>
      <c r="VZI158" s="274"/>
      <c r="VZJ158" s="273"/>
      <c r="VZK158" s="274"/>
      <c r="VZL158" s="274"/>
      <c r="VZM158" s="274"/>
      <c r="VZN158" s="274"/>
      <c r="VZO158" s="274"/>
      <c r="VZP158" s="273"/>
      <c r="VZQ158" s="274"/>
      <c r="VZR158" s="274"/>
      <c r="VZS158" s="274"/>
      <c r="VZT158" s="274"/>
      <c r="VZU158" s="274"/>
      <c r="VZV158" s="273"/>
      <c r="VZW158" s="274"/>
      <c r="VZX158" s="274"/>
      <c r="VZY158" s="274"/>
      <c r="VZZ158" s="274"/>
      <c r="WAA158" s="274"/>
      <c r="WAB158" s="273"/>
      <c r="WAC158" s="274"/>
      <c r="WAD158" s="274"/>
      <c r="WAE158" s="274"/>
      <c r="WAF158" s="274"/>
      <c r="WAG158" s="274"/>
      <c r="WAH158" s="273"/>
      <c r="WAI158" s="274"/>
      <c r="WAJ158" s="274"/>
      <c r="WAK158" s="274"/>
      <c r="WAL158" s="274"/>
      <c r="WAM158" s="274"/>
      <c r="WAN158" s="273"/>
      <c r="WAO158" s="274"/>
      <c r="WAP158" s="274"/>
      <c r="WAQ158" s="274"/>
      <c r="WAR158" s="274"/>
      <c r="WAS158" s="274"/>
      <c r="WAT158" s="273"/>
      <c r="WAU158" s="274"/>
      <c r="WAV158" s="274"/>
      <c r="WAW158" s="274"/>
      <c r="WAX158" s="274"/>
      <c r="WAY158" s="274"/>
      <c r="WAZ158" s="273"/>
      <c r="WBA158" s="274"/>
      <c r="WBB158" s="274"/>
      <c r="WBC158" s="274"/>
      <c r="WBD158" s="274"/>
      <c r="WBE158" s="274"/>
      <c r="WBF158" s="273"/>
      <c r="WBG158" s="274"/>
      <c r="WBH158" s="274"/>
      <c r="WBI158" s="274"/>
      <c r="WBJ158" s="274"/>
      <c r="WBK158" s="274"/>
      <c r="WBL158" s="273"/>
      <c r="WBM158" s="274"/>
      <c r="WBN158" s="274"/>
      <c r="WBO158" s="274"/>
      <c r="WBP158" s="274"/>
      <c r="WBQ158" s="274"/>
      <c r="WBR158" s="273"/>
      <c r="WBS158" s="274"/>
      <c r="WBT158" s="274"/>
      <c r="WBU158" s="274"/>
      <c r="WBV158" s="274"/>
      <c r="WBW158" s="274"/>
      <c r="WBX158" s="273"/>
      <c r="WBY158" s="274"/>
      <c r="WBZ158" s="274"/>
      <c r="WCA158" s="274"/>
      <c r="WCB158" s="274"/>
      <c r="WCC158" s="274"/>
      <c r="WCD158" s="273"/>
      <c r="WCE158" s="274"/>
      <c r="WCF158" s="274"/>
      <c r="WCG158" s="274"/>
      <c r="WCH158" s="274"/>
      <c r="WCI158" s="274"/>
      <c r="WCJ158" s="273"/>
      <c r="WCK158" s="274"/>
      <c r="WCL158" s="274"/>
      <c r="WCM158" s="274"/>
      <c r="WCN158" s="274"/>
      <c r="WCO158" s="274"/>
      <c r="WCP158" s="273"/>
      <c r="WCQ158" s="274"/>
      <c r="WCR158" s="274"/>
      <c r="WCS158" s="274"/>
      <c r="WCT158" s="274"/>
      <c r="WCU158" s="274"/>
      <c r="WCV158" s="273"/>
      <c r="WCW158" s="274"/>
      <c r="WCX158" s="274"/>
      <c r="WCY158" s="274"/>
      <c r="WCZ158" s="274"/>
      <c r="WDA158" s="274"/>
      <c r="WDB158" s="273"/>
      <c r="WDC158" s="274"/>
      <c r="WDD158" s="274"/>
      <c r="WDE158" s="274"/>
      <c r="WDF158" s="274"/>
      <c r="WDG158" s="274"/>
      <c r="WDH158" s="273"/>
      <c r="WDI158" s="274"/>
      <c r="WDJ158" s="274"/>
      <c r="WDK158" s="274"/>
      <c r="WDL158" s="274"/>
      <c r="WDM158" s="274"/>
      <c r="WDN158" s="273"/>
      <c r="WDO158" s="274"/>
      <c r="WDP158" s="274"/>
      <c r="WDQ158" s="274"/>
      <c r="WDR158" s="274"/>
      <c r="WDS158" s="274"/>
      <c r="WDT158" s="273"/>
      <c r="WDU158" s="274"/>
      <c r="WDV158" s="274"/>
      <c r="WDW158" s="274"/>
      <c r="WDX158" s="274"/>
      <c r="WDY158" s="274"/>
      <c r="WDZ158" s="273"/>
      <c r="WEA158" s="274"/>
      <c r="WEB158" s="274"/>
      <c r="WEC158" s="274"/>
      <c r="WED158" s="274"/>
      <c r="WEE158" s="274"/>
      <c r="WEF158" s="273"/>
      <c r="WEG158" s="274"/>
      <c r="WEH158" s="274"/>
      <c r="WEI158" s="274"/>
      <c r="WEJ158" s="274"/>
      <c r="WEK158" s="274"/>
      <c r="WEL158" s="273"/>
      <c r="WEM158" s="274"/>
      <c r="WEN158" s="274"/>
      <c r="WEO158" s="274"/>
      <c r="WEP158" s="274"/>
      <c r="WEQ158" s="274"/>
      <c r="WER158" s="273"/>
      <c r="WES158" s="274"/>
      <c r="WET158" s="274"/>
      <c r="WEU158" s="274"/>
      <c r="WEV158" s="274"/>
      <c r="WEW158" s="274"/>
      <c r="WEX158" s="273"/>
      <c r="WEY158" s="274"/>
      <c r="WEZ158" s="274"/>
      <c r="WFA158" s="274"/>
      <c r="WFB158" s="274"/>
      <c r="WFC158" s="274"/>
      <c r="WFD158" s="273"/>
      <c r="WFE158" s="274"/>
      <c r="WFF158" s="274"/>
      <c r="WFG158" s="274"/>
      <c r="WFH158" s="274"/>
      <c r="WFI158" s="274"/>
      <c r="WFJ158" s="273"/>
      <c r="WFK158" s="274"/>
      <c r="WFL158" s="274"/>
      <c r="WFM158" s="274"/>
      <c r="WFN158" s="274"/>
      <c r="WFO158" s="274"/>
      <c r="WFP158" s="273"/>
      <c r="WFQ158" s="274"/>
      <c r="WFR158" s="274"/>
      <c r="WFS158" s="274"/>
      <c r="WFT158" s="274"/>
      <c r="WFU158" s="274"/>
      <c r="WFV158" s="273"/>
      <c r="WFW158" s="274"/>
      <c r="WFX158" s="274"/>
      <c r="WFY158" s="274"/>
      <c r="WFZ158" s="274"/>
      <c r="WGA158" s="274"/>
      <c r="WGB158" s="273"/>
      <c r="WGC158" s="274"/>
      <c r="WGD158" s="274"/>
      <c r="WGE158" s="274"/>
      <c r="WGF158" s="274"/>
      <c r="WGG158" s="274"/>
      <c r="WGH158" s="273"/>
      <c r="WGI158" s="274"/>
      <c r="WGJ158" s="274"/>
      <c r="WGK158" s="274"/>
      <c r="WGL158" s="274"/>
      <c r="WGM158" s="274"/>
      <c r="WGN158" s="273"/>
      <c r="WGO158" s="274"/>
      <c r="WGP158" s="274"/>
      <c r="WGQ158" s="274"/>
      <c r="WGR158" s="274"/>
      <c r="WGS158" s="274"/>
      <c r="WGT158" s="273"/>
      <c r="WGU158" s="274"/>
      <c r="WGV158" s="274"/>
      <c r="WGW158" s="274"/>
      <c r="WGX158" s="274"/>
      <c r="WGY158" s="274"/>
      <c r="WGZ158" s="273"/>
      <c r="WHA158" s="274"/>
      <c r="WHB158" s="274"/>
      <c r="WHC158" s="274"/>
      <c r="WHD158" s="274"/>
      <c r="WHE158" s="274"/>
      <c r="WHF158" s="273"/>
      <c r="WHG158" s="274"/>
      <c r="WHH158" s="274"/>
      <c r="WHI158" s="274"/>
      <c r="WHJ158" s="274"/>
      <c r="WHK158" s="274"/>
      <c r="WHL158" s="273"/>
      <c r="WHM158" s="274"/>
      <c r="WHN158" s="274"/>
      <c r="WHO158" s="274"/>
      <c r="WHP158" s="274"/>
      <c r="WHQ158" s="274"/>
      <c r="WHR158" s="273"/>
      <c r="WHS158" s="274"/>
      <c r="WHT158" s="274"/>
      <c r="WHU158" s="274"/>
      <c r="WHV158" s="274"/>
      <c r="WHW158" s="274"/>
      <c r="WHX158" s="273"/>
      <c r="WHY158" s="274"/>
      <c r="WHZ158" s="274"/>
      <c r="WIA158" s="274"/>
      <c r="WIB158" s="274"/>
      <c r="WIC158" s="274"/>
      <c r="WID158" s="273"/>
      <c r="WIE158" s="274"/>
      <c r="WIF158" s="274"/>
      <c r="WIG158" s="274"/>
      <c r="WIH158" s="274"/>
      <c r="WII158" s="274"/>
      <c r="WIJ158" s="273"/>
      <c r="WIK158" s="274"/>
      <c r="WIL158" s="274"/>
      <c r="WIM158" s="274"/>
      <c r="WIN158" s="274"/>
      <c r="WIO158" s="274"/>
      <c r="WIP158" s="273"/>
      <c r="WIQ158" s="274"/>
      <c r="WIR158" s="274"/>
      <c r="WIS158" s="274"/>
      <c r="WIT158" s="274"/>
      <c r="WIU158" s="274"/>
      <c r="WIV158" s="273"/>
      <c r="WIW158" s="274"/>
      <c r="WIX158" s="274"/>
      <c r="WIY158" s="274"/>
      <c r="WIZ158" s="274"/>
      <c r="WJA158" s="274"/>
      <c r="WJB158" s="273"/>
      <c r="WJC158" s="274"/>
      <c r="WJD158" s="274"/>
      <c r="WJE158" s="274"/>
      <c r="WJF158" s="274"/>
      <c r="WJG158" s="274"/>
      <c r="WJH158" s="273"/>
      <c r="WJI158" s="274"/>
      <c r="WJJ158" s="274"/>
      <c r="WJK158" s="274"/>
      <c r="WJL158" s="274"/>
      <c r="WJM158" s="274"/>
      <c r="WJN158" s="273"/>
      <c r="WJO158" s="274"/>
      <c r="WJP158" s="274"/>
      <c r="WJQ158" s="274"/>
      <c r="WJR158" s="274"/>
      <c r="WJS158" s="274"/>
      <c r="WJT158" s="273"/>
      <c r="WJU158" s="274"/>
      <c r="WJV158" s="274"/>
      <c r="WJW158" s="274"/>
      <c r="WJX158" s="274"/>
      <c r="WJY158" s="274"/>
      <c r="WJZ158" s="273"/>
      <c r="WKA158" s="274"/>
      <c r="WKB158" s="274"/>
      <c r="WKC158" s="274"/>
      <c r="WKD158" s="274"/>
      <c r="WKE158" s="274"/>
      <c r="WKF158" s="273"/>
      <c r="WKG158" s="274"/>
      <c r="WKH158" s="274"/>
      <c r="WKI158" s="274"/>
      <c r="WKJ158" s="274"/>
      <c r="WKK158" s="274"/>
      <c r="WKL158" s="273"/>
      <c r="WKM158" s="274"/>
      <c r="WKN158" s="274"/>
      <c r="WKO158" s="274"/>
      <c r="WKP158" s="274"/>
      <c r="WKQ158" s="274"/>
      <c r="WKR158" s="273"/>
      <c r="WKS158" s="274"/>
      <c r="WKT158" s="274"/>
      <c r="WKU158" s="274"/>
      <c r="WKV158" s="274"/>
      <c r="WKW158" s="274"/>
      <c r="WKX158" s="273"/>
      <c r="WKY158" s="274"/>
      <c r="WKZ158" s="274"/>
      <c r="WLA158" s="274"/>
      <c r="WLB158" s="274"/>
      <c r="WLC158" s="274"/>
      <c r="WLD158" s="273"/>
      <c r="WLE158" s="274"/>
      <c r="WLF158" s="274"/>
      <c r="WLG158" s="274"/>
      <c r="WLH158" s="274"/>
      <c r="WLI158" s="274"/>
      <c r="WLJ158" s="273"/>
      <c r="WLK158" s="274"/>
      <c r="WLL158" s="274"/>
      <c r="WLM158" s="274"/>
      <c r="WLN158" s="274"/>
      <c r="WLO158" s="274"/>
      <c r="WLP158" s="273"/>
      <c r="WLQ158" s="274"/>
      <c r="WLR158" s="274"/>
      <c r="WLS158" s="274"/>
      <c r="WLT158" s="274"/>
      <c r="WLU158" s="274"/>
      <c r="WLV158" s="273"/>
      <c r="WLW158" s="274"/>
      <c r="WLX158" s="274"/>
      <c r="WLY158" s="274"/>
      <c r="WLZ158" s="274"/>
      <c r="WMA158" s="274"/>
      <c r="WMB158" s="273"/>
      <c r="WMC158" s="274"/>
      <c r="WMD158" s="274"/>
      <c r="WME158" s="274"/>
      <c r="WMF158" s="274"/>
      <c r="WMG158" s="274"/>
      <c r="WMH158" s="273"/>
      <c r="WMI158" s="274"/>
      <c r="WMJ158" s="274"/>
      <c r="WMK158" s="274"/>
      <c r="WML158" s="274"/>
      <c r="WMM158" s="274"/>
      <c r="WMN158" s="273"/>
      <c r="WMO158" s="274"/>
      <c r="WMP158" s="274"/>
      <c r="WMQ158" s="274"/>
      <c r="WMR158" s="274"/>
      <c r="WMS158" s="274"/>
      <c r="WMT158" s="273"/>
      <c r="WMU158" s="274"/>
      <c r="WMV158" s="274"/>
      <c r="WMW158" s="274"/>
      <c r="WMX158" s="274"/>
      <c r="WMY158" s="274"/>
      <c r="WMZ158" s="273"/>
      <c r="WNA158" s="274"/>
      <c r="WNB158" s="274"/>
      <c r="WNC158" s="274"/>
      <c r="WND158" s="274"/>
      <c r="WNE158" s="274"/>
      <c r="WNF158" s="273"/>
      <c r="WNG158" s="274"/>
      <c r="WNH158" s="274"/>
      <c r="WNI158" s="274"/>
      <c r="WNJ158" s="274"/>
      <c r="WNK158" s="274"/>
      <c r="WNL158" s="273"/>
      <c r="WNM158" s="274"/>
      <c r="WNN158" s="274"/>
      <c r="WNO158" s="274"/>
      <c r="WNP158" s="274"/>
      <c r="WNQ158" s="274"/>
      <c r="WNR158" s="273"/>
      <c r="WNS158" s="274"/>
      <c r="WNT158" s="274"/>
      <c r="WNU158" s="274"/>
      <c r="WNV158" s="274"/>
      <c r="WNW158" s="274"/>
      <c r="WNX158" s="273"/>
      <c r="WNY158" s="274"/>
      <c r="WNZ158" s="274"/>
      <c r="WOA158" s="274"/>
      <c r="WOB158" s="274"/>
      <c r="WOC158" s="274"/>
      <c r="WOD158" s="273"/>
      <c r="WOE158" s="274"/>
      <c r="WOF158" s="274"/>
      <c r="WOG158" s="274"/>
      <c r="WOH158" s="274"/>
      <c r="WOI158" s="274"/>
      <c r="WOJ158" s="273"/>
      <c r="WOK158" s="274"/>
      <c r="WOL158" s="274"/>
      <c r="WOM158" s="274"/>
      <c r="WON158" s="274"/>
      <c r="WOO158" s="274"/>
      <c r="WOP158" s="273"/>
      <c r="WOQ158" s="274"/>
      <c r="WOR158" s="274"/>
      <c r="WOS158" s="274"/>
      <c r="WOT158" s="274"/>
      <c r="WOU158" s="274"/>
      <c r="WOV158" s="273"/>
      <c r="WOW158" s="274"/>
      <c r="WOX158" s="274"/>
      <c r="WOY158" s="274"/>
      <c r="WOZ158" s="274"/>
      <c r="WPA158" s="274"/>
      <c r="WPB158" s="273"/>
      <c r="WPC158" s="274"/>
      <c r="WPD158" s="274"/>
      <c r="WPE158" s="274"/>
      <c r="WPF158" s="274"/>
      <c r="WPG158" s="274"/>
      <c r="WPH158" s="273"/>
      <c r="WPI158" s="274"/>
      <c r="WPJ158" s="274"/>
      <c r="WPK158" s="274"/>
      <c r="WPL158" s="274"/>
      <c r="WPM158" s="274"/>
      <c r="WPN158" s="273"/>
      <c r="WPO158" s="274"/>
      <c r="WPP158" s="274"/>
      <c r="WPQ158" s="274"/>
      <c r="WPR158" s="274"/>
      <c r="WPS158" s="274"/>
      <c r="WPT158" s="273"/>
      <c r="WPU158" s="274"/>
      <c r="WPV158" s="274"/>
      <c r="WPW158" s="274"/>
      <c r="WPX158" s="274"/>
      <c r="WPY158" s="274"/>
      <c r="WPZ158" s="273"/>
      <c r="WQA158" s="274"/>
      <c r="WQB158" s="274"/>
      <c r="WQC158" s="274"/>
      <c r="WQD158" s="274"/>
      <c r="WQE158" s="274"/>
      <c r="WQF158" s="273"/>
      <c r="WQG158" s="274"/>
      <c r="WQH158" s="274"/>
      <c r="WQI158" s="274"/>
      <c r="WQJ158" s="274"/>
      <c r="WQK158" s="274"/>
      <c r="WQL158" s="273"/>
      <c r="WQM158" s="274"/>
      <c r="WQN158" s="274"/>
      <c r="WQO158" s="274"/>
      <c r="WQP158" s="274"/>
      <c r="WQQ158" s="274"/>
      <c r="WQR158" s="273"/>
      <c r="WQS158" s="274"/>
      <c r="WQT158" s="274"/>
      <c r="WQU158" s="274"/>
      <c r="WQV158" s="274"/>
      <c r="WQW158" s="274"/>
      <c r="WQX158" s="273"/>
      <c r="WQY158" s="274"/>
      <c r="WQZ158" s="274"/>
      <c r="WRA158" s="274"/>
      <c r="WRB158" s="274"/>
      <c r="WRC158" s="274"/>
      <c r="WRD158" s="273"/>
      <c r="WRE158" s="274"/>
      <c r="WRF158" s="274"/>
      <c r="WRG158" s="274"/>
      <c r="WRH158" s="274"/>
      <c r="WRI158" s="274"/>
      <c r="WRJ158" s="273"/>
      <c r="WRK158" s="274"/>
      <c r="WRL158" s="274"/>
      <c r="WRM158" s="274"/>
      <c r="WRN158" s="274"/>
      <c r="WRO158" s="274"/>
      <c r="WRP158" s="273"/>
      <c r="WRQ158" s="274"/>
      <c r="WRR158" s="274"/>
      <c r="WRS158" s="274"/>
      <c r="WRT158" s="274"/>
      <c r="WRU158" s="274"/>
      <c r="WRV158" s="273"/>
      <c r="WRW158" s="274"/>
      <c r="WRX158" s="274"/>
      <c r="WRY158" s="274"/>
      <c r="WRZ158" s="274"/>
      <c r="WSA158" s="274"/>
      <c r="WSB158" s="273"/>
      <c r="WSC158" s="274"/>
      <c r="WSD158" s="274"/>
      <c r="WSE158" s="274"/>
      <c r="WSF158" s="274"/>
      <c r="WSG158" s="274"/>
      <c r="WSH158" s="273"/>
      <c r="WSI158" s="274"/>
      <c r="WSJ158" s="274"/>
      <c r="WSK158" s="274"/>
      <c r="WSL158" s="274"/>
      <c r="WSM158" s="274"/>
      <c r="WSN158" s="273"/>
      <c r="WSO158" s="274"/>
      <c r="WSP158" s="274"/>
      <c r="WSQ158" s="274"/>
      <c r="WSR158" s="274"/>
      <c r="WSS158" s="274"/>
      <c r="WST158" s="273"/>
      <c r="WSU158" s="274"/>
      <c r="WSV158" s="274"/>
      <c r="WSW158" s="274"/>
      <c r="WSX158" s="274"/>
      <c r="WSY158" s="274"/>
      <c r="WSZ158" s="273"/>
      <c r="WTA158" s="274"/>
      <c r="WTB158" s="274"/>
      <c r="WTC158" s="274"/>
      <c r="WTD158" s="274"/>
      <c r="WTE158" s="274"/>
      <c r="WTF158" s="273"/>
      <c r="WTG158" s="274"/>
      <c r="WTH158" s="274"/>
      <c r="WTI158" s="274"/>
      <c r="WTJ158" s="274"/>
      <c r="WTK158" s="274"/>
      <c r="WTL158" s="273"/>
      <c r="WTM158" s="274"/>
      <c r="WTN158" s="274"/>
      <c r="WTO158" s="274"/>
      <c r="WTP158" s="274"/>
      <c r="WTQ158" s="274"/>
      <c r="WTR158" s="273"/>
      <c r="WTS158" s="274"/>
      <c r="WTT158" s="274"/>
      <c r="WTU158" s="274"/>
      <c r="WTV158" s="274"/>
      <c r="WTW158" s="274"/>
      <c r="WTX158" s="273"/>
      <c r="WTY158" s="274"/>
      <c r="WTZ158" s="274"/>
      <c r="WUA158" s="274"/>
      <c r="WUB158" s="274"/>
      <c r="WUC158" s="274"/>
      <c r="WUD158" s="273"/>
      <c r="WUE158" s="274"/>
      <c r="WUF158" s="274"/>
      <c r="WUG158" s="274"/>
      <c r="WUH158" s="274"/>
      <c r="WUI158" s="274"/>
      <c r="WUJ158" s="273"/>
      <c r="WUK158" s="274"/>
      <c r="WUL158" s="274"/>
      <c r="WUM158" s="274"/>
      <c r="WUN158" s="274"/>
      <c r="WUO158" s="274"/>
      <c r="WUP158" s="273"/>
      <c r="WUQ158" s="274"/>
      <c r="WUR158" s="274"/>
      <c r="WUS158" s="274"/>
      <c r="WUT158" s="274"/>
      <c r="WUU158" s="274"/>
      <c r="WUV158" s="273"/>
      <c r="WUW158" s="274"/>
      <c r="WUX158" s="274"/>
      <c r="WUY158" s="274"/>
      <c r="WUZ158" s="274"/>
      <c r="WVA158" s="274"/>
      <c r="WVB158" s="273"/>
      <c r="WVC158" s="274"/>
      <c r="WVD158" s="274"/>
      <c r="WVE158" s="274"/>
      <c r="WVF158" s="274"/>
      <c r="WVG158" s="274"/>
      <c r="WVH158" s="273"/>
      <c r="WVI158" s="274"/>
      <c r="WVJ158" s="274"/>
      <c r="WVK158" s="274"/>
      <c r="WVL158" s="274"/>
      <c r="WVM158" s="274"/>
      <c r="WVN158" s="273"/>
      <c r="WVO158" s="274"/>
      <c r="WVP158" s="274"/>
      <c r="WVQ158" s="274"/>
      <c r="WVR158" s="274"/>
      <c r="WVS158" s="274"/>
      <c r="WVT158" s="273"/>
      <c r="WVU158" s="274"/>
      <c r="WVV158" s="274"/>
      <c r="WVW158" s="274"/>
      <c r="WVX158" s="274"/>
      <c r="WVY158" s="274"/>
      <c r="WVZ158" s="273"/>
      <c r="WWA158" s="274"/>
      <c r="WWB158" s="274"/>
      <c r="WWC158" s="274"/>
      <c r="WWD158" s="274"/>
      <c r="WWE158" s="274"/>
      <c r="WWF158" s="273"/>
      <c r="WWG158" s="274"/>
      <c r="WWH158" s="274"/>
      <c r="WWI158" s="274"/>
      <c r="WWJ158" s="274"/>
      <c r="WWK158" s="274"/>
      <c r="WWL158" s="273"/>
      <c r="WWM158" s="274"/>
      <c r="WWN158" s="274"/>
      <c r="WWO158" s="274"/>
      <c r="WWP158" s="274"/>
      <c r="WWQ158" s="274"/>
      <c r="WWR158" s="273"/>
      <c r="WWS158" s="274"/>
      <c r="WWT158" s="274"/>
      <c r="WWU158" s="274"/>
      <c r="WWV158" s="274"/>
      <c r="WWW158" s="274"/>
      <c r="WWX158" s="273"/>
      <c r="WWY158" s="274"/>
      <c r="WWZ158" s="274"/>
      <c r="WXA158" s="274"/>
      <c r="WXB158" s="274"/>
      <c r="WXC158" s="274"/>
      <c r="WXD158" s="273"/>
      <c r="WXE158" s="274"/>
      <c r="WXF158" s="274"/>
      <c r="WXG158" s="274"/>
      <c r="WXH158" s="274"/>
      <c r="WXI158" s="274"/>
      <c r="WXJ158" s="273"/>
      <c r="WXK158" s="274"/>
      <c r="WXL158" s="274"/>
      <c r="WXM158" s="274"/>
      <c r="WXN158" s="274"/>
      <c r="WXO158" s="274"/>
      <c r="WXP158" s="273"/>
      <c r="WXQ158" s="274"/>
      <c r="WXR158" s="274"/>
      <c r="WXS158" s="274"/>
      <c r="WXT158" s="274"/>
      <c r="WXU158" s="274"/>
      <c r="WXV158" s="273"/>
      <c r="WXW158" s="274"/>
      <c r="WXX158" s="274"/>
      <c r="WXY158" s="274"/>
      <c r="WXZ158" s="274"/>
      <c r="WYA158" s="274"/>
      <c r="WYB158" s="273"/>
      <c r="WYC158" s="274"/>
      <c r="WYD158" s="274"/>
      <c r="WYE158" s="274"/>
      <c r="WYF158" s="274"/>
      <c r="WYG158" s="274"/>
      <c r="WYH158" s="273"/>
      <c r="WYI158" s="274"/>
      <c r="WYJ158" s="274"/>
      <c r="WYK158" s="274"/>
      <c r="WYL158" s="274"/>
      <c r="WYM158" s="274"/>
      <c r="WYN158" s="273"/>
      <c r="WYO158" s="274"/>
      <c r="WYP158" s="274"/>
      <c r="WYQ158" s="274"/>
      <c r="WYR158" s="274"/>
      <c r="WYS158" s="274"/>
      <c r="WYT158" s="273"/>
      <c r="WYU158" s="274"/>
      <c r="WYV158" s="274"/>
      <c r="WYW158" s="274"/>
      <c r="WYX158" s="274"/>
      <c r="WYY158" s="274"/>
      <c r="WYZ158" s="273"/>
      <c r="WZA158" s="274"/>
      <c r="WZB158" s="274"/>
      <c r="WZC158" s="274"/>
      <c r="WZD158" s="274"/>
      <c r="WZE158" s="274"/>
      <c r="WZF158" s="273"/>
      <c r="WZG158" s="274"/>
      <c r="WZH158" s="274"/>
      <c r="WZI158" s="274"/>
      <c r="WZJ158" s="274"/>
      <c r="WZK158" s="274"/>
      <c r="WZL158" s="273"/>
      <c r="WZM158" s="274"/>
      <c r="WZN158" s="274"/>
      <c r="WZO158" s="274"/>
      <c r="WZP158" s="274"/>
      <c r="WZQ158" s="274"/>
      <c r="WZR158" s="273"/>
      <c r="WZS158" s="274"/>
      <c r="WZT158" s="274"/>
      <c r="WZU158" s="274"/>
      <c r="WZV158" s="274"/>
      <c r="WZW158" s="274"/>
      <c r="WZX158" s="273"/>
      <c r="WZY158" s="274"/>
      <c r="WZZ158" s="274"/>
      <c r="XAA158" s="274"/>
      <c r="XAB158" s="274"/>
      <c r="XAC158" s="274"/>
      <c r="XAD158" s="273"/>
      <c r="XAE158" s="274"/>
      <c r="XAF158" s="274"/>
      <c r="XAG158" s="274"/>
      <c r="XAH158" s="274"/>
      <c r="XAI158" s="274"/>
      <c r="XAJ158" s="273"/>
      <c r="XAK158" s="274"/>
      <c r="XAL158" s="274"/>
      <c r="XAM158" s="274"/>
      <c r="XAN158" s="274"/>
      <c r="XAO158" s="274"/>
      <c r="XAP158" s="273"/>
      <c r="XAQ158" s="274"/>
      <c r="XAR158" s="274"/>
      <c r="XAS158" s="274"/>
      <c r="XAT158" s="274"/>
      <c r="XAU158" s="274"/>
      <c r="XAV158" s="273"/>
      <c r="XAW158" s="274"/>
      <c r="XAX158" s="274"/>
      <c r="XAY158" s="274"/>
      <c r="XAZ158" s="274"/>
      <c r="XBA158" s="274"/>
      <c r="XBB158" s="273"/>
      <c r="XBC158" s="274"/>
      <c r="XBD158" s="274"/>
      <c r="XBE158" s="274"/>
      <c r="XBF158" s="274"/>
      <c r="XBG158" s="274"/>
      <c r="XBH158" s="273"/>
      <c r="XBI158" s="274"/>
      <c r="XBJ158" s="274"/>
      <c r="XBK158" s="274"/>
      <c r="XBL158" s="274"/>
      <c r="XBM158" s="274"/>
      <c r="XBN158" s="273"/>
      <c r="XBO158" s="274"/>
      <c r="XBP158" s="274"/>
      <c r="XBQ158" s="274"/>
      <c r="XBR158" s="274"/>
      <c r="XBS158" s="274"/>
      <c r="XBT158" s="273"/>
      <c r="XBU158" s="274"/>
      <c r="XBV158" s="274"/>
      <c r="XBW158" s="274"/>
      <c r="XBX158" s="274"/>
      <c r="XBY158" s="274"/>
      <c r="XBZ158" s="273"/>
      <c r="XCA158" s="274"/>
      <c r="XCB158" s="274"/>
      <c r="XCC158" s="274"/>
      <c r="XCD158" s="274"/>
      <c r="XCE158" s="274"/>
      <c r="XCF158" s="273"/>
      <c r="XCG158" s="274"/>
      <c r="XCH158" s="274"/>
      <c r="XCI158" s="274"/>
      <c r="XCJ158" s="274"/>
      <c r="XCK158" s="274"/>
      <c r="XCL158" s="273"/>
      <c r="XCM158" s="274"/>
      <c r="XCN158" s="274"/>
      <c r="XCO158" s="274"/>
      <c r="XCP158" s="274"/>
      <c r="XCQ158" s="274"/>
      <c r="XCR158" s="273"/>
      <c r="XCS158" s="274"/>
      <c r="XCT158" s="274"/>
      <c r="XCU158" s="274"/>
      <c r="XCV158" s="274"/>
      <c r="XCW158" s="274"/>
      <c r="XCX158" s="273"/>
      <c r="XCY158" s="274"/>
      <c r="XCZ158" s="274"/>
      <c r="XDA158" s="274"/>
      <c r="XDB158" s="274"/>
      <c r="XDC158" s="274"/>
      <c r="XDD158" s="273"/>
      <c r="XDE158" s="274"/>
      <c r="XDF158" s="274"/>
      <c r="XDG158" s="274"/>
      <c r="XDH158" s="274"/>
      <c r="XDI158" s="274"/>
      <c r="XDJ158" s="273"/>
      <c r="XDK158" s="274"/>
      <c r="XDL158" s="274"/>
      <c r="XDM158" s="274"/>
      <c r="XDN158" s="274"/>
      <c r="XDO158" s="274"/>
      <c r="XDP158" s="273"/>
      <c r="XDQ158" s="274"/>
      <c r="XDR158" s="274"/>
      <c r="XDS158" s="274"/>
      <c r="XDT158" s="274"/>
      <c r="XDU158" s="274"/>
      <c r="XDV158" s="273"/>
      <c r="XDW158" s="274"/>
      <c r="XDX158" s="274"/>
      <c r="XDY158" s="274"/>
      <c r="XDZ158" s="274"/>
      <c r="XEA158" s="274"/>
      <c r="XEB158" s="273"/>
      <c r="XEC158" s="274"/>
      <c r="XED158" s="274"/>
      <c r="XEE158" s="274"/>
      <c r="XEF158" s="274"/>
      <c r="XEG158" s="274"/>
      <c r="XEH158" s="273"/>
      <c r="XEI158" s="274"/>
      <c r="XEJ158" s="274"/>
      <c r="XEK158" s="274"/>
      <c r="XEL158" s="274"/>
      <c r="XEM158" s="274"/>
      <c r="XEN158" s="273"/>
      <c r="XEO158" s="274"/>
      <c r="XEP158" s="274"/>
      <c r="XEQ158" s="274"/>
      <c r="XER158" s="274"/>
      <c r="XES158" s="274"/>
      <c r="XET158" s="273"/>
      <c r="XEU158" s="274"/>
      <c r="XEV158" s="274"/>
      <c r="XEW158" s="274"/>
    </row>
    <row r="159" spans="1:16377" s="142" customFormat="1" ht="38.25">
      <c r="A159" s="341" t="str">
        <f t="shared" ref="A159:C159" si="56">A129</f>
        <v>Year</v>
      </c>
      <c r="B159" s="342" t="str">
        <f t="shared" si="56"/>
        <v xml:space="preserve">Residential </v>
      </c>
      <c r="C159" s="342" t="str">
        <f t="shared" si="56"/>
        <v>General Service &lt; 50 kW</v>
      </c>
      <c r="D159" s="342" t="str">
        <f>D129</f>
        <v>General Service 50 to 4,999 kW</v>
      </c>
      <c r="E159" s="342" t="str">
        <f>E129</f>
        <v>Sentinel Lights</v>
      </c>
      <c r="F159" s="343" t="str">
        <f>F129</f>
        <v>Street Lights</v>
      </c>
      <c r="G159" s="343" t="str">
        <f>G129</f>
        <v xml:space="preserve">Unmetered Scattered Loads </v>
      </c>
      <c r="H159" s="343" t="s">
        <v>18</v>
      </c>
      <c r="I159" s="343" t="str">
        <f>I129</f>
        <v>Total</v>
      </c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</row>
    <row r="160" spans="1:16377" s="142" customFormat="1">
      <c r="A160" s="344" t="s">
        <v>48</v>
      </c>
      <c r="B160" s="269"/>
      <c r="C160" s="269"/>
      <c r="D160" s="269"/>
      <c r="E160" s="269"/>
      <c r="F160" s="269"/>
      <c r="G160" s="269"/>
      <c r="H160" s="269"/>
      <c r="I160" s="345"/>
      <c r="J160" s="115"/>
      <c r="K160" s="115"/>
      <c r="L160" s="115"/>
      <c r="M160" s="115"/>
      <c r="N160" s="115"/>
    </row>
    <row r="161" spans="1:14" s="142" customFormat="1">
      <c r="A161" s="346" t="str">
        <f>A125</f>
        <v>2023 Bridge</v>
      </c>
      <c r="B161" s="347">
        <f>'Rate Class Customer Model'!B21</f>
        <v>19908.463839301028</v>
      </c>
      <c r="C161" s="347">
        <f>'Rate Class Customer Model'!C21</f>
        <v>1275.7732893284576</v>
      </c>
      <c r="D161" s="347">
        <f>'Rate Class Customer Model'!D21</f>
        <v>85.120889744039346</v>
      </c>
      <c r="E161" s="347">
        <f>'Rate Class Customer Model'!F21</f>
        <v>150.7618654442806</v>
      </c>
      <c r="F161" s="347">
        <f>'Rate Class Customer Model'!E21</f>
        <v>4286.7530595146491</v>
      </c>
      <c r="G161" s="347">
        <f>'Rate Class Customer Model'!G21</f>
        <v>76.366311195505986</v>
      </c>
      <c r="H161" s="347">
        <f>'Rate Class Customer Model'!H21</f>
        <v>1</v>
      </c>
      <c r="I161" s="347">
        <f>SUM(B161:H161)</f>
        <v>25784.239254527965</v>
      </c>
      <c r="J161" s="115"/>
      <c r="K161" s="115"/>
      <c r="L161" s="115"/>
      <c r="M161" s="115"/>
      <c r="N161" s="115"/>
    </row>
    <row r="162" spans="1:14" s="142" customFormat="1">
      <c r="A162" s="346" t="str">
        <f>A126</f>
        <v>2024 Test</v>
      </c>
      <c r="B162" s="347">
        <f>'Rate Class Customer Model'!B22</f>
        <v>20636.220268069355</v>
      </c>
      <c r="C162" s="347">
        <f>'Rate Class Customer Model'!C22</f>
        <v>1314.0818521795097</v>
      </c>
      <c r="D162" s="347">
        <f>'Rate Class Customer Model'!D22</f>
        <v>87.089175994942835</v>
      </c>
      <c r="E162" s="347">
        <f>'Rate Class Customer Model'!F22</f>
        <v>149.12906411168251</v>
      </c>
      <c r="F162" s="347">
        <f>'Rate Class Customer Model'!E22</f>
        <v>4460.1153969840689</v>
      </c>
      <c r="G162" s="347">
        <f>'Rate Class Customer Model'!G22</f>
        <v>75.443622648698025</v>
      </c>
      <c r="H162" s="347">
        <f>'Rate Class Customer Model'!H22</f>
        <v>1</v>
      </c>
      <c r="I162" s="347">
        <f>SUM(B162:H162)</f>
        <v>26723.079379988256</v>
      </c>
      <c r="J162" s="115"/>
      <c r="K162" s="115"/>
      <c r="L162" s="115"/>
      <c r="M162" s="115"/>
      <c r="N162" s="115"/>
    </row>
    <row r="164" spans="1:14">
      <c r="A164" s="348" t="s">
        <v>49</v>
      </c>
      <c r="B164" s="271"/>
      <c r="C164" s="271"/>
      <c r="D164" s="271"/>
      <c r="E164" s="271"/>
      <c r="F164" s="271"/>
      <c r="G164" s="271"/>
      <c r="H164" s="349"/>
      <c r="I164" s="118"/>
      <c r="J164" s="118"/>
      <c r="K164" s="118"/>
      <c r="L164" s="118"/>
    </row>
    <row r="165" spans="1:14" s="142" customFormat="1" ht="38.25">
      <c r="A165" s="350" t="str">
        <f>A159</f>
        <v>Year</v>
      </c>
      <c r="B165" s="343" t="str">
        <f t="shared" ref="B165:C165" si="57">B159</f>
        <v xml:space="preserve">Residential </v>
      </c>
      <c r="C165" s="343" t="str">
        <f t="shared" si="57"/>
        <v>General Service &lt; 50 kW</v>
      </c>
      <c r="D165" s="343" t="str">
        <f>D159</f>
        <v>General Service 50 to 4,999 kW</v>
      </c>
      <c r="E165" s="343" t="str">
        <f>E159</f>
        <v>Sentinel Lights</v>
      </c>
      <c r="F165" s="343" t="str">
        <f>F159</f>
        <v>Street Lights</v>
      </c>
      <c r="G165" s="343" t="str">
        <f>G159</f>
        <v xml:space="preserve">Unmetered Scattered Loads </v>
      </c>
      <c r="H165" s="343" t="str">
        <f>H159</f>
        <v>Embedded Distributor</v>
      </c>
      <c r="I165" s="115"/>
      <c r="J165" s="115"/>
      <c r="K165" s="115"/>
      <c r="L165" s="115"/>
      <c r="M165" s="115"/>
    </row>
    <row r="166" spans="1:14">
      <c r="A166" s="327" t="s">
        <v>50</v>
      </c>
      <c r="B166" s="270"/>
      <c r="C166" s="270"/>
      <c r="D166" s="270"/>
      <c r="E166" s="270"/>
      <c r="F166" s="270"/>
      <c r="G166" s="270"/>
      <c r="H166" s="328"/>
      <c r="I166" s="118"/>
      <c r="J166" s="118"/>
      <c r="K166" s="118"/>
    </row>
    <row r="167" spans="1:14">
      <c r="A167" s="300">
        <v>2022</v>
      </c>
      <c r="B167" s="316">
        <f>'Rate Class Energy Model'!H21</f>
        <v>9695.915476985796</v>
      </c>
      <c r="C167" s="316">
        <f>'Rate Class Energy Model'!I21</f>
        <v>33845.847494654168</v>
      </c>
      <c r="D167" s="316">
        <f>'Rate Class Energy Model'!J21</f>
        <v>697793.18382978707</v>
      </c>
      <c r="E167" s="316">
        <f>'Rate Class Energy Model'!L21</f>
        <v>647.70292035398199</v>
      </c>
      <c r="F167" s="316">
        <f>'Rate Class Energy Model'!K21</f>
        <v>200.74280767314394</v>
      </c>
      <c r="G167" s="316">
        <f>'Rate Class Energy Model'!M21</f>
        <v>6184.874568469505</v>
      </c>
      <c r="H167" s="316">
        <f>'Rate Class Energy Model'!N21</f>
        <v>935588.9</v>
      </c>
      <c r="I167" s="118"/>
      <c r="J167" s="118"/>
      <c r="K167" s="118"/>
    </row>
    <row r="168" spans="1:14">
      <c r="A168" s="131"/>
      <c r="B168" s="143"/>
      <c r="C168" s="143"/>
      <c r="D168" s="143"/>
      <c r="E168" s="143"/>
      <c r="F168" s="143"/>
    </row>
    <row r="169" spans="1:14">
      <c r="A169" s="144" t="s">
        <v>51</v>
      </c>
      <c r="B169" s="145"/>
      <c r="C169" s="145"/>
      <c r="D169" s="145"/>
      <c r="E169" s="145"/>
      <c r="F169" s="145"/>
      <c r="G169" s="145"/>
      <c r="H169" s="145"/>
    </row>
    <row r="170" spans="1:14" s="142" customFormat="1" ht="38.25">
      <c r="A170" s="350" t="str">
        <f t="shared" ref="A170:C170" si="58">A165</f>
        <v>Year</v>
      </c>
      <c r="B170" s="343" t="str">
        <f t="shared" si="58"/>
        <v xml:space="preserve">Residential </v>
      </c>
      <c r="C170" s="343" t="str">
        <f t="shared" si="58"/>
        <v>General Service &lt; 50 kW</v>
      </c>
      <c r="D170" s="343" t="str">
        <f>D165</f>
        <v>General Service 50 to 4,999 kW</v>
      </c>
      <c r="E170" s="343" t="str">
        <f>E165</f>
        <v>Sentinel Lights</v>
      </c>
      <c r="F170" s="343" t="str">
        <f>F165</f>
        <v>Street Lights</v>
      </c>
      <c r="G170" s="343" t="str">
        <f>G165</f>
        <v xml:space="preserve">Unmetered Scattered Loads </v>
      </c>
      <c r="H170" s="343" t="str">
        <f>H165</f>
        <v>Embedded Distributor</v>
      </c>
      <c r="I170" s="115"/>
      <c r="J170" s="115"/>
      <c r="K170" s="115"/>
      <c r="L170" s="115"/>
      <c r="M170" s="115"/>
    </row>
    <row r="171" spans="1:14">
      <c r="A171" s="327" t="s">
        <v>52</v>
      </c>
      <c r="B171" s="270"/>
      <c r="C171" s="270"/>
      <c r="D171" s="270"/>
      <c r="E171" s="270"/>
      <c r="F171" s="270"/>
      <c r="G171" s="270"/>
      <c r="H171" s="328"/>
      <c r="I171" s="118"/>
      <c r="J171" s="118"/>
      <c r="K171" s="118"/>
    </row>
    <row r="172" spans="1:14">
      <c r="A172" s="317" t="str">
        <f>A161</f>
        <v>2023 Bridge</v>
      </c>
      <c r="B172" s="316">
        <f t="shared" ref="B172:C172" si="59">B167</f>
        <v>9695.915476985796</v>
      </c>
      <c r="C172" s="316">
        <f t="shared" si="59"/>
        <v>33845.847494654168</v>
      </c>
      <c r="D172" s="316">
        <f>D167</f>
        <v>697793.18382978707</v>
      </c>
      <c r="E172" s="316">
        <f>E167</f>
        <v>647.70292035398199</v>
      </c>
      <c r="F172" s="316">
        <f>F167</f>
        <v>200.74280767314394</v>
      </c>
      <c r="G172" s="316">
        <f>G167</f>
        <v>6184.874568469505</v>
      </c>
      <c r="H172" s="316">
        <f>H167</f>
        <v>935588.9</v>
      </c>
      <c r="I172" s="118"/>
      <c r="J172" s="118"/>
      <c r="K172" s="118"/>
    </row>
    <row r="173" spans="1:14">
      <c r="A173" s="317" t="str">
        <f>A162</f>
        <v>2024 Test</v>
      </c>
      <c r="B173" s="316">
        <f>B172</f>
        <v>9695.915476985796</v>
      </c>
      <c r="C173" s="316">
        <f t="shared" ref="C173:G173" si="60">C172</f>
        <v>33845.847494654168</v>
      </c>
      <c r="D173" s="316">
        <f t="shared" si="60"/>
        <v>697793.18382978707</v>
      </c>
      <c r="E173" s="316">
        <f t="shared" si="60"/>
        <v>647.70292035398199</v>
      </c>
      <c r="F173" s="316">
        <f t="shared" si="60"/>
        <v>200.74280767314394</v>
      </c>
      <c r="G173" s="316">
        <f t="shared" si="60"/>
        <v>6184.874568469505</v>
      </c>
      <c r="H173" s="316">
        <f t="shared" ref="H173" si="61">H172</f>
        <v>935588.9</v>
      </c>
      <c r="I173" s="118"/>
      <c r="J173" s="118"/>
      <c r="K173" s="118"/>
    </row>
    <row r="175" spans="1:14">
      <c r="A175" s="144" t="s">
        <v>53</v>
      </c>
      <c r="B175" s="145"/>
      <c r="C175" s="145"/>
      <c r="D175" s="145"/>
      <c r="E175" s="145"/>
      <c r="F175" s="145"/>
      <c r="G175" s="145"/>
      <c r="H175" s="145"/>
      <c r="M175" s="132"/>
    </row>
    <row r="176" spans="1:14" s="142" customFormat="1" ht="38.25">
      <c r="A176" s="350" t="str">
        <f>A159</f>
        <v>Year</v>
      </c>
      <c r="B176" s="343" t="str">
        <f t="shared" ref="B176:C176" si="62">B159</f>
        <v xml:space="preserve">Residential </v>
      </c>
      <c r="C176" s="343" t="str">
        <f t="shared" si="62"/>
        <v>General Service &lt; 50 kW</v>
      </c>
      <c r="D176" s="343" t="str">
        <f t="shared" ref="D176:I176" si="63">D159</f>
        <v>General Service 50 to 4,999 kW</v>
      </c>
      <c r="E176" s="343" t="str">
        <f t="shared" si="63"/>
        <v>Sentinel Lights</v>
      </c>
      <c r="F176" s="343" t="str">
        <f t="shared" si="63"/>
        <v>Street Lights</v>
      </c>
      <c r="G176" s="343" t="str">
        <f t="shared" si="63"/>
        <v xml:space="preserve">Unmetered Scattered Loads </v>
      </c>
      <c r="H176" s="343" t="str">
        <f t="shared" si="63"/>
        <v>Embedded Distributor</v>
      </c>
      <c r="I176" s="343" t="str">
        <f t="shared" si="63"/>
        <v>Total</v>
      </c>
      <c r="J176" s="115"/>
      <c r="K176" s="115"/>
      <c r="L176" s="115"/>
      <c r="M176" s="115"/>
      <c r="N176" s="115"/>
    </row>
    <row r="177" spans="1:14">
      <c r="A177" s="327" t="s">
        <v>54</v>
      </c>
      <c r="B177" s="270"/>
      <c r="C177" s="270"/>
      <c r="D177" s="270"/>
      <c r="E177" s="270"/>
      <c r="F177" s="270"/>
      <c r="G177" s="270"/>
      <c r="H177" s="270"/>
      <c r="I177" s="328"/>
      <c r="J177" s="118"/>
      <c r="K177" s="118"/>
      <c r="L177" s="118"/>
      <c r="M177" s="118"/>
    </row>
    <row r="178" spans="1:14">
      <c r="A178" s="300" t="str">
        <f>A172</f>
        <v>2023 Bridge</v>
      </c>
      <c r="B178" s="351">
        <f>B172*B161/1000000</f>
        <v>193.03078266249091</v>
      </c>
      <c r="C178" s="351">
        <f t="shared" ref="C178:C179" si="64">C172*C161/1000000</f>
        <v>43.179628188364283</v>
      </c>
      <c r="D178" s="351">
        <f t="shared" ref="D178:H179" si="65">D172*D161/1000000</f>
        <v>59.396776664917482</v>
      </c>
      <c r="E178" s="351">
        <f t="shared" si="65"/>
        <v>9.7648900526274632E-2</v>
      </c>
      <c r="F178" s="351">
        <f t="shared" si="65"/>
        <v>0.86053484496841059</v>
      </c>
      <c r="G178" s="351">
        <f t="shared" si="65"/>
        <v>0.47231605600091303</v>
      </c>
      <c r="H178" s="351">
        <f t="shared" si="65"/>
        <v>0.93558890000000006</v>
      </c>
      <c r="I178" s="351">
        <f>SUM(B178:H178)</f>
        <v>297.97327621726834</v>
      </c>
      <c r="J178" s="118"/>
      <c r="K178" s="118"/>
      <c r="L178" s="118"/>
      <c r="M178" s="118"/>
    </row>
    <row r="179" spans="1:14">
      <c r="A179" s="300" t="str">
        <f>A173</f>
        <v>2024 Test</v>
      </c>
      <c r="B179" s="351">
        <f>B173*B162/1000000</f>
        <v>200.08704748366162</v>
      </c>
      <c r="C179" s="351">
        <f t="shared" si="64"/>
        <v>44.476213964360369</v>
      </c>
      <c r="D179" s="351">
        <f t="shared" si="65"/>
        <v>60.770233394623823</v>
      </c>
      <c r="E179" s="351">
        <f t="shared" si="65"/>
        <v>9.6591330334792974E-2</v>
      </c>
      <c r="F179" s="351">
        <f t="shared" si="65"/>
        <v>0.89533608733680103</v>
      </c>
      <c r="G179" s="351">
        <f t="shared" si="65"/>
        <v>0.46660934307314234</v>
      </c>
      <c r="H179" s="351">
        <f t="shared" si="65"/>
        <v>0.93558890000000006</v>
      </c>
      <c r="I179" s="351">
        <f>SUM(B179:H179)</f>
        <v>307.72762050339048</v>
      </c>
      <c r="J179" s="118"/>
      <c r="K179" s="118"/>
      <c r="L179" s="118"/>
      <c r="M179" s="118"/>
    </row>
    <row r="181" spans="1:14">
      <c r="B181" s="277" t="s">
        <v>55</v>
      </c>
      <c r="C181" s="277"/>
      <c r="D181" s="277"/>
      <c r="E181" s="277"/>
      <c r="F181" s="277"/>
      <c r="G181" s="277"/>
      <c r="H181" s="277"/>
    </row>
    <row r="182" spans="1:14" ht="38.25">
      <c r="B182" s="352" t="str">
        <f>B176</f>
        <v xml:space="preserve">Residential </v>
      </c>
      <c r="C182" s="352" t="str">
        <f t="shared" ref="C182" si="66">C176</f>
        <v>General Service &lt; 50 kW</v>
      </c>
      <c r="D182" s="352" t="str">
        <f>D176</f>
        <v>General Service 50 to 4,999 kW</v>
      </c>
      <c r="E182" s="352" t="str">
        <f>E176</f>
        <v>Sentinel Lights</v>
      </c>
      <c r="F182" s="352" t="str">
        <f>F176</f>
        <v>Street Lights</v>
      </c>
      <c r="G182" s="352" t="str">
        <f>G176</f>
        <v xml:space="preserve">Unmetered Scattered Loads </v>
      </c>
      <c r="H182" s="352" t="str">
        <f>H176</f>
        <v>Embedded Distributor</v>
      </c>
      <c r="I182" s="118"/>
      <c r="J182" s="118"/>
      <c r="K182" s="118"/>
    </row>
    <row r="183" spans="1:14">
      <c r="B183" s="348" t="s">
        <v>56</v>
      </c>
      <c r="C183" s="271"/>
      <c r="D183" s="271"/>
      <c r="E183" s="271"/>
      <c r="F183" s="271"/>
      <c r="G183" s="271"/>
      <c r="H183" s="349"/>
      <c r="I183" s="118"/>
      <c r="J183" s="118"/>
      <c r="K183" s="118"/>
    </row>
    <row r="184" spans="1:14">
      <c r="B184" s="353">
        <f>'Rate Class Energy Model'!H34</f>
        <v>0.82499999999999996</v>
      </c>
      <c r="C184" s="353">
        <f>'Rate Class Energy Model'!I34</f>
        <v>0.82499999999999996</v>
      </c>
      <c r="D184" s="353">
        <f>'Rate Class Energy Model'!J34</f>
        <v>0.65</v>
      </c>
      <c r="E184" s="353">
        <f>'Rate Class Energy Model'!L34</f>
        <v>0</v>
      </c>
      <c r="F184" s="353">
        <f>'Rate Class Energy Model'!K34</f>
        <v>0</v>
      </c>
      <c r="G184" s="353">
        <f>'Rate Class Energy Model'!M34</f>
        <v>0</v>
      </c>
      <c r="H184" s="353">
        <f>'Rate Class Energy Model'!N34</f>
        <v>0</v>
      </c>
      <c r="I184" s="118"/>
      <c r="J184" s="118"/>
      <c r="K184" s="118"/>
    </row>
    <row r="185" spans="1:14">
      <c r="B185" s="146"/>
      <c r="C185" s="146"/>
      <c r="D185" s="146"/>
      <c r="E185" s="146"/>
      <c r="F185" s="146"/>
    </row>
    <row r="186" spans="1:14" s="115" customFormat="1"/>
    <row r="187" spans="1:14" s="118" customFormat="1"/>
    <row r="188" spans="1:14">
      <c r="A188" s="277" t="s">
        <v>57</v>
      </c>
      <c r="B188" s="277"/>
      <c r="C188" s="277"/>
      <c r="D188" s="277"/>
      <c r="E188" s="277"/>
      <c r="F188" s="277"/>
      <c r="G188" s="277"/>
      <c r="H188" s="277"/>
      <c r="I188" s="277"/>
      <c r="J188" s="277"/>
      <c r="K188" s="277"/>
      <c r="L188" s="277"/>
      <c r="M188" s="277"/>
      <c r="N188" s="124"/>
    </row>
    <row r="189" spans="1:14" ht="38.25">
      <c r="A189" s="295" t="s">
        <v>1</v>
      </c>
      <c r="B189" s="296" t="str">
        <f t="shared" ref="B189:H189" si="67">B182</f>
        <v xml:space="preserve">Residential </v>
      </c>
      <c r="C189" s="296" t="str">
        <f t="shared" si="67"/>
        <v>General Service &lt; 50 kW</v>
      </c>
      <c r="D189" s="296" t="str">
        <f t="shared" si="67"/>
        <v>General Service 50 to 4,999 kW</v>
      </c>
      <c r="E189" s="296" t="str">
        <f t="shared" si="67"/>
        <v>Sentinel Lights</v>
      </c>
      <c r="F189" s="296" t="str">
        <f t="shared" si="67"/>
        <v>Street Lights</v>
      </c>
      <c r="G189" s="296" t="str">
        <f t="shared" si="67"/>
        <v xml:space="preserve">Unmetered Scattered Loads </v>
      </c>
      <c r="H189" s="296" t="str">
        <f t="shared" si="67"/>
        <v>Embedded Distributor</v>
      </c>
      <c r="I189" s="296" t="str">
        <f>I176</f>
        <v>Total</v>
      </c>
      <c r="J189" s="118"/>
      <c r="K189" s="118"/>
      <c r="L189" s="118"/>
      <c r="M189" s="118"/>
    </row>
    <row r="190" spans="1:14">
      <c r="A190" s="327" t="s">
        <v>58</v>
      </c>
      <c r="B190" s="270"/>
      <c r="C190" s="270"/>
      <c r="D190" s="270"/>
      <c r="E190" s="270"/>
      <c r="F190" s="270"/>
      <c r="G190" s="270"/>
      <c r="H190" s="270"/>
      <c r="I190" s="328"/>
      <c r="J190" s="118"/>
      <c r="K190" s="118"/>
      <c r="L190" s="118"/>
      <c r="M190" s="118"/>
    </row>
    <row r="191" spans="1:14">
      <c r="A191" s="300" t="str">
        <f t="shared" ref="A191:H192" si="68">A178</f>
        <v>2023 Bridge</v>
      </c>
      <c r="B191" s="351">
        <f t="shared" si="68"/>
        <v>193.03078266249091</v>
      </c>
      <c r="C191" s="351">
        <f t="shared" si="68"/>
        <v>43.179628188364283</v>
      </c>
      <c r="D191" s="351">
        <f t="shared" si="68"/>
        <v>59.396776664917482</v>
      </c>
      <c r="E191" s="351">
        <f t="shared" si="68"/>
        <v>9.7648900526274632E-2</v>
      </c>
      <c r="F191" s="351">
        <f t="shared" si="68"/>
        <v>0.86053484496841059</v>
      </c>
      <c r="G191" s="351">
        <f t="shared" si="68"/>
        <v>0.47231605600091303</v>
      </c>
      <c r="H191" s="351">
        <f t="shared" si="68"/>
        <v>0.93558890000000006</v>
      </c>
      <c r="I191" s="351">
        <f>SUM(B191:H191)</f>
        <v>297.97327621726834</v>
      </c>
      <c r="J191" s="118"/>
      <c r="K191" s="118"/>
      <c r="L191" s="118"/>
      <c r="M191" s="118"/>
    </row>
    <row r="192" spans="1:14">
      <c r="A192" s="300" t="str">
        <f t="shared" si="68"/>
        <v>2024 Test</v>
      </c>
      <c r="B192" s="351">
        <f t="shared" si="68"/>
        <v>200.08704748366162</v>
      </c>
      <c r="C192" s="351">
        <f t="shared" si="68"/>
        <v>44.476213964360369</v>
      </c>
      <c r="D192" s="351">
        <f t="shared" si="68"/>
        <v>60.770233394623823</v>
      </c>
      <c r="E192" s="351">
        <f t="shared" si="68"/>
        <v>9.6591330334792974E-2</v>
      </c>
      <c r="F192" s="351">
        <f t="shared" si="68"/>
        <v>0.89533608733680103</v>
      </c>
      <c r="G192" s="351">
        <f t="shared" si="68"/>
        <v>0.46660934307314234</v>
      </c>
      <c r="H192" s="351">
        <f t="shared" si="68"/>
        <v>0.93558890000000006</v>
      </c>
      <c r="I192" s="351">
        <f>SUM(B192:H192)</f>
        <v>307.72762050339048</v>
      </c>
      <c r="J192" s="118"/>
      <c r="K192" s="118"/>
      <c r="L192" s="118"/>
      <c r="M192" s="118"/>
    </row>
    <row r="193" spans="1:13">
      <c r="A193" s="327" t="s">
        <v>59</v>
      </c>
      <c r="B193" s="270"/>
      <c r="C193" s="270"/>
      <c r="D193" s="270"/>
      <c r="E193" s="270"/>
      <c r="F193" s="270"/>
      <c r="G193" s="270"/>
      <c r="H193" s="270"/>
      <c r="I193" s="328"/>
      <c r="J193" s="118"/>
      <c r="K193" s="118"/>
      <c r="L193" s="118"/>
      <c r="M193" s="118"/>
    </row>
    <row r="194" spans="1:13">
      <c r="A194" s="317" t="str">
        <f>A172</f>
        <v>2023 Bridge</v>
      </c>
      <c r="B194" s="354">
        <f>'Rate Class Energy Model'!H39/1000000</f>
        <v>-8.7905477794838056</v>
      </c>
      <c r="C194" s="354">
        <f>'Rate Class Energy Model'!I39/1000000</f>
        <v>-1.9663837003336113</v>
      </c>
      <c r="D194" s="354">
        <f>'Rate Class Energy Model'!J39/1000000</f>
        <v>-2.131138391265722</v>
      </c>
      <c r="E194" s="354">
        <f>'Rate Class Energy Model'!L39/1000000</f>
        <v>0</v>
      </c>
      <c r="F194" s="354">
        <f>'Rate Class Energy Model'!K39/1000000</f>
        <v>0</v>
      </c>
      <c r="G194" s="354">
        <f>'Rate Class Energy Model'!M39/1000000</f>
        <v>0</v>
      </c>
      <c r="H194" s="354">
        <f>'Rate Class Energy Model'!N39/1000000</f>
        <v>0</v>
      </c>
      <c r="I194" s="354">
        <f>SUM(B194:H194)</f>
        <v>-12.88806987108314</v>
      </c>
      <c r="J194" s="118"/>
      <c r="K194" s="118"/>
      <c r="L194" s="118"/>
      <c r="M194" s="118"/>
    </row>
    <row r="195" spans="1:13">
      <c r="A195" s="317" t="str">
        <f>A173</f>
        <v>2024 Test</v>
      </c>
      <c r="B195" s="354">
        <f>'Rate Class Energy Model'!H40/1000000</f>
        <v>-7.555140611029346</v>
      </c>
      <c r="C195" s="354">
        <f>'Rate Class Energy Model'!I40/1000000</f>
        <v>-1.6793893186634583</v>
      </c>
      <c r="D195" s="354">
        <f>'Rate Class Energy Model'!J40/1000000</f>
        <v>-1.8078978495706926</v>
      </c>
      <c r="E195" s="354">
        <f>'Rate Class Energy Model'!L40/1000000</f>
        <v>0</v>
      </c>
      <c r="F195" s="354">
        <f>'Rate Class Energy Model'!K40/1000000</f>
        <v>0</v>
      </c>
      <c r="G195" s="354">
        <f>'Rate Class Energy Model'!M40/1000000</f>
        <v>0</v>
      </c>
      <c r="H195" s="354">
        <f>'Rate Class Energy Model'!N40/1000000</f>
        <v>0</v>
      </c>
      <c r="I195" s="354">
        <f>SUM(B195:H195)</f>
        <v>-11.042427779263498</v>
      </c>
      <c r="J195" s="118"/>
      <c r="K195" s="118"/>
      <c r="L195" s="118"/>
      <c r="M195" s="118"/>
    </row>
    <row r="196" spans="1:13">
      <c r="A196" s="327" t="s">
        <v>60</v>
      </c>
      <c r="B196" s="270"/>
      <c r="C196" s="270"/>
      <c r="D196" s="270"/>
      <c r="E196" s="270"/>
      <c r="F196" s="270"/>
      <c r="G196" s="270"/>
      <c r="H196" s="270"/>
      <c r="I196" s="328"/>
      <c r="J196" s="118"/>
      <c r="K196" s="118"/>
      <c r="L196" s="118"/>
      <c r="M196" s="118"/>
    </row>
    <row r="197" spans="1:13">
      <c r="A197" s="300" t="str">
        <f>A191</f>
        <v>2023 Bridge</v>
      </c>
      <c r="B197" s="355">
        <f>B191+B194</f>
        <v>184.2402348830071</v>
      </c>
      <c r="C197" s="355">
        <f t="shared" ref="C197:H197" si="69">C191+C194</f>
        <v>41.213244488030675</v>
      </c>
      <c r="D197" s="355">
        <f t="shared" si="69"/>
        <v>57.26563827365176</v>
      </c>
      <c r="E197" s="355">
        <f t="shared" si="69"/>
        <v>9.7648900526274632E-2</v>
      </c>
      <c r="F197" s="355">
        <f t="shared" si="69"/>
        <v>0.86053484496841059</v>
      </c>
      <c r="G197" s="355">
        <f t="shared" si="69"/>
        <v>0.47231605600091303</v>
      </c>
      <c r="H197" s="355">
        <f t="shared" si="69"/>
        <v>0.93558890000000006</v>
      </c>
      <c r="I197" s="354">
        <f>SUM(B197:H197)</f>
        <v>285.0852063461852</v>
      </c>
      <c r="J197" s="147"/>
      <c r="K197" s="118"/>
      <c r="L197" s="118"/>
      <c r="M197" s="118"/>
    </row>
    <row r="198" spans="1:13">
      <c r="A198" s="300" t="str">
        <f>A192</f>
        <v>2024 Test</v>
      </c>
      <c r="B198" s="355">
        <f>B192+B195</f>
        <v>192.53190687263228</v>
      </c>
      <c r="C198" s="355">
        <f t="shared" ref="C198:H198" si="70">C192+C195</f>
        <v>42.796824645696908</v>
      </c>
      <c r="D198" s="355">
        <f t="shared" si="70"/>
        <v>58.962335545053129</v>
      </c>
      <c r="E198" s="355">
        <f t="shared" si="70"/>
        <v>9.6591330334792974E-2</v>
      </c>
      <c r="F198" s="355">
        <f t="shared" si="70"/>
        <v>0.89533608733680103</v>
      </c>
      <c r="G198" s="355">
        <f t="shared" si="70"/>
        <v>0.46660934307314234</v>
      </c>
      <c r="H198" s="355">
        <f t="shared" si="70"/>
        <v>0.93558890000000006</v>
      </c>
      <c r="I198" s="354">
        <f>SUM(B198:H198)</f>
        <v>296.68519272412703</v>
      </c>
      <c r="J198" s="147"/>
      <c r="K198" s="118"/>
      <c r="L198" s="118"/>
      <c r="M198" s="118"/>
    </row>
    <row r="199" spans="1:13">
      <c r="A199" s="131"/>
      <c r="B199" s="148"/>
      <c r="C199" s="148"/>
      <c r="D199" s="148"/>
      <c r="E199" s="148"/>
      <c r="F199" s="148"/>
      <c r="G199" s="148"/>
      <c r="H199" s="148"/>
      <c r="I199" s="148"/>
      <c r="J199" s="147"/>
      <c r="K199" s="118"/>
      <c r="L199" s="118"/>
      <c r="M199" s="118"/>
    </row>
    <row r="200" spans="1:13">
      <c r="A200" s="131"/>
      <c r="B200" s="143"/>
      <c r="C200" s="143"/>
      <c r="D200" s="143"/>
      <c r="E200" s="143"/>
    </row>
    <row r="201" spans="1:13" ht="12.95" customHeight="1">
      <c r="A201" s="278" t="s">
        <v>61</v>
      </c>
      <c r="B201" s="278"/>
      <c r="C201" s="278"/>
      <c r="D201" s="278"/>
      <c r="E201" s="278"/>
      <c r="F201" s="118"/>
      <c r="G201" s="118"/>
      <c r="H201" s="118"/>
      <c r="I201" s="118"/>
    </row>
    <row r="202" spans="1:13" ht="38.25">
      <c r="A202" s="295" t="s">
        <v>1</v>
      </c>
      <c r="B202" s="296" t="str">
        <f>D189</f>
        <v>General Service 50 to 4,999 kW</v>
      </c>
      <c r="C202" s="296" t="str">
        <f>E189</f>
        <v>Sentinel Lights</v>
      </c>
      <c r="D202" s="296" t="str">
        <f>F189</f>
        <v>Street Lights</v>
      </c>
      <c r="E202" s="296" t="str">
        <f>H189</f>
        <v>Embedded Distributor</v>
      </c>
      <c r="F202" s="118"/>
      <c r="G202" s="118"/>
      <c r="H202" s="118"/>
    </row>
    <row r="203" spans="1:13">
      <c r="A203" s="327" t="s">
        <v>62</v>
      </c>
      <c r="B203" s="270"/>
      <c r="C203" s="270"/>
      <c r="D203" s="270"/>
      <c r="E203" s="328"/>
      <c r="F203" s="118"/>
      <c r="G203" s="118"/>
      <c r="H203" s="118"/>
    </row>
    <row r="204" spans="1:13">
      <c r="A204" s="300">
        <f>A146</f>
        <v>2013</v>
      </c>
      <c r="B204" s="356">
        <f>'Rate Class Load Model'!B16</f>
        <v>2.7771245426940444E-3</v>
      </c>
      <c r="C204" s="356">
        <f>'Rate Class Load Model'!D16</f>
        <v>2.719833687190375E-3</v>
      </c>
      <c r="D204" s="356">
        <f>'Rate Class Load Model'!C16</f>
        <v>3.0292113698024278E-3</v>
      </c>
      <c r="E204" s="356">
        <f>'Rate Class Load Model'!E16</f>
        <v>2.5486392794024045E-3</v>
      </c>
      <c r="F204" s="118"/>
      <c r="G204" s="118"/>
      <c r="H204" s="118"/>
    </row>
    <row r="205" spans="1:13">
      <c r="A205" s="300">
        <f t="shared" ref="A205:A213" si="71">A147</f>
        <v>2014</v>
      </c>
      <c r="B205" s="356">
        <f>'Rate Class Load Model'!B17</f>
        <v>2.666610709632109E-3</v>
      </c>
      <c r="C205" s="356">
        <f>'Rate Class Load Model'!D17</f>
        <v>2.7198867024448422E-3</v>
      </c>
      <c r="D205" s="356">
        <f>'Rate Class Load Model'!C17</f>
        <v>3.0310580026995841E-3</v>
      </c>
      <c r="E205" s="356">
        <f>'Rate Class Load Model'!E17</f>
        <v>2.4231442842536292E-3</v>
      </c>
      <c r="F205" s="118"/>
      <c r="G205" s="118"/>
      <c r="H205" s="118"/>
    </row>
    <row r="206" spans="1:13">
      <c r="A206" s="300">
        <f t="shared" si="71"/>
        <v>2015</v>
      </c>
      <c r="B206" s="356">
        <f>'Rate Class Load Model'!B18</f>
        <v>2.6035115897968565E-3</v>
      </c>
      <c r="C206" s="356">
        <f>'Rate Class Load Model'!D18</f>
        <v>2.6462133591940852E-3</v>
      </c>
      <c r="D206" s="356">
        <f>'Rate Class Load Model'!C18</f>
        <v>2.8395853053017335E-3</v>
      </c>
      <c r="E206" s="356">
        <f>'Rate Class Load Model'!E18</f>
        <v>2.5249530952213325E-3</v>
      </c>
      <c r="F206" s="118"/>
      <c r="G206" s="118"/>
      <c r="H206" s="118"/>
    </row>
    <row r="207" spans="1:13">
      <c r="A207" s="300">
        <f t="shared" si="71"/>
        <v>2016</v>
      </c>
      <c r="B207" s="356">
        <f>'Rate Class Load Model'!B19</f>
        <v>2.5915429115640869E-3</v>
      </c>
      <c r="C207" s="356">
        <f>'Rate Class Load Model'!D19</f>
        <v>2.8569539810717119E-3</v>
      </c>
      <c r="D207" s="356">
        <f>'Rate Class Load Model'!C19</f>
        <v>3.0237209245814857E-3</v>
      </c>
      <c r="E207" s="356">
        <f>'Rate Class Load Model'!E19</f>
        <v>2.5287449402958072E-3</v>
      </c>
      <c r="F207" s="118"/>
      <c r="G207" s="118"/>
      <c r="H207" s="118"/>
    </row>
    <row r="208" spans="1:13">
      <c r="A208" s="300">
        <f t="shared" si="71"/>
        <v>2017</v>
      </c>
      <c r="B208" s="356">
        <f>'Rate Class Load Model'!B20</f>
        <v>2.5852129890803753E-3</v>
      </c>
      <c r="C208" s="356">
        <f>'Rate Class Load Model'!D20</f>
        <v>2.7778756761972214E-3</v>
      </c>
      <c r="D208" s="356">
        <f>'Rate Class Load Model'!C20</f>
        <v>3.054280229179876E-3</v>
      </c>
      <c r="E208" s="356">
        <f>'Rate Class Load Model'!E20</f>
        <v>2.4812237661599799E-3</v>
      </c>
      <c r="F208" s="118"/>
      <c r="G208" s="118"/>
      <c r="H208" s="118"/>
    </row>
    <row r="209" spans="1:25">
      <c r="A209" s="300">
        <f t="shared" si="71"/>
        <v>2018</v>
      </c>
      <c r="B209" s="356">
        <f>'Rate Class Load Model'!B21</f>
        <v>2.5751652306877015E-3</v>
      </c>
      <c r="C209" s="356">
        <f>'Rate Class Load Model'!D21</f>
        <v>2.7776529273691119E-3</v>
      </c>
      <c r="D209" s="356">
        <f>'Rate Class Load Model'!C21</f>
        <v>3.035969472903079E-3</v>
      </c>
      <c r="E209" s="356">
        <f>'Rate Class Load Model'!E21</f>
        <v>2.5765264151834484E-3</v>
      </c>
      <c r="F209" s="118"/>
      <c r="G209" s="118"/>
      <c r="H209" s="118"/>
    </row>
    <row r="210" spans="1:25">
      <c r="A210" s="300">
        <f t="shared" si="71"/>
        <v>2019</v>
      </c>
      <c r="B210" s="356">
        <f>'Rate Class Load Model'!B22</f>
        <v>2.5068816801382464E-3</v>
      </c>
      <c r="C210" s="356">
        <f>'Rate Class Load Model'!D22</f>
        <v>2.7778179173349907E-3</v>
      </c>
      <c r="D210" s="356">
        <f>'Rate Class Load Model'!C22</f>
        <v>3.0331831135238761E-3</v>
      </c>
      <c r="E210" s="356">
        <f>'Rate Class Load Model'!E22</f>
        <v>2.3676147743842547E-3</v>
      </c>
      <c r="F210" s="118"/>
      <c r="G210" s="118"/>
      <c r="H210" s="118"/>
    </row>
    <row r="211" spans="1:25">
      <c r="A211" s="300">
        <f t="shared" si="71"/>
        <v>2020</v>
      </c>
      <c r="B211" s="356">
        <f>'Rate Class Load Model'!B23</f>
        <v>2.5397452479603774E-3</v>
      </c>
      <c r="C211" s="356">
        <f>'Rate Class Load Model'!D23</f>
        <v>2.7777728257814406E-3</v>
      </c>
      <c r="D211" s="356">
        <f>'Rate Class Load Model'!C23</f>
        <v>3.0229017245077829E-3</v>
      </c>
      <c r="E211" s="356">
        <f>'Rate Class Load Model'!E23</f>
        <v>2.4982243946280558E-3</v>
      </c>
      <c r="F211" s="118"/>
      <c r="G211" s="118"/>
      <c r="H211" s="118"/>
    </row>
    <row r="212" spans="1:25">
      <c r="A212" s="300">
        <f t="shared" si="71"/>
        <v>2021</v>
      </c>
      <c r="B212" s="356">
        <f>'Rate Class Load Model'!B24</f>
        <v>2.6694829473131862E-3</v>
      </c>
      <c r="C212" s="356">
        <f>'Rate Class Load Model'!D24</f>
        <v>2.7777643376871164E-3</v>
      </c>
      <c r="D212" s="356">
        <f>'Rate Class Load Model'!C24</f>
        <v>3.0352752042228405E-3</v>
      </c>
      <c r="E212" s="356">
        <f>'Rate Class Load Model'!E24</f>
        <v>2.592040681590677E-3</v>
      </c>
      <c r="F212" s="118"/>
      <c r="G212" s="118"/>
      <c r="H212" s="118"/>
    </row>
    <row r="213" spans="1:25">
      <c r="A213" s="300">
        <f t="shared" si="71"/>
        <v>2022</v>
      </c>
      <c r="B213" s="356">
        <f>'Rate Class Load Model'!B25</f>
        <v>2.6992174844308481E-3</v>
      </c>
      <c r="C213" s="356">
        <f>'Rate Class Load Model'!D25</f>
        <v>2.777822182490253E-3</v>
      </c>
      <c r="D213" s="356">
        <f>'Rate Class Load Model'!C25</f>
        <v>3.0450185368460195E-3</v>
      </c>
      <c r="E213" s="356">
        <f>'Rate Class Load Model'!E25</f>
        <v>2.6293599678234745E-3</v>
      </c>
      <c r="F213" s="118"/>
      <c r="G213" s="118"/>
      <c r="H213" s="118"/>
    </row>
    <row r="214" spans="1:25">
      <c r="A214" s="357"/>
      <c r="B214" s="182"/>
      <c r="C214" s="182"/>
      <c r="D214" s="182"/>
      <c r="E214" s="358"/>
      <c r="F214" s="118"/>
      <c r="G214" s="118"/>
      <c r="H214" s="118"/>
    </row>
    <row r="215" spans="1:25">
      <c r="A215" s="359" t="s">
        <v>63</v>
      </c>
      <c r="B215" s="360">
        <f>'Rate Class Load Model'!B30</f>
        <v>2.6274880860559019E-3</v>
      </c>
      <c r="C215" s="360">
        <f>'Rate Class Load Model'!D30</f>
        <v>2.7665642966276101E-3</v>
      </c>
      <c r="D215" s="360">
        <f>'Rate Class Load Model'!C30</f>
        <v>2.9863849850046346E-3</v>
      </c>
      <c r="E215" s="360">
        <f>'Rate Class Load Model'!E30</f>
        <v>2.5239275472585259E-3</v>
      </c>
      <c r="F215" s="118"/>
      <c r="G215" s="118"/>
      <c r="H215" s="118"/>
    </row>
    <row r="217" spans="1:25">
      <c r="A217" s="272" t="s">
        <v>64</v>
      </c>
      <c r="B217" s="272"/>
      <c r="C217" s="272"/>
      <c r="D217" s="272"/>
      <c r="E217" s="272"/>
      <c r="F217" s="272"/>
      <c r="G217" s="118"/>
      <c r="H217" s="118"/>
      <c r="I217" s="118"/>
      <c r="J217" s="118"/>
    </row>
    <row r="218" spans="1:25" ht="38.25">
      <c r="A218" s="295" t="s">
        <v>1</v>
      </c>
      <c r="B218" s="296" t="str">
        <f>B202</f>
        <v>General Service 50 to 4,999 kW</v>
      </c>
      <c r="C218" s="296" t="str">
        <f>C202</f>
        <v>Sentinel Lights</v>
      </c>
      <c r="D218" s="296" t="str">
        <f>D202</f>
        <v>Street Lights</v>
      </c>
      <c r="E218" s="296" t="str">
        <f>E202</f>
        <v>Embedded Distributor</v>
      </c>
      <c r="F218" s="296" t="s">
        <v>19</v>
      </c>
      <c r="G218" s="118"/>
      <c r="H218" s="118"/>
      <c r="I218" s="118"/>
      <c r="J218" s="118"/>
    </row>
    <row r="219" spans="1:25">
      <c r="A219" s="327" t="s">
        <v>65</v>
      </c>
      <c r="B219" s="270"/>
      <c r="C219" s="270"/>
      <c r="D219" s="270"/>
      <c r="E219" s="270"/>
      <c r="F219" s="328"/>
      <c r="G219" s="118"/>
      <c r="H219" s="118"/>
      <c r="I219" s="118"/>
      <c r="J219" s="118"/>
    </row>
    <row r="220" spans="1:25">
      <c r="A220" s="300" t="str">
        <f>A197</f>
        <v>2023 Bridge</v>
      </c>
      <c r="B220" s="316">
        <f>'Rate Class Load Model'!B12</f>
        <v>150464.78230440686</v>
      </c>
      <c r="C220" s="316">
        <f>'Rate Class Load Model'!D12</f>
        <v>270.15196180093244</v>
      </c>
      <c r="D220" s="316">
        <f>'Rate Class Load Model'!C12</f>
        <v>2569.8883400869522</v>
      </c>
      <c r="E220" s="316">
        <f>'Rate Class Load Model'!E12</f>
        <v>2361.3585976193021</v>
      </c>
      <c r="F220" s="316">
        <f>SUM(B220:E220)</f>
        <v>155666.18120391405</v>
      </c>
      <c r="G220" s="118"/>
      <c r="H220" s="118"/>
      <c r="I220" s="118"/>
      <c r="J220" s="118"/>
    </row>
    <row r="221" spans="1:25">
      <c r="A221" s="300" t="str">
        <f>A198</f>
        <v>2024 Test</v>
      </c>
      <c r="B221" s="316">
        <f>'Rate Class Load Model'!B13</f>
        <v>154922.83417065753</v>
      </c>
      <c r="C221" s="316">
        <f>'Rate Class Load Model'!D13</f>
        <v>267.22612586800165</v>
      </c>
      <c r="D221" s="316">
        <f>'Rate Class Load Model'!C13</f>
        <v>2673.8182477554205</v>
      </c>
      <c r="E221" s="316">
        <f>'Rate Class Load Model'!E13</f>
        <v>2361.3585976193021</v>
      </c>
      <c r="F221" s="316">
        <f>SUM(B221:E221)</f>
        <v>160225.23714190026</v>
      </c>
      <c r="G221" s="118"/>
      <c r="H221" s="118"/>
      <c r="I221" s="118"/>
      <c r="J221" s="118"/>
    </row>
    <row r="222" spans="1:25">
      <c r="A222" s="112"/>
      <c r="B222" s="149"/>
      <c r="C222" s="149"/>
      <c r="D222" s="149"/>
      <c r="E222" s="149"/>
      <c r="F222" s="149"/>
    </row>
    <row r="224" spans="1:25">
      <c r="A224" s="124" t="s">
        <v>66</v>
      </c>
      <c r="Q224" s="124"/>
      <c r="R224" s="124"/>
      <c r="S224" s="124"/>
      <c r="T224" s="124"/>
      <c r="U224" s="124"/>
      <c r="V224" s="124"/>
      <c r="W224" s="124"/>
      <c r="X224" s="124"/>
      <c r="Y224" s="124"/>
    </row>
    <row r="225" spans="1:20" ht="38.25">
      <c r="A225" s="296"/>
      <c r="B225" s="296" t="s">
        <v>67</v>
      </c>
      <c r="C225" s="296" t="s">
        <v>68</v>
      </c>
      <c r="D225" s="296" t="s">
        <v>69</v>
      </c>
      <c r="E225" s="296" t="s">
        <v>70</v>
      </c>
      <c r="F225" s="296" t="s">
        <v>71</v>
      </c>
      <c r="G225" s="296" t="s">
        <v>72</v>
      </c>
      <c r="H225" s="296" t="s">
        <v>73</v>
      </c>
      <c r="I225" s="296" t="s">
        <v>74</v>
      </c>
      <c r="J225" s="296" t="s">
        <v>75</v>
      </c>
      <c r="K225" s="118"/>
    </row>
    <row r="226" spans="1:20">
      <c r="A226" s="327" t="s">
        <v>76</v>
      </c>
      <c r="B226" s="270"/>
      <c r="C226" s="270"/>
      <c r="D226" s="270"/>
      <c r="E226" s="270"/>
      <c r="F226" s="270"/>
      <c r="G226" s="270"/>
      <c r="H226" s="270"/>
      <c r="I226" s="270"/>
      <c r="J226" s="328"/>
      <c r="K226" s="118"/>
    </row>
    <row r="227" spans="1:20">
      <c r="A227" s="300" t="s">
        <v>77</v>
      </c>
      <c r="B227" s="318"/>
      <c r="C227" s="318">
        <f>'Load Forecast Summary'!F4</f>
        <v>256769434.55879995</v>
      </c>
      <c r="D227" s="318">
        <f>'Load Forecast Summary'!G4</f>
        <v>278813235.74599999</v>
      </c>
      <c r="E227" s="318">
        <f>'Load Forecast Summary'!H4</f>
        <v>280581536.88999999</v>
      </c>
      <c r="F227" s="318">
        <f>'Load Forecast Summary'!I4</f>
        <v>291404251.64599001</v>
      </c>
      <c r="G227" s="318">
        <f>'Load Forecast Summary'!J4</f>
        <v>295240254.13</v>
      </c>
      <c r="H227" s="318">
        <f>'Load Forecast Summary'!K4</f>
        <v>299934504.296</v>
      </c>
      <c r="I227" s="318"/>
      <c r="J227" s="318"/>
      <c r="K227" s="252"/>
    </row>
    <row r="228" spans="1:20" ht="12.75" customHeight="1">
      <c r="A228" s="317" t="s">
        <v>78</v>
      </c>
      <c r="B228" s="318">
        <v>260606828</v>
      </c>
      <c r="C228" s="318">
        <f>'Load Forecast Summary'!F5</f>
        <v>259229801.31076357</v>
      </c>
      <c r="D228" s="318">
        <f>'Load Forecast Summary'!G5</f>
        <v>278937077.48432195</v>
      </c>
      <c r="E228" s="318">
        <f>'Load Forecast Summary'!H5</f>
        <v>280607002.24884319</v>
      </c>
      <c r="F228" s="318">
        <f>'Load Forecast Summary'!I5</f>
        <v>292154381.51722866</v>
      </c>
      <c r="G228" s="318">
        <f>'Load Forecast Summary'!J5</f>
        <v>295535748.70630878</v>
      </c>
      <c r="H228" s="318">
        <f>'Load Forecast Summary'!K5</f>
        <v>298475881.46384263</v>
      </c>
      <c r="I228" s="318">
        <f>'Load Forecast Summary'!L5</f>
        <v>302633378.02298784</v>
      </c>
      <c r="J228" s="318">
        <f>'Load Forecast Summary'!M5</f>
        <v>314947391.46328634</v>
      </c>
      <c r="K228"/>
    </row>
    <row r="229" spans="1:20" ht="25.5">
      <c r="A229" s="317" t="s">
        <v>79</v>
      </c>
      <c r="B229" s="361"/>
      <c r="C229" s="361">
        <f t="shared" ref="C229:H229" si="72">(C228-C227)/C227</f>
        <v>9.5820079060079631E-3</v>
      </c>
      <c r="D229" s="361">
        <f t="shared" si="72"/>
        <v>4.4417453135108805E-4</v>
      </c>
      <c r="E229" s="361">
        <f t="shared" si="72"/>
        <v>9.0759210764430569E-5</v>
      </c>
      <c r="F229" s="361">
        <f t="shared" si="72"/>
        <v>2.5741898651154131E-3</v>
      </c>
      <c r="G229" s="361">
        <f t="shared" si="72"/>
        <v>1.0008614075324392E-3</v>
      </c>
      <c r="H229" s="361">
        <f t="shared" si="72"/>
        <v>-4.8631378226423883E-3</v>
      </c>
      <c r="I229" s="361"/>
      <c r="J229" s="361"/>
      <c r="K229"/>
      <c r="L229" s="115"/>
      <c r="M229" s="115"/>
      <c r="N229" s="115"/>
      <c r="O229" s="115"/>
      <c r="P229" s="115"/>
      <c r="Q229" s="115"/>
      <c r="R229" s="115"/>
      <c r="S229" s="115"/>
      <c r="T229" s="115"/>
    </row>
    <row r="230" spans="1:20">
      <c r="A230" s="362"/>
      <c r="B230" s="362"/>
      <c r="C230" s="362"/>
      <c r="D230" s="362"/>
      <c r="E230" s="362"/>
      <c r="F230" s="362"/>
      <c r="G230" s="362"/>
      <c r="H230" s="362"/>
      <c r="I230" s="362"/>
      <c r="J230" s="362"/>
      <c r="K230"/>
    </row>
    <row r="231" spans="1:20" ht="12.95" customHeight="1">
      <c r="A231" s="309" t="s">
        <v>80</v>
      </c>
      <c r="B231" s="302"/>
      <c r="C231" s="363"/>
      <c r="D231" s="329"/>
      <c r="E231" s="329"/>
      <c r="F231" s="364"/>
      <c r="G231" s="364"/>
      <c r="H231" s="364"/>
      <c r="I231" s="365">
        <f>'Rate Class Energy Model'!F16</f>
        <v>1.0615541293836679</v>
      </c>
      <c r="J231" s="330">
        <f>I231</f>
        <v>1.0615541293836679</v>
      </c>
      <c r="K231"/>
    </row>
    <row r="232" spans="1:20" ht="12.95" customHeight="1">
      <c r="A232" s="309" t="s">
        <v>81</v>
      </c>
      <c r="B232" s="318">
        <v>242564957</v>
      </c>
      <c r="C232" s="318">
        <f t="array" ref="C232:H232">TRANSPOSE('Rate Class Energy Model'!G7:G12)</f>
        <v>242272212.85000002</v>
      </c>
      <c r="D232" s="318">
        <v>263499383.88000003</v>
      </c>
      <c r="E232" s="318">
        <v>270098351.89999992</v>
      </c>
      <c r="F232" s="318">
        <v>275892822.46999997</v>
      </c>
      <c r="G232" s="318">
        <v>278373131.94000006</v>
      </c>
      <c r="H232" s="318">
        <v>283532335.65449119</v>
      </c>
      <c r="I232" s="318">
        <f>I228/I231</f>
        <v>285085206.34618509</v>
      </c>
      <c r="J232" s="318">
        <f>J228/J231</f>
        <v>296685192.72412699</v>
      </c>
      <c r="K232" s="32">
        <f>J232</f>
        <v>296685192.72412699</v>
      </c>
    </row>
    <row r="233" spans="1:20">
      <c r="A233" s="362"/>
      <c r="B233" s="362"/>
      <c r="C233" s="362"/>
      <c r="D233" s="362"/>
      <c r="E233" s="362"/>
      <c r="F233" s="362"/>
      <c r="G233" s="362"/>
      <c r="H233" s="362"/>
      <c r="I233" s="318"/>
      <c r="J233" s="318"/>
      <c r="K233" s="32">
        <f t="shared" ref="K233:K270" si="73">J233</f>
        <v>0</v>
      </c>
    </row>
    <row r="234" spans="1:20">
      <c r="A234" s="297" t="s">
        <v>82</v>
      </c>
      <c r="B234" s="297"/>
      <c r="C234" s="297"/>
      <c r="D234" s="297"/>
      <c r="E234" s="297"/>
      <c r="F234" s="297"/>
      <c r="G234" s="297"/>
      <c r="H234" s="297"/>
      <c r="I234" s="297"/>
      <c r="J234" s="297"/>
      <c r="K234" s="32">
        <f t="shared" si="73"/>
        <v>0</v>
      </c>
    </row>
    <row r="235" spans="1:20">
      <c r="A235" s="297" t="s">
        <v>12</v>
      </c>
      <c r="B235" s="297"/>
      <c r="C235" s="297"/>
      <c r="D235" s="297"/>
      <c r="E235" s="297"/>
      <c r="F235" s="297"/>
      <c r="G235" s="297"/>
      <c r="H235" s="297"/>
      <c r="I235" s="297"/>
      <c r="J235" s="297"/>
      <c r="K235" s="32">
        <f t="shared" si="73"/>
        <v>0</v>
      </c>
    </row>
    <row r="236" spans="1:20">
      <c r="A236" s="300" t="s">
        <v>83</v>
      </c>
      <c r="B236" s="303">
        <v>15554.75</v>
      </c>
      <c r="C236" s="303">
        <f>'Load Forecast Summary'!F14</f>
        <v>15631.666666666666</v>
      </c>
      <c r="D236" s="303">
        <f>'Load Forecast Summary'!G14</f>
        <v>16490.666666666668</v>
      </c>
      <c r="E236" s="303">
        <f>'Load Forecast Summary'!H14</f>
        <v>17294.333333333332</v>
      </c>
      <c r="F236" s="303">
        <f>'Load Forecast Summary'!I14</f>
        <v>17582.833333333332</v>
      </c>
      <c r="G236" s="303">
        <f>'Load Forecast Summary'!J14</f>
        <v>18253.333333333332</v>
      </c>
      <c r="H236" s="303">
        <f>'Load Forecast Summary'!K14</f>
        <v>18754.666666666668</v>
      </c>
      <c r="I236" s="303">
        <f>'Load Forecast Summary'!L14</f>
        <v>19908.463839301028</v>
      </c>
      <c r="J236" s="303">
        <f>'Load Forecast Summary'!M14</f>
        <v>20636.220268069355</v>
      </c>
      <c r="K236" s="32">
        <f t="shared" si="73"/>
        <v>20636.220268069355</v>
      </c>
    </row>
    <row r="237" spans="1:20">
      <c r="A237" s="300" t="s">
        <v>84</v>
      </c>
      <c r="B237" s="303">
        <v>145847423.60421789</v>
      </c>
      <c r="C237" s="303">
        <f>'Load Forecast Summary'!F15</f>
        <v>145250460.83000001</v>
      </c>
      <c r="D237" s="303">
        <f>'Load Forecast Summary'!G15</f>
        <v>160853753.41</v>
      </c>
      <c r="E237" s="303">
        <f>'Load Forecast Summary'!H15</f>
        <v>161284519.66999996</v>
      </c>
      <c r="F237" s="303">
        <f>'Load Forecast Summary'!I15</f>
        <v>174957599.51999998</v>
      </c>
      <c r="G237" s="303">
        <f>'Load Forecast Summary'!J15</f>
        <v>178499709.20000005</v>
      </c>
      <c r="H237" s="303">
        <f>'Load Forecast Summary'!K15</f>
        <v>181843662.79904294</v>
      </c>
      <c r="I237" s="303">
        <f>'Load Forecast Summary'!L15</f>
        <v>184240234.88300711</v>
      </c>
      <c r="J237" s="303">
        <f>'Load Forecast Summary'!M15</f>
        <v>192531906.87263227</v>
      </c>
      <c r="K237" s="32">
        <f t="shared" si="73"/>
        <v>192531906.87263227</v>
      </c>
    </row>
    <row r="238" spans="1:20">
      <c r="A238" s="362"/>
      <c r="B238" s="362"/>
      <c r="C238" s="362"/>
      <c r="D238" s="362"/>
      <c r="E238" s="362"/>
      <c r="F238" s="362"/>
      <c r="G238" s="362"/>
      <c r="H238" s="362"/>
      <c r="I238" s="362"/>
      <c r="J238" s="362"/>
      <c r="K238" s="32">
        <f t="shared" si="73"/>
        <v>0</v>
      </c>
    </row>
    <row r="239" spans="1:20">
      <c r="A239" s="297" t="s">
        <v>13</v>
      </c>
      <c r="B239" s="297"/>
      <c r="C239" s="297"/>
      <c r="D239" s="297"/>
      <c r="E239" s="297"/>
      <c r="F239" s="297"/>
      <c r="G239" s="297"/>
      <c r="H239" s="297"/>
      <c r="I239" s="297"/>
      <c r="J239" s="297"/>
      <c r="K239" s="32">
        <f t="shared" si="73"/>
        <v>0</v>
      </c>
    </row>
    <row r="240" spans="1:20">
      <c r="A240" s="300" t="s">
        <v>83</v>
      </c>
      <c r="B240" s="303">
        <v>1034.4166666666667</v>
      </c>
      <c r="C240" s="303">
        <f>'Load Forecast Summary'!F18</f>
        <v>1029.3333333333333</v>
      </c>
      <c r="D240" s="303">
        <f>'Load Forecast Summary'!G18</f>
        <v>1081</v>
      </c>
      <c r="E240" s="303">
        <f>'Load Forecast Summary'!H18</f>
        <v>1118.5833333333333</v>
      </c>
      <c r="F240" s="303">
        <f>'Load Forecast Summary'!I18</f>
        <v>1150.9166666666667</v>
      </c>
      <c r="G240" s="303">
        <f>'Load Forecast Summary'!J18</f>
        <v>1186.8333333333333</v>
      </c>
      <c r="H240" s="303">
        <f>'Load Forecast Summary'!K18</f>
        <v>1241.1666666666667</v>
      </c>
      <c r="I240" s="303">
        <f>'Load Forecast Summary'!L18</f>
        <v>1275.7732893284576</v>
      </c>
      <c r="J240" s="303">
        <f>'Load Forecast Summary'!M18</f>
        <v>1314.0818521795097</v>
      </c>
      <c r="K240" s="32">
        <f t="shared" si="73"/>
        <v>1314.0818521795097</v>
      </c>
    </row>
    <row r="241" spans="1:11">
      <c r="A241" s="300" t="s">
        <v>84</v>
      </c>
      <c r="B241" s="303">
        <v>31828340.45145759</v>
      </c>
      <c r="C241" s="303">
        <f>'Load Forecast Summary'!F19</f>
        <v>32706065.800000004</v>
      </c>
      <c r="D241" s="303">
        <f>'Load Forecast Summary'!G19</f>
        <v>35963905.180000007</v>
      </c>
      <c r="E241" s="303">
        <f>'Load Forecast Summary'!H19</f>
        <v>42044856.089999989</v>
      </c>
      <c r="F241" s="303">
        <f>'Load Forecast Summary'!I19</f>
        <v>39210724.930000007</v>
      </c>
      <c r="G241" s="303">
        <f>'Load Forecast Summary'!J19</f>
        <v>39405376.530000001</v>
      </c>
      <c r="H241" s="303">
        <f>'Load Forecast Summary'!K19</f>
        <v>42008337.715448268</v>
      </c>
      <c r="I241" s="303">
        <f>'Load Forecast Summary'!L19</f>
        <v>41213244.488030672</v>
      </c>
      <c r="J241" s="303">
        <f>'Load Forecast Summary'!M19</f>
        <v>42796824.645696916</v>
      </c>
      <c r="K241" s="32">
        <f t="shared" si="73"/>
        <v>42796824.645696916</v>
      </c>
    </row>
    <row r="242" spans="1:11">
      <c r="A242" s="362"/>
      <c r="B242" s="362"/>
      <c r="C242" s="362"/>
      <c r="D242" s="362"/>
      <c r="E242" s="362"/>
      <c r="F242" s="362"/>
      <c r="G242" s="362"/>
      <c r="H242" s="362"/>
      <c r="I242" s="362"/>
      <c r="J242" s="362"/>
      <c r="K242" s="32">
        <f t="shared" si="73"/>
        <v>0</v>
      </c>
    </row>
    <row r="243" spans="1:11">
      <c r="A243" s="327" t="str">
        <f>D189</f>
        <v>General Service 50 to 4,999 kW</v>
      </c>
      <c r="B243" s="270"/>
      <c r="C243" s="270"/>
      <c r="D243" s="270"/>
      <c r="E243" s="270"/>
      <c r="F243" s="270"/>
      <c r="G243" s="270"/>
      <c r="H243" s="270"/>
      <c r="I243" s="270"/>
      <c r="J243" s="328"/>
      <c r="K243" s="32">
        <f t="shared" si="73"/>
        <v>0</v>
      </c>
    </row>
    <row r="244" spans="1:11">
      <c r="A244" s="300" t="s">
        <v>83</v>
      </c>
      <c r="B244" s="303">
        <v>87.5</v>
      </c>
      <c r="C244" s="303">
        <f>'Load Forecast Summary'!F22</f>
        <v>86.666666666666671</v>
      </c>
      <c r="D244" s="303">
        <f>'Load Forecast Summary'!G22</f>
        <v>91</v>
      </c>
      <c r="E244" s="303">
        <f>'Load Forecast Summary'!H22</f>
        <v>86.583333333333329</v>
      </c>
      <c r="F244" s="303">
        <f>'Load Forecast Summary'!I22</f>
        <v>82.083333333333329</v>
      </c>
      <c r="G244" s="303">
        <f>'Load Forecast Summary'!J22</f>
        <v>81.166666666666671</v>
      </c>
      <c r="H244" s="303">
        <f>'Load Forecast Summary'!K22</f>
        <v>82.25</v>
      </c>
      <c r="I244" s="303">
        <f>'Load Forecast Summary'!L22</f>
        <v>85.120889744039346</v>
      </c>
      <c r="J244" s="303">
        <f>'Load Forecast Summary'!M22</f>
        <v>87.089175994942835</v>
      </c>
      <c r="K244" s="32">
        <f t="shared" si="73"/>
        <v>87.089175994942835</v>
      </c>
    </row>
    <row r="245" spans="1:11">
      <c r="A245" s="300" t="s">
        <v>84</v>
      </c>
      <c r="B245" s="303">
        <v>63763902.940143064</v>
      </c>
      <c r="C245" s="303">
        <f>'Load Forecast Summary'!F23</f>
        <v>62256688.589999996</v>
      </c>
      <c r="D245" s="303">
        <f>'Load Forecast Summary'!G23</f>
        <v>64506416.140000001</v>
      </c>
      <c r="E245" s="303">
        <f>'Load Forecast Summary'!H23</f>
        <v>64602977.18999999</v>
      </c>
      <c r="F245" s="303">
        <f>'Load Forecast Summary'!I23</f>
        <v>59552047.639999993</v>
      </c>
      <c r="G245" s="303">
        <f>'Load Forecast Summary'!J23</f>
        <v>58268283.810000002</v>
      </c>
      <c r="H245" s="303">
        <f>'Load Forecast Summary'!K23</f>
        <v>57393489.369999982</v>
      </c>
      <c r="I245" s="303">
        <f>'Load Forecast Summary'!L23</f>
        <v>57265638.273651764</v>
      </c>
      <c r="J245" s="303">
        <f>'Load Forecast Summary'!M23</f>
        <v>58962335.545053132</v>
      </c>
      <c r="K245" s="32">
        <f t="shared" si="73"/>
        <v>58962335.545053132</v>
      </c>
    </row>
    <row r="246" spans="1:11">
      <c r="A246" s="300" t="s">
        <v>85</v>
      </c>
      <c r="B246" s="303">
        <v>176743.94633415851</v>
      </c>
      <c r="C246" s="303">
        <f>'Load Forecast Summary'!F24</f>
        <v>160946.79999999999</v>
      </c>
      <c r="D246" s="303">
        <f>'Load Forecast Summary'!G24</f>
        <v>166114.67999999996</v>
      </c>
      <c r="E246" s="303">
        <f>'Load Forecast Summary'!H24</f>
        <v>161952.01999999999</v>
      </c>
      <c r="F246" s="303">
        <f>'Load Forecast Summary'!I24</f>
        <v>151247.03</v>
      </c>
      <c r="G246" s="303">
        <f>'Load Forecast Summary'!J24</f>
        <v>155546.19</v>
      </c>
      <c r="H246" s="303">
        <f>'Load Forecast Summary'!K24</f>
        <v>154917.50999999998</v>
      </c>
      <c r="I246" s="303">
        <f>'Load Forecast Summary'!L24</f>
        <v>150464.78230440686</v>
      </c>
      <c r="J246" s="303">
        <f>'Load Forecast Summary'!M24</f>
        <v>154922.83417065753</v>
      </c>
      <c r="K246" s="32">
        <f t="shared" si="73"/>
        <v>154922.83417065753</v>
      </c>
    </row>
    <row r="247" spans="1:11">
      <c r="A247" s="362"/>
      <c r="B247" s="362"/>
      <c r="C247" s="362"/>
      <c r="D247" s="362"/>
      <c r="E247" s="362"/>
      <c r="F247" s="362"/>
      <c r="G247" s="362"/>
      <c r="H247" s="362"/>
      <c r="I247" s="362"/>
      <c r="J247" s="362"/>
      <c r="K247" s="32">
        <f t="shared" si="73"/>
        <v>0</v>
      </c>
    </row>
    <row r="248" spans="1:11">
      <c r="A248" s="297" t="s">
        <v>15</v>
      </c>
      <c r="B248" s="297"/>
      <c r="C248" s="297"/>
      <c r="D248" s="297"/>
      <c r="E248" s="297"/>
      <c r="F248" s="297"/>
      <c r="G248" s="297"/>
      <c r="H248" s="297"/>
      <c r="I248" s="297"/>
      <c r="J248" s="297"/>
      <c r="K248" s="32">
        <f t="shared" si="73"/>
        <v>0</v>
      </c>
    </row>
    <row r="249" spans="1:11">
      <c r="A249" s="300" t="s">
        <v>86</v>
      </c>
      <c r="B249" s="303">
        <v>161</v>
      </c>
      <c r="C249" s="303">
        <f>'Load Forecast Summary'!F32</f>
        <v>161.83333333333334</v>
      </c>
      <c r="D249" s="303">
        <f>'Load Forecast Summary'!G32</f>
        <v>161.5</v>
      </c>
      <c r="E249" s="303">
        <f>'Load Forecast Summary'!H32</f>
        <v>159.91666666666666</v>
      </c>
      <c r="F249" s="303">
        <f>'Load Forecast Summary'!I32</f>
        <v>155.08333333333334</v>
      </c>
      <c r="G249" s="303">
        <f>'Load Forecast Summary'!J32</f>
        <v>152.75</v>
      </c>
      <c r="H249" s="303">
        <f>'Load Forecast Summary'!K32</f>
        <v>150.66666666666666</v>
      </c>
      <c r="I249" s="303">
        <f>'Load Forecast Summary'!L32</f>
        <v>150.7618654442806</v>
      </c>
      <c r="J249" s="303">
        <f>'Load Forecast Summary'!M32</f>
        <v>149.12906411168251</v>
      </c>
      <c r="K249" s="32">
        <f t="shared" si="73"/>
        <v>149.12906411168251</v>
      </c>
    </row>
    <row r="250" spans="1:11">
      <c r="A250" s="300" t="s">
        <v>84</v>
      </c>
      <c r="B250" s="303">
        <v>103051.65856497742</v>
      </c>
      <c r="C250" s="303">
        <f>'Load Forecast Summary'!F33</f>
        <v>103849.14000000003</v>
      </c>
      <c r="D250" s="303">
        <f>'Load Forecast Summary'!G33</f>
        <v>105459.54</v>
      </c>
      <c r="E250" s="303">
        <f>'Load Forecast Summary'!H33</f>
        <v>103804.5</v>
      </c>
      <c r="F250" s="303">
        <f>'Load Forecast Summary'!I33</f>
        <v>100969.37999999999</v>
      </c>
      <c r="G250" s="303">
        <f>'Load Forecast Summary'!J33</f>
        <v>99205.680000000008</v>
      </c>
      <c r="H250" s="303">
        <f>'Load Forecast Summary'!K33</f>
        <v>97587.239999999947</v>
      </c>
      <c r="I250" s="303">
        <f>'Load Forecast Summary'!L33</f>
        <v>97648.900526274636</v>
      </c>
      <c r="J250" s="303">
        <f>'Load Forecast Summary'!M33</f>
        <v>96591.330334792976</v>
      </c>
      <c r="K250" s="32">
        <f t="shared" si="73"/>
        <v>96591.330334792976</v>
      </c>
    </row>
    <row r="251" spans="1:11">
      <c r="A251" s="300" t="s">
        <v>85</v>
      </c>
      <c r="B251" s="303">
        <v>286.28122226821648</v>
      </c>
      <c r="C251" s="303">
        <f>'Load Forecast Summary'!F34</f>
        <v>288.48</v>
      </c>
      <c r="D251" s="303">
        <f>'Load Forecast Summary'!G34</f>
        <v>292.92999999999995</v>
      </c>
      <c r="E251" s="303">
        <f>'Load Forecast Summary'!H34</f>
        <v>288.35000000000002</v>
      </c>
      <c r="F251" s="303">
        <f>'Load Forecast Summary'!I34</f>
        <v>280.47000000000003</v>
      </c>
      <c r="G251" s="303">
        <f>'Load Forecast Summary'!J34</f>
        <v>275.57000000000005</v>
      </c>
      <c r="H251" s="303">
        <f>'Load Forecast Summary'!K34</f>
        <v>271.08</v>
      </c>
      <c r="I251" s="303">
        <f>'Load Forecast Summary'!L34</f>
        <v>270.15196180093244</v>
      </c>
      <c r="J251" s="303">
        <f>'Load Forecast Summary'!M34</f>
        <v>267.22612586800165</v>
      </c>
      <c r="K251" s="32">
        <f t="shared" si="73"/>
        <v>267.22612586800165</v>
      </c>
    </row>
    <row r="252" spans="1:11">
      <c r="A252" s="362"/>
      <c r="B252" s="362"/>
      <c r="C252" s="362"/>
      <c r="D252" s="362"/>
      <c r="E252" s="362"/>
      <c r="F252" s="362"/>
      <c r="G252" s="362"/>
      <c r="H252" s="362"/>
      <c r="I252" s="362"/>
      <c r="J252" s="362"/>
      <c r="K252" s="32">
        <f t="shared" si="73"/>
        <v>0</v>
      </c>
    </row>
    <row r="253" spans="1:11">
      <c r="A253" s="297" t="s">
        <v>16</v>
      </c>
      <c r="B253" s="297"/>
      <c r="C253" s="297"/>
      <c r="D253" s="297"/>
      <c r="E253" s="297"/>
      <c r="F253" s="297"/>
      <c r="G253" s="297"/>
      <c r="H253" s="297"/>
      <c r="I253" s="297"/>
      <c r="J253" s="297"/>
      <c r="K253" s="32">
        <f t="shared" si="73"/>
        <v>0</v>
      </c>
    </row>
    <row r="254" spans="1:11">
      <c r="A254" s="300" t="s">
        <v>86</v>
      </c>
      <c r="B254" s="303">
        <v>2994.8333333333335</v>
      </c>
      <c r="C254" s="303">
        <f>'Load Forecast Summary'!F27</f>
        <v>2973.25</v>
      </c>
      <c r="D254" s="303">
        <f>'Load Forecast Summary'!G27</f>
        <v>3097.25</v>
      </c>
      <c r="E254" s="303">
        <f>'Load Forecast Summary'!H27</f>
        <v>3306.75</v>
      </c>
      <c r="F254" s="303">
        <f>'Load Forecast Summary'!I27</f>
        <v>3414.4166666666665</v>
      </c>
      <c r="G254" s="303">
        <f>'Load Forecast Summary'!J27</f>
        <v>3596.5833333333335</v>
      </c>
      <c r="H254" s="303">
        <f>'Load Forecast Summary'!K27</f>
        <v>4014</v>
      </c>
      <c r="I254" s="303">
        <f>'Load Forecast Summary'!L27</f>
        <v>4286.7530595146491</v>
      </c>
      <c r="J254" s="303">
        <f>'Load Forecast Summary'!M27</f>
        <v>4460.1153969840689</v>
      </c>
      <c r="K254" s="32">
        <f t="shared" si="73"/>
        <v>4460.1153969840689</v>
      </c>
    </row>
    <row r="255" spans="1:11">
      <c r="A255" s="300" t="s">
        <v>84</v>
      </c>
      <c r="B255" s="303">
        <v>561223.48942778981</v>
      </c>
      <c r="C255" s="303">
        <f>'Load Forecast Summary'!F28</f>
        <v>574600.18999999983</v>
      </c>
      <c r="D255" s="303">
        <f>'Load Forecast Summary'!G28</f>
        <v>615045.71</v>
      </c>
      <c r="E255" s="303">
        <f>'Load Forecast Summary'!H28</f>
        <v>653653.25</v>
      </c>
      <c r="F255" s="303">
        <f>'Load Forecast Summary'!I28</f>
        <v>686201.6</v>
      </c>
      <c r="G255" s="303">
        <f>'Load Forecast Summary'!J28</f>
        <v>751137.82</v>
      </c>
      <c r="H255" s="303">
        <f>'Load Forecast Summary'!K28</f>
        <v>805781.62999999977</v>
      </c>
      <c r="I255" s="303">
        <f>'Load Forecast Summary'!L28</f>
        <v>860534.84496841056</v>
      </c>
      <c r="J255" s="303">
        <f>'Load Forecast Summary'!M28</f>
        <v>895336.08733680099</v>
      </c>
      <c r="K255" s="32">
        <f t="shared" si="73"/>
        <v>895336.08733680099</v>
      </c>
    </row>
    <row r="256" spans="1:11">
      <c r="A256" s="300" t="s">
        <v>85</v>
      </c>
      <c r="B256" s="303">
        <v>1598.6472960042561</v>
      </c>
      <c r="C256" s="303">
        <f>'Load Forecast Summary'!F29</f>
        <v>1754.9899999999998</v>
      </c>
      <c r="D256" s="303">
        <f>'Load Forecast Summary'!G29</f>
        <v>1867.2599999999998</v>
      </c>
      <c r="E256" s="303">
        <f>'Load Forecast Summary'!H29</f>
        <v>1982.6500000000005</v>
      </c>
      <c r="F256" s="303">
        <f>'Load Forecast Summary'!I29</f>
        <v>2074.3199999999997</v>
      </c>
      <c r="G256" s="303">
        <f>'Load Forecast Summary'!J29</f>
        <v>2279.9099999999989</v>
      </c>
      <c r="H256" s="303">
        <f>'Load Forecast Summary'!K29</f>
        <v>2453.62</v>
      </c>
      <c r="I256" s="303">
        <f>'Load Forecast Summary'!L29</f>
        <v>2569.8883400869522</v>
      </c>
      <c r="J256" s="303">
        <f>'Load Forecast Summary'!M29</f>
        <v>2673.8182477554205</v>
      </c>
      <c r="K256" s="32">
        <f t="shared" si="73"/>
        <v>2673.8182477554205</v>
      </c>
    </row>
    <row r="257" spans="1:11">
      <c r="A257" s="362"/>
      <c r="B257" s="362"/>
      <c r="C257" s="362"/>
      <c r="D257" s="362"/>
      <c r="E257" s="362"/>
      <c r="F257" s="362"/>
      <c r="G257" s="362"/>
      <c r="H257" s="362"/>
      <c r="I257" s="362"/>
      <c r="J257" s="362"/>
      <c r="K257" s="32">
        <f t="shared" si="73"/>
        <v>0</v>
      </c>
    </row>
    <row r="258" spans="1:11">
      <c r="A258" s="297" t="s">
        <v>17</v>
      </c>
      <c r="B258" s="297"/>
      <c r="C258" s="297"/>
      <c r="D258" s="297"/>
      <c r="E258" s="297"/>
      <c r="F258" s="297"/>
      <c r="G258" s="297"/>
      <c r="H258" s="297"/>
      <c r="I258" s="297"/>
      <c r="J258" s="297"/>
      <c r="K258" s="32">
        <f t="shared" si="73"/>
        <v>0</v>
      </c>
    </row>
    <row r="259" spans="1:11">
      <c r="A259" s="300" t="s">
        <v>86</v>
      </c>
      <c r="B259" s="303">
        <v>73.5</v>
      </c>
      <c r="C259" s="303">
        <f>'Load Forecast Summary'!F37</f>
        <v>73.5</v>
      </c>
      <c r="D259" s="303">
        <f>'Load Forecast Summary'!G37</f>
        <v>74</v>
      </c>
      <c r="E259" s="303">
        <f>'Load Forecast Summary'!H37</f>
        <v>74.5</v>
      </c>
      <c r="F259" s="303">
        <f>'Load Forecast Summary'!I37</f>
        <v>73.166666666666671</v>
      </c>
      <c r="G259" s="303">
        <f>'Load Forecast Summary'!J37</f>
        <v>71</v>
      </c>
      <c r="H259" s="303">
        <f>'Load Forecast Summary'!K37</f>
        <v>72.416666666666671</v>
      </c>
      <c r="I259" s="303">
        <f>'Load Forecast Summary'!L37</f>
        <v>76.366311195505986</v>
      </c>
      <c r="J259" s="303">
        <f>'Load Forecast Summary'!M37</f>
        <v>75.443622648698025</v>
      </c>
      <c r="K259" s="32">
        <f t="shared" si="73"/>
        <v>75.443622648698025</v>
      </c>
    </row>
    <row r="260" spans="1:11">
      <c r="A260" s="300" t="s">
        <v>84</v>
      </c>
      <c r="B260" s="303">
        <v>461015.01227876113</v>
      </c>
      <c r="C260" s="303">
        <f>'Load Forecast Summary'!F38</f>
        <v>460196</v>
      </c>
      <c r="D260" s="303">
        <f>'Load Forecast Summary'!G38</f>
        <v>482913.99999999994</v>
      </c>
      <c r="E260" s="303">
        <f>'Load Forecast Summary'!H38</f>
        <v>485587.00000000012</v>
      </c>
      <c r="F260" s="303">
        <f>'Load Forecast Summary'!I38</f>
        <v>439968</v>
      </c>
      <c r="G260" s="303">
        <f>'Load Forecast Summary'!J38</f>
        <v>439248</v>
      </c>
      <c r="H260" s="303">
        <f>'Load Forecast Summary'!K38</f>
        <v>447888</v>
      </c>
      <c r="I260" s="303">
        <f>'Load Forecast Summary'!L38</f>
        <v>472316.05600091303</v>
      </c>
      <c r="J260" s="303">
        <f>'Load Forecast Summary'!M38</f>
        <v>466609.34307314234</v>
      </c>
      <c r="K260" s="32">
        <f t="shared" si="73"/>
        <v>466609.34307314234</v>
      </c>
    </row>
    <row r="261" spans="1:11">
      <c r="A261" s="362"/>
      <c r="B261" s="362"/>
      <c r="C261" s="362"/>
      <c r="D261" s="362"/>
      <c r="E261" s="362"/>
      <c r="F261" s="362"/>
      <c r="G261" s="362"/>
      <c r="H261" s="362"/>
      <c r="I261" s="362"/>
      <c r="J261" s="362"/>
      <c r="K261" s="32">
        <f t="shared" si="73"/>
        <v>0</v>
      </c>
    </row>
    <row r="262" spans="1:11">
      <c r="A262" s="366" t="s">
        <v>18</v>
      </c>
      <c r="B262" s="276"/>
      <c r="C262" s="276"/>
      <c r="D262" s="276"/>
      <c r="E262" s="276"/>
      <c r="F262" s="276"/>
      <c r="G262" s="276"/>
      <c r="H262" s="276"/>
      <c r="I262" s="276"/>
      <c r="J262" s="367"/>
      <c r="K262" s="32">
        <f t="shared" si="73"/>
        <v>0</v>
      </c>
    </row>
    <row r="263" spans="1:11">
      <c r="A263" s="300" t="s">
        <v>86</v>
      </c>
      <c r="B263" s="303" t="s">
        <v>22</v>
      </c>
      <c r="C263" s="303">
        <f>'Load Forecast Summary'!F41</f>
        <v>1</v>
      </c>
      <c r="D263" s="303">
        <f>'Load Forecast Summary'!G41</f>
        <v>1</v>
      </c>
      <c r="E263" s="303">
        <f>'Load Forecast Summary'!H41</f>
        <v>1</v>
      </c>
      <c r="F263" s="303">
        <f>'Load Forecast Summary'!I41</f>
        <v>1</v>
      </c>
      <c r="G263" s="303">
        <f>'Load Forecast Summary'!J41</f>
        <v>1</v>
      </c>
      <c r="H263" s="303">
        <f>'Load Forecast Summary'!K41</f>
        <v>1</v>
      </c>
      <c r="I263" s="303">
        <f>'Load Forecast Summary'!L41</f>
        <v>1</v>
      </c>
      <c r="J263" s="303">
        <f>'Load Forecast Summary'!M41</f>
        <v>1</v>
      </c>
      <c r="K263" s="32">
        <f t="shared" si="73"/>
        <v>1</v>
      </c>
    </row>
    <row r="264" spans="1:11">
      <c r="A264" s="300" t="s">
        <v>84</v>
      </c>
      <c r="B264" s="303" t="s">
        <v>22</v>
      </c>
      <c r="C264" s="303">
        <f>'Load Forecast Summary'!F42</f>
        <v>920352.3</v>
      </c>
      <c r="D264" s="303">
        <f>'Load Forecast Summary'!G42</f>
        <v>971889.89999999991</v>
      </c>
      <c r="E264" s="303">
        <f>'Load Forecast Summary'!H42</f>
        <v>922954.19999999984</v>
      </c>
      <c r="F264" s="303">
        <f>'Load Forecast Summary'!I42</f>
        <v>945311.40000000014</v>
      </c>
      <c r="G264" s="303">
        <f>'Load Forecast Summary'!J42</f>
        <v>910170.9</v>
      </c>
      <c r="H264" s="303">
        <f>'Load Forecast Summary'!K42</f>
        <v>935588.9</v>
      </c>
      <c r="I264" s="303">
        <f>'Load Forecast Summary'!L42</f>
        <v>935588.9</v>
      </c>
      <c r="J264" s="303">
        <f>'Load Forecast Summary'!M42</f>
        <v>935588.9</v>
      </c>
      <c r="K264" s="32">
        <f t="shared" si="73"/>
        <v>935588.9</v>
      </c>
    </row>
    <row r="265" spans="1:11">
      <c r="A265" s="300" t="s">
        <v>85</v>
      </c>
      <c r="B265" s="303" t="s">
        <v>22</v>
      </c>
      <c r="C265" s="303">
        <f>'Load Forecast Summary'!F43</f>
        <v>2283.6</v>
      </c>
      <c r="D265" s="303">
        <f>'Load Forecast Summary'!G43</f>
        <v>2504.1</v>
      </c>
      <c r="E265" s="303">
        <f>'Load Forecast Summary'!H43</f>
        <v>2185.1999999999998</v>
      </c>
      <c r="F265" s="303">
        <f>'Load Forecast Summary'!I43</f>
        <v>2361.6000000000004</v>
      </c>
      <c r="G265" s="303">
        <f>'Load Forecast Summary'!J43</f>
        <v>2359.1999999999998</v>
      </c>
      <c r="H265" s="303">
        <f>'Load Forecast Summary'!K43</f>
        <v>2460</v>
      </c>
      <c r="I265" s="303">
        <f>'Load Forecast Summary'!L43</f>
        <v>2361.3585976193021</v>
      </c>
      <c r="J265" s="303">
        <f>'Load Forecast Summary'!M43</f>
        <v>2361.3585976193021</v>
      </c>
      <c r="K265" s="32">
        <f t="shared" si="73"/>
        <v>2361.3585976193021</v>
      </c>
    </row>
    <row r="266" spans="1:11">
      <c r="A266" s="183"/>
      <c r="B266" s="362"/>
      <c r="C266" s="362"/>
      <c r="D266" s="362"/>
      <c r="E266" s="362"/>
      <c r="F266" s="362"/>
      <c r="G266" s="362"/>
      <c r="H266" s="362"/>
      <c r="I266" s="362"/>
      <c r="J266" s="362"/>
      <c r="K266" s="32">
        <f t="shared" si="73"/>
        <v>0</v>
      </c>
    </row>
    <row r="267" spans="1:11">
      <c r="A267" s="297" t="s">
        <v>19</v>
      </c>
      <c r="B267" s="297"/>
      <c r="C267" s="297"/>
      <c r="D267" s="297"/>
      <c r="E267" s="297"/>
      <c r="F267" s="297"/>
      <c r="G267" s="297"/>
      <c r="H267" s="297"/>
      <c r="I267" s="297"/>
      <c r="J267" s="297"/>
      <c r="K267" s="32">
        <f t="shared" si="73"/>
        <v>0</v>
      </c>
    </row>
    <row r="268" spans="1:11">
      <c r="A268" s="368" t="s">
        <v>87</v>
      </c>
      <c r="B268" s="303">
        <f>B259+B254+B249+B244+B240+B236</f>
        <v>19906</v>
      </c>
      <c r="C268" s="303">
        <f>C259+C254+C249+C244+C240+C236+C263</f>
        <v>19957.25</v>
      </c>
      <c r="D268" s="303">
        <f t="shared" ref="D268:J268" si="74">D259+D254+D249+D244+D240+D236+D263</f>
        <v>20996.416666666668</v>
      </c>
      <c r="E268" s="303">
        <f t="shared" si="74"/>
        <v>22041.666666666664</v>
      </c>
      <c r="F268" s="303">
        <f t="shared" si="74"/>
        <v>22459.5</v>
      </c>
      <c r="G268" s="303">
        <f t="shared" si="74"/>
        <v>23342.666666666664</v>
      </c>
      <c r="H268" s="303">
        <f t="shared" si="74"/>
        <v>24316.166666666668</v>
      </c>
      <c r="I268" s="303">
        <f t="shared" si="74"/>
        <v>25784.239254527958</v>
      </c>
      <c r="J268" s="303">
        <f t="shared" si="74"/>
        <v>26723.079379988259</v>
      </c>
      <c r="K268" s="32">
        <f t="shared" si="73"/>
        <v>26723.079379988259</v>
      </c>
    </row>
    <row r="269" spans="1:11">
      <c r="A269" s="368" t="s">
        <v>84</v>
      </c>
      <c r="B269" s="303">
        <f>B260+B255+B250+B245++B241+B237</f>
        <v>242564957.15609008</v>
      </c>
      <c r="C269" s="303">
        <f>C260+C255+C250+C245+C241+C237+C264</f>
        <v>242272212.85000002</v>
      </c>
      <c r="D269" s="303">
        <f t="shared" ref="D269:J269" si="75">D260+D255+D250+D245+D241+D237+D264</f>
        <v>263499383.88000003</v>
      </c>
      <c r="E269" s="303">
        <f t="shared" si="75"/>
        <v>270098351.89999992</v>
      </c>
      <c r="F269" s="303">
        <f t="shared" si="75"/>
        <v>275892822.46999997</v>
      </c>
      <c r="G269" s="303">
        <f t="shared" si="75"/>
        <v>278373131.94000006</v>
      </c>
      <c r="H269" s="303">
        <f t="shared" si="75"/>
        <v>283532335.65449119</v>
      </c>
      <c r="I269" s="303">
        <f t="shared" si="75"/>
        <v>285085206.34618509</v>
      </c>
      <c r="J269" s="303">
        <f t="shared" si="75"/>
        <v>296685192.72412705</v>
      </c>
      <c r="K269" s="32">
        <f t="shared" si="73"/>
        <v>296685192.72412705</v>
      </c>
    </row>
    <row r="270" spans="1:11">
      <c r="A270" s="300" t="s">
        <v>85</v>
      </c>
      <c r="B270" s="303">
        <f>B261+B256+B251+B246++B242+B238</f>
        <v>178628.87485243098</v>
      </c>
      <c r="C270" s="303">
        <f>C261+C256+C251+C246+C242+C238+C265</f>
        <v>165273.87</v>
      </c>
      <c r="D270" s="303">
        <f t="shared" ref="D270:J270" si="76">D261+D256+D251+D246+D242+D238+D265</f>
        <v>170778.96999999997</v>
      </c>
      <c r="E270" s="303">
        <f t="shared" si="76"/>
        <v>166408.22</v>
      </c>
      <c r="F270" s="303">
        <f t="shared" si="76"/>
        <v>155963.42000000001</v>
      </c>
      <c r="G270" s="303">
        <f t="shared" si="76"/>
        <v>160460.87000000002</v>
      </c>
      <c r="H270" s="303">
        <f t="shared" si="76"/>
        <v>160102.21</v>
      </c>
      <c r="I270" s="303">
        <f t="shared" si="76"/>
        <v>155666.18120391405</v>
      </c>
      <c r="J270" s="303">
        <f t="shared" si="76"/>
        <v>160225.23714190026</v>
      </c>
      <c r="K270" s="32">
        <f t="shared" si="73"/>
        <v>160225.23714190026</v>
      </c>
    </row>
    <row r="271" spans="1:11" s="115" customFormat="1"/>
    <row r="272" spans="1:11" s="115" customFormat="1"/>
    <row r="273" spans="1:12" s="115" customFormat="1">
      <c r="A273" s="190" t="s">
        <v>88</v>
      </c>
      <c r="B273" s="162"/>
      <c r="C273" s="162"/>
      <c r="D273" s="162"/>
      <c r="E273" s="162"/>
    </row>
    <row r="274" spans="1:12" s="115" customFormat="1" ht="34.5" customHeight="1">
      <c r="A274" s="369" t="s">
        <v>89</v>
      </c>
      <c r="B274" s="369" t="s">
        <v>8</v>
      </c>
      <c r="C274" s="369" t="s">
        <v>90</v>
      </c>
      <c r="D274" s="369" t="s">
        <v>91</v>
      </c>
      <c r="E274" s="369" t="s">
        <v>92</v>
      </c>
    </row>
    <row r="275" spans="1:12" s="115" customFormat="1">
      <c r="A275" s="370" t="str">
        <f t="array" ref="A275:A280">TRANSPOSE(B182:G182)</f>
        <v xml:space="preserve">Residential </v>
      </c>
      <c r="B275" s="371">
        <v>8064052</v>
      </c>
      <c r="C275" s="371">
        <v>7367769.7999999998</v>
      </c>
      <c r="D275" s="372">
        <f>C275-B275</f>
        <v>-696282.20000000019</v>
      </c>
      <c r="E275" s="373">
        <f>D275/B275</f>
        <v>-8.6343962067704949E-2</v>
      </c>
    </row>
    <row r="276" spans="1:12" s="115" customFormat="1" ht="14.25" customHeight="1">
      <c r="A276" s="370" t="str">
        <v>General Service &lt; 50 kW</v>
      </c>
      <c r="B276" s="371">
        <v>835151</v>
      </c>
      <c r="C276" s="371">
        <v>762772.19</v>
      </c>
      <c r="D276" s="372">
        <f t="shared" ref="D276:D280" si="77">C276-B276</f>
        <v>-72378.810000000056</v>
      </c>
      <c r="E276" s="373">
        <f t="shared" ref="E276:E280" si="78">D276/B276</f>
        <v>-8.666553713041121E-2</v>
      </c>
    </row>
    <row r="277" spans="1:12" s="115" customFormat="1">
      <c r="A277" s="370" t="str">
        <v>General Service 50 to 4,999 kW</v>
      </c>
      <c r="B277" s="371">
        <v>958338</v>
      </c>
      <c r="C277" s="371">
        <v>737457.65</v>
      </c>
      <c r="D277" s="372">
        <f t="shared" si="77"/>
        <v>-220880.34999999998</v>
      </c>
      <c r="E277" s="373">
        <f t="shared" si="78"/>
        <v>-0.23048272112761883</v>
      </c>
    </row>
    <row r="278" spans="1:12" s="115" customFormat="1">
      <c r="A278" s="370" t="str">
        <v>Sentinel Lights</v>
      </c>
      <c r="B278" s="371">
        <v>43848</v>
      </c>
      <c r="C278" s="371">
        <v>39579.11</v>
      </c>
      <c r="D278" s="372">
        <f t="shared" si="77"/>
        <v>-4268.8899999999994</v>
      </c>
      <c r="E278" s="373">
        <f t="shared" si="78"/>
        <v>-9.7356549899653338E-2</v>
      </c>
    </row>
    <row r="279" spans="1:12" s="115" customFormat="1">
      <c r="A279" s="370" t="str">
        <v>Street Lights</v>
      </c>
      <c r="B279" s="371">
        <v>194479</v>
      </c>
      <c r="C279" s="371">
        <v>302890.02</v>
      </c>
      <c r="D279" s="372">
        <f t="shared" si="77"/>
        <v>108411.02000000002</v>
      </c>
      <c r="E279" s="373">
        <f t="shared" si="78"/>
        <v>0.55744332292946808</v>
      </c>
    </row>
    <row r="280" spans="1:12" s="115" customFormat="1" ht="13.5" thickBot="1">
      <c r="A280" s="215" t="str">
        <v xml:space="preserve">Unmetered Scattered Loads </v>
      </c>
      <c r="B280" s="203">
        <v>21269</v>
      </c>
      <c r="C280" s="203">
        <v>19186.61</v>
      </c>
      <c r="D280" s="210">
        <f t="shared" si="77"/>
        <v>-2082.3899999999994</v>
      </c>
      <c r="E280" s="212">
        <f t="shared" si="78"/>
        <v>-9.7907282899995271E-2</v>
      </c>
    </row>
    <row r="281" spans="1:12" s="115" customFormat="1">
      <c r="A281" s="211" t="s">
        <v>19</v>
      </c>
      <c r="B281" s="205">
        <f>SUM(B275:B280)</f>
        <v>10117137</v>
      </c>
      <c r="C281" s="205">
        <f>SUM(C275:C280)</f>
        <v>9229655.379999999</v>
      </c>
      <c r="D281" s="195">
        <f t="shared" ref="D281" si="79">C281-B281</f>
        <v>-887481.62000000104</v>
      </c>
      <c r="E281" s="192">
        <f t="shared" ref="E281" si="80">D281/B281</f>
        <v>-8.7720628869610157E-2</v>
      </c>
    </row>
    <row r="282" spans="1:12" s="115" customFormat="1"/>
    <row r="283" spans="1:12" s="115" customFormat="1" ht="13.5" thickBot="1">
      <c r="A283" s="190" t="s">
        <v>93</v>
      </c>
      <c r="B283" s="162"/>
      <c r="C283" s="162"/>
      <c r="D283" s="162"/>
      <c r="E283" s="162"/>
      <c r="F283" s="162"/>
      <c r="G283" s="162"/>
      <c r="H283" s="162"/>
      <c r="I283" s="162"/>
      <c r="J283" s="162"/>
      <c r="K283" s="162"/>
      <c r="L283" s="162"/>
    </row>
    <row r="284" spans="1:12" s="115" customFormat="1" ht="13.5" thickBot="1">
      <c r="A284" s="190"/>
      <c r="B284" s="162"/>
      <c r="C284" s="162"/>
      <c r="D284" s="162"/>
      <c r="E284" s="162"/>
      <c r="F284" s="162"/>
      <c r="G284" s="162"/>
      <c r="H284" s="162"/>
      <c r="I284" s="162"/>
      <c r="J284" s="162"/>
      <c r="K284" s="194" t="s">
        <v>94</v>
      </c>
      <c r="L284" s="201" t="e">
        <f>$F$119</f>
        <v>#REF!</v>
      </c>
    </row>
    <row r="285" spans="1:12" s="115" customFormat="1" ht="36.75" customHeight="1">
      <c r="A285" s="279" t="s">
        <v>95</v>
      </c>
      <c r="B285" s="281" t="s">
        <v>96</v>
      </c>
      <c r="C285" s="281"/>
      <c r="D285" s="281" t="s">
        <v>97</v>
      </c>
      <c r="E285" s="282" t="s">
        <v>98</v>
      </c>
      <c r="F285" s="282"/>
      <c r="G285" s="282" t="s">
        <v>99</v>
      </c>
      <c r="H285" s="282"/>
      <c r="I285" s="282" t="s">
        <v>100</v>
      </c>
      <c r="J285" s="282"/>
      <c r="K285" s="282" t="s">
        <v>101</v>
      </c>
      <c r="L285" s="283"/>
    </row>
    <row r="286" spans="1:12" s="115" customFormat="1" ht="25.5">
      <c r="A286" s="280"/>
      <c r="B286" s="343" t="s">
        <v>8</v>
      </c>
      <c r="C286" s="343" t="s">
        <v>90</v>
      </c>
      <c r="D286" s="374"/>
      <c r="E286" s="343" t="s">
        <v>8</v>
      </c>
      <c r="F286" s="343" t="s">
        <v>90</v>
      </c>
      <c r="G286" s="343" t="s">
        <v>8</v>
      </c>
      <c r="H286" s="343" t="s">
        <v>90</v>
      </c>
      <c r="I286" s="343" t="s">
        <v>8</v>
      </c>
      <c r="J286" s="343" t="s">
        <v>90</v>
      </c>
      <c r="K286" s="343" t="s">
        <v>8</v>
      </c>
      <c r="L286" s="199" t="s">
        <v>90</v>
      </c>
    </row>
    <row r="287" spans="1:12" s="115" customFormat="1">
      <c r="A287" s="209" t="s">
        <v>12</v>
      </c>
      <c r="B287" s="372">
        <f t="array" ref="B287:B292">TRANSPOSE(B55:G55)</f>
        <v>15554.75</v>
      </c>
      <c r="C287" s="372">
        <f t="array" ref="C287:C292">TRANSPOSE(B61:G61)</f>
        <v>15631.666666666666</v>
      </c>
      <c r="D287" s="375" t="s">
        <v>102</v>
      </c>
      <c r="E287" s="372">
        <f>B237</f>
        <v>145847423.60421789</v>
      </c>
      <c r="F287" s="372">
        <f>$C$237</f>
        <v>145250460.83000001</v>
      </c>
      <c r="G287" s="376" t="e">
        <f>E287*$L$284</f>
        <v>#REF!</v>
      </c>
      <c r="H287" s="376" t="e">
        <f>F287*$L$284</f>
        <v>#REF!</v>
      </c>
      <c r="I287" s="372">
        <f>E287/B287</f>
        <v>9376.3913662526156</v>
      </c>
      <c r="J287" s="372">
        <f>F287/C287</f>
        <v>9292.0648787717255</v>
      </c>
      <c r="K287" s="372" t="e">
        <f>G287/B287</f>
        <v>#REF!</v>
      </c>
      <c r="L287" s="185" t="e">
        <f>H287/C287</f>
        <v>#REF!</v>
      </c>
    </row>
    <row r="288" spans="1:12" s="115" customFormat="1">
      <c r="A288" s="209" t="s">
        <v>13</v>
      </c>
      <c r="B288" s="372">
        <v>1034.4166666666667</v>
      </c>
      <c r="C288" s="372">
        <v>1029.3333333333333</v>
      </c>
      <c r="D288" s="375" t="s">
        <v>102</v>
      </c>
      <c r="E288" s="372">
        <f>B241</f>
        <v>31828340.45145759</v>
      </c>
      <c r="F288" s="372">
        <f>$C$241</f>
        <v>32706065.800000004</v>
      </c>
      <c r="G288" s="376" t="e">
        <f t="shared" ref="G288:G292" si="81">E288*$L$284</f>
        <v>#REF!</v>
      </c>
      <c r="H288" s="376" t="e">
        <f t="shared" ref="H288:H292" si="82">F288*$L$284</f>
        <v>#REF!</v>
      </c>
      <c r="I288" s="372">
        <f t="shared" ref="I288:I292" si="83">E288/B288</f>
        <v>30769.361590066146</v>
      </c>
      <c r="J288" s="372">
        <f t="shared" ref="J288:J292" si="84">F288/C288</f>
        <v>31774.027655440423</v>
      </c>
      <c r="K288" s="372" t="e">
        <f t="shared" ref="K288:K292" si="85">G288/B288</f>
        <v>#REF!</v>
      </c>
      <c r="L288" s="185" t="e">
        <f t="shared" ref="L288:L292" si="86">H288/C288</f>
        <v>#REF!</v>
      </c>
    </row>
    <row r="289" spans="1:12" s="115" customFormat="1">
      <c r="A289" s="209" t="s">
        <v>14</v>
      </c>
      <c r="B289" s="372">
        <v>87.5</v>
      </c>
      <c r="C289" s="372">
        <v>86.666666666666671</v>
      </c>
      <c r="D289" s="375" t="s">
        <v>103</v>
      </c>
      <c r="E289" s="377">
        <f>B246</f>
        <v>176743.94633415851</v>
      </c>
      <c r="F289" s="377">
        <f>$C$246</f>
        <v>160946.79999999999</v>
      </c>
      <c r="G289" s="376" t="e">
        <f t="shared" si="81"/>
        <v>#REF!</v>
      </c>
      <c r="H289" s="376" t="e">
        <f t="shared" si="82"/>
        <v>#REF!</v>
      </c>
      <c r="I289" s="372">
        <f t="shared" si="83"/>
        <v>2019.9308152475257</v>
      </c>
      <c r="J289" s="372">
        <f t="shared" si="84"/>
        <v>1857.0784615384614</v>
      </c>
      <c r="K289" s="372" t="e">
        <f t="shared" si="85"/>
        <v>#REF!</v>
      </c>
      <c r="L289" s="185" t="e">
        <f t="shared" si="86"/>
        <v>#REF!</v>
      </c>
    </row>
    <row r="290" spans="1:12" s="115" customFormat="1">
      <c r="A290" s="209" t="s">
        <v>15</v>
      </c>
      <c r="B290" s="372">
        <v>161</v>
      </c>
      <c r="C290" s="372">
        <v>161.83333333333334</v>
      </c>
      <c r="D290" s="375" t="s">
        <v>103</v>
      </c>
      <c r="E290" s="377">
        <f>B251</f>
        <v>286.28122226821648</v>
      </c>
      <c r="F290" s="377">
        <f>$C$251</f>
        <v>288.48</v>
      </c>
      <c r="G290" s="376" t="e">
        <f t="shared" si="81"/>
        <v>#REF!</v>
      </c>
      <c r="H290" s="376" t="e">
        <f t="shared" si="82"/>
        <v>#REF!</v>
      </c>
      <c r="I290" s="372">
        <f t="shared" si="83"/>
        <v>1.7781442376907857</v>
      </c>
      <c r="J290" s="372">
        <f t="shared" si="84"/>
        <v>1.7825746652935119</v>
      </c>
      <c r="K290" s="372" t="e">
        <f t="shared" si="85"/>
        <v>#REF!</v>
      </c>
      <c r="L290" s="185" t="e">
        <f t="shared" si="86"/>
        <v>#REF!</v>
      </c>
    </row>
    <row r="291" spans="1:12" s="115" customFormat="1">
      <c r="A291" s="209" t="s">
        <v>16</v>
      </c>
      <c r="B291" s="372">
        <v>2994.8333333333335</v>
      </c>
      <c r="C291" s="372">
        <v>2973.25</v>
      </c>
      <c r="D291" s="375" t="s">
        <v>103</v>
      </c>
      <c r="E291" s="377">
        <f>B256</f>
        <v>1598.6472960042561</v>
      </c>
      <c r="F291" s="377">
        <f>$C$256</f>
        <v>1754.9899999999998</v>
      </c>
      <c r="G291" s="376" t="e">
        <f t="shared" si="81"/>
        <v>#REF!</v>
      </c>
      <c r="H291" s="376" t="e">
        <f t="shared" si="82"/>
        <v>#REF!</v>
      </c>
      <c r="I291" s="372">
        <f t="shared" si="83"/>
        <v>0.53380175725001588</v>
      </c>
      <c r="J291" s="372">
        <f t="shared" si="84"/>
        <v>0.59025981669889849</v>
      </c>
      <c r="K291" s="372" t="e">
        <f t="shared" si="85"/>
        <v>#REF!</v>
      </c>
      <c r="L291" s="185" t="e">
        <f t="shared" si="86"/>
        <v>#REF!</v>
      </c>
    </row>
    <row r="292" spans="1:12" s="115" customFormat="1" ht="13.5" thickBot="1">
      <c r="A292" s="189" t="s">
        <v>17</v>
      </c>
      <c r="B292" s="210">
        <v>73.5</v>
      </c>
      <c r="C292" s="210">
        <v>73.5</v>
      </c>
      <c r="D292" s="193" t="s">
        <v>102</v>
      </c>
      <c r="E292" s="204">
        <f>B260</f>
        <v>461015.01227876113</v>
      </c>
      <c r="F292" s="204">
        <f>$C$260</f>
        <v>460196</v>
      </c>
      <c r="G292" s="207" t="e">
        <f t="shared" si="81"/>
        <v>#REF!</v>
      </c>
      <c r="H292" s="207" t="e">
        <f t="shared" si="82"/>
        <v>#REF!</v>
      </c>
      <c r="I292" s="210">
        <f t="shared" si="83"/>
        <v>6272.3130922280425</v>
      </c>
      <c r="J292" s="210">
        <f t="shared" si="84"/>
        <v>6261.1700680272106</v>
      </c>
      <c r="K292" s="210" t="e">
        <f t="shared" si="85"/>
        <v>#REF!</v>
      </c>
      <c r="L292" s="208" t="e">
        <f t="shared" si="86"/>
        <v>#REF!</v>
      </c>
    </row>
    <row r="293" spans="1:12" s="115" customFormat="1">
      <c r="A293" s="197" t="s">
        <v>19</v>
      </c>
      <c r="B293" s="188">
        <f>SUM(B287:B292)</f>
        <v>19906</v>
      </c>
      <c r="C293" s="188">
        <f>SUM(C287:C292)</f>
        <v>19956.25</v>
      </c>
      <c r="D293" s="196"/>
      <c r="E293" s="196"/>
      <c r="F293" s="196"/>
      <c r="G293" s="196"/>
      <c r="H293" s="196"/>
      <c r="I293" s="196"/>
      <c r="J293" s="196"/>
      <c r="K293" s="196"/>
      <c r="L293" s="196"/>
    </row>
    <row r="294" spans="1:12" s="115" customFormat="1">
      <c r="A294" s="378" t="s">
        <v>104</v>
      </c>
      <c r="B294" s="379" t="s">
        <v>105</v>
      </c>
      <c r="C294" s="379" t="s">
        <v>106</v>
      </c>
      <c r="D294" s="380"/>
      <c r="E294" s="379" t="s">
        <v>98</v>
      </c>
      <c r="F294" s="379" t="s">
        <v>106</v>
      </c>
      <c r="G294" s="379" t="s">
        <v>98</v>
      </c>
      <c r="H294" s="379" t="s">
        <v>106</v>
      </c>
      <c r="I294" s="379" t="s">
        <v>107</v>
      </c>
      <c r="J294" s="379" t="s">
        <v>106</v>
      </c>
      <c r="K294" s="379" t="s">
        <v>107</v>
      </c>
      <c r="L294" s="379" t="s">
        <v>106</v>
      </c>
    </row>
    <row r="295" spans="1:12" s="115" customFormat="1">
      <c r="A295" s="209" t="s">
        <v>12</v>
      </c>
      <c r="B295" s="381">
        <f>C287-B287</f>
        <v>76.91666666666606</v>
      </c>
      <c r="C295" s="382">
        <f>B295/B287</f>
        <v>4.9448989322660964E-3</v>
      </c>
      <c r="D295" s="375" t="s">
        <v>102</v>
      </c>
      <c r="E295" s="381">
        <f>F287-E287</f>
        <v>-596962.77421787381</v>
      </c>
      <c r="F295" s="382">
        <f>E295/E287</f>
        <v>-4.0930635554991711E-3</v>
      </c>
      <c r="G295" s="381" t="e">
        <f>H287-G287</f>
        <v>#REF!</v>
      </c>
      <c r="H295" s="382" t="e">
        <f>G295/G287</f>
        <v>#REF!</v>
      </c>
      <c r="I295" s="381">
        <f>J287-I287</f>
        <v>-84.326487480890137</v>
      </c>
      <c r="J295" s="382">
        <f>I295/I287</f>
        <v>-8.9934905857702273E-3</v>
      </c>
      <c r="K295" s="381" t="e">
        <f>L287-K287</f>
        <v>#REF!</v>
      </c>
      <c r="L295" s="206" t="e">
        <f>K295/K287</f>
        <v>#REF!</v>
      </c>
    </row>
    <row r="296" spans="1:12" s="115" customFormat="1">
      <c r="A296" s="209" t="s">
        <v>13</v>
      </c>
      <c r="B296" s="381">
        <f t="shared" ref="B296:B300" si="87">C288-B288</f>
        <v>-5.0833333333334849</v>
      </c>
      <c r="C296" s="382">
        <f t="shared" ref="C296:C300" si="88">B296/B288</f>
        <v>-4.9142028518490144E-3</v>
      </c>
      <c r="D296" s="375" t="s">
        <v>102</v>
      </c>
      <c r="E296" s="381">
        <f t="shared" ref="E296:G300" si="89">F288-E288</f>
        <v>877725.34854241461</v>
      </c>
      <c r="F296" s="382">
        <f t="shared" ref="F296:H300" si="90">E296/E288</f>
        <v>2.7576849313933328E-2</v>
      </c>
      <c r="G296" s="381" t="e">
        <f t="shared" si="89"/>
        <v>#REF!</v>
      </c>
      <c r="H296" s="382" t="e">
        <f t="shared" si="90"/>
        <v>#REF!</v>
      </c>
      <c r="I296" s="381">
        <f t="shared" ref="I296" si="91">J288-I288</f>
        <v>1004.6660653742765</v>
      </c>
      <c r="J296" s="382">
        <f t="shared" ref="J296" si="92">I296/I288</f>
        <v>3.2651508300992241E-2</v>
      </c>
      <c r="K296" s="381" t="e">
        <f t="shared" ref="K296" si="93">L288-K288</f>
        <v>#REF!</v>
      </c>
      <c r="L296" s="206" t="e">
        <f t="shared" ref="L296" si="94">K296/K288</f>
        <v>#REF!</v>
      </c>
    </row>
    <row r="297" spans="1:12" s="115" customFormat="1">
      <c r="A297" s="209" t="s">
        <v>14</v>
      </c>
      <c r="B297" s="381">
        <f t="shared" si="87"/>
        <v>-0.8333333333333286</v>
      </c>
      <c r="C297" s="382">
        <f t="shared" si="88"/>
        <v>-9.5238095238094692E-3</v>
      </c>
      <c r="D297" s="375" t="s">
        <v>103</v>
      </c>
      <c r="E297" s="381">
        <f t="shared" si="89"/>
        <v>-15797.146334158519</v>
      </c>
      <c r="F297" s="382">
        <f t="shared" si="90"/>
        <v>-8.9378712322581405E-2</v>
      </c>
      <c r="G297" s="381" t="e">
        <f t="shared" si="89"/>
        <v>#REF!</v>
      </c>
      <c r="H297" s="382" t="e">
        <f t="shared" si="90"/>
        <v>#REF!</v>
      </c>
      <c r="I297" s="381">
        <f t="shared" ref="I297" si="95">J289-I289</f>
        <v>-162.85235370906435</v>
      </c>
      <c r="J297" s="382">
        <f t="shared" ref="J297" si="96">I297/I289</f>
        <v>-8.0622738402606198E-2</v>
      </c>
      <c r="K297" s="381" t="e">
        <f t="shared" ref="K297" si="97">L289-K289</f>
        <v>#REF!</v>
      </c>
      <c r="L297" s="206" t="e">
        <f t="shared" ref="L297" si="98">K297/K289</f>
        <v>#REF!</v>
      </c>
    </row>
    <row r="298" spans="1:12" s="115" customFormat="1">
      <c r="A298" s="209" t="s">
        <v>15</v>
      </c>
      <c r="B298" s="381">
        <f t="shared" si="87"/>
        <v>0.83333333333334281</v>
      </c>
      <c r="C298" s="382">
        <f t="shared" si="88"/>
        <v>5.175983436853061E-3</v>
      </c>
      <c r="D298" s="375" t="s">
        <v>103</v>
      </c>
      <c r="E298" s="381">
        <f t="shared" si="89"/>
        <v>2.1987777317835366</v>
      </c>
      <c r="F298" s="382">
        <f t="shared" si="90"/>
        <v>7.6804818505473082E-3</v>
      </c>
      <c r="G298" s="381" t="e">
        <f t="shared" si="89"/>
        <v>#REF!</v>
      </c>
      <c r="H298" s="382" t="e">
        <f t="shared" si="90"/>
        <v>#REF!</v>
      </c>
      <c r="I298" s="381">
        <f t="shared" ref="I298" si="99">J290-I290</f>
        <v>4.4304276027262723E-3</v>
      </c>
      <c r="J298" s="382">
        <f t="shared" ref="J298" si="100">I298/I290</f>
        <v>2.4916019234074707E-3</v>
      </c>
      <c r="K298" s="381" t="e">
        <f t="shared" ref="K298" si="101">L290-K290</f>
        <v>#REF!</v>
      </c>
      <c r="L298" s="206" t="e">
        <f t="shared" ref="L298" si="102">K298/K290</f>
        <v>#REF!</v>
      </c>
    </row>
    <row r="299" spans="1:12" s="115" customFormat="1">
      <c r="A299" s="209" t="s">
        <v>16</v>
      </c>
      <c r="B299" s="381">
        <f t="shared" si="87"/>
        <v>-21.583333333333485</v>
      </c>
      <c r="C299" s="382">
        <f t="shared" si="88"/>
        <v>-7.206856252434799E-3</v>
      </c>
      <c r="D299" s="375" t="s">
        <v>103</v>
      </c>
      <c r="E299" s="381">
        <f t="shared" si="89"/>
        <v>156.3427039957437</v>
      </c>
      <c r="F299" s="382">
        <f t="shared" si="90"/>
        <v>9.7796871384022585E-2</v>
      </c>
      <c r="G299" s="381" t="e">
        <f t="shared" si="89"/>
        <v>#REF!</v>
      </c>
      <c r="H299" s="382" t="e">
        <f t="shared" si="90"/>
        <v>#REF!</v>
      </c>
      <c r="I299" s="381">
        <f t="shared" ref="I299" si="103">J291-I291</f>
        <v>5.6458059448882603E-2</v>
      </c>
      <c r="J299" s="382">
        <f t="shared" ref="J299" si="104">I299/I291</f>
        <v>0.10576596776252167</v>
      </c>
      <c r="K299" s="381" t="e">
        <f t="shared" ref="K299" si="105">L291-K291</f>
        <v>#REF!</v>
      </c>
      <c r="L299" s="206" t="e">
        <f t="shared" ref="L299" si="106">K299/K291</f>
        <v>#REF!</v>
      </c>
    </row>
    <row r="300" spans="1:12" s="115" customFormat="1" ht="13.5" thickBot="1">
      <c r="A300" s="189" t="s">
        <v>17</v>
      </c>
      <c r="B300" s="191">
        <f t="shared" si="87"/>
        <v>0</v>
      </c>
      <c r="C300" s="198">
        <f t="shared" si="88"/>
        <v>0</v>
      </c>
      <c r="D300" s="193" t="s">
        <v>102</v>
      </c>
      <c r="E300" s="191">
        <f t="shared" si="89"/>
        <v>-819.01227876113262</v>
      </c>
      <c r="F300" s="198">
        <f t="shared" si="90"/>
        <v>-1.7765414508148422E-3</v>
      </c>
      <c r="G300" s="191" t="e">
        <f t="shared" si="89"/>
        <v>#REF!</v>
      </c>
      <c r="H300" s="198" t="e">
        <f t="shared" si="90"/>
        <v>#REF!</v>
      </c>
      <c r="I300" s="191">
        <f t="shared" ref="I300" si="107">J292-I292</f>
        <v>-11.14302420083186</v>
      </c>
      <c r="J300" s="198">
        <f t="shared" ref="J300" si="108">I300/I292</f>
        <v>-1.776541450814862E-3</v>
      </c>
      <c r="K300" s="191" t="e">
        <f t="shared" ref="K300" si="109">L292-K292</f>
        <v>#REF!</v>
      </c>
      <c r="L300" s="214" t="e">
        <f t="shared" ref="L300" si="110">K300/K292</f>
        <v>#REF!</v>
      </c>
    </row>
    <row r="301" spans="1:12" s="115" customFormat="1" ht="13.5" thickBot="1">
      <c r="A301" s="187" t="s">
        <v>19</v>
      </c>
      <c r="B301" s="202">
        <f>SUM(B295:B300)</f>
        <v>50.249999999999105</v>
      </c>
      <c r="C301" s="213">
        <f>B301/B293</f>
        <v>2.5243645132120517E-3</v>
      </c>
      <c r="D301" s="162"/>
      <c r="E301" s="162"/>
      <c r="F301" s="162"/>
      <c r="G301" s="162"/>
      <c r="H301" s="162"/>
      <c r="I301" s="162"/>
      <c r="J301" s="162"/>
      <c r="K301" s="162"/>
      <c r="L301" s="162"/>
    </row>
    <row r="302" spans="1:12" s="115" customFormat="1"/>
    <row r="303" spans="1:12" s="115" customFormat="1">
      <c r="A303" s="190" t="s">
        <v>108</v>
      </c>
      <c r="B303" s="162"/>
      <c r="C303" s="162"/>
      <c r="D303" s="162"/>
      <c r="E303" s="162"/>
    </row>
    <row r="304" spans="1:12" s="115" customFormat="1" ht="25.5">
      <c r="A304" s="369" t="s">
        <v>89</v>
      </c>
      <c r="B304" s="369" t="s">
        <v>90</v>
      </c>
      <c r="C304" s="369" t="s">
        <v>109</v>
      </c>
      <c r="D304" s="369" t="s">
        <v>91</v>
      </c>
      <c r="E304" s="369" t="s">
        <v>92</v>
      </c>
    </row>
    <row r="305" spans="1:12" s="115" customFormat="1">
      <c r="A305" s="370" t="str">
        <f>A295</f>
        <v xml:space="preserve">Residential </v>
      </c>
      <c r="B305" s="371">
        <f>C275</f>
        <v>7367769.7999999998</v>
      </c>
      <c r="C305" s="371">
        <v>8572644.2100000009</v>
      </c>
      <c r="D305" s="372">
        <f>C305-B305</f>
        <v>1204874.4100000011</v>
      </c>
      <c r="E305" s="373">
        <f>D305/B305</f>
        <v>0.16353312368689926</v>
      </c>
    </row>
    <row r="306" spans="1:12" s="115" customFormat="1">
      <c r="A306" s="370" t="str">
        <f t="shared" ref="A306:A310" si="111">A296</f>
        <v>General Service &lt; 50 kW</v>
      </c>
      <c r="B306" s="371">
        <f t="shared" ref="B306:B310" si="112">C276</f>
        <v>762772.19</v>
      </c>
      <c r="C306" s="371">
        <v>892517.14</v>
      </c>
      <c r="D306" s="372">
        <f t="shared" ref="D306:D311" si="113">C306-B306</f>
        <v>129744.95000000007</v>
      </c>
      <c r="E306" s="373">
        <f t="shared" ref="E306:E310" si="114">D306/B306</f>
        <v>0.17009659201130561</v>
      </c>
    </row>
    <row r="307" spans="1:12" s="115" customFormat="1">
      <c r="A307" s="370" t="str">
        <f t="shared" si="111"/>
        <v>General Service 50 to 4,999 kW</v>
      </c>
      <c r="B307" s="371">
        <f t="shared" si="112"/>
        <v>737457.65</v>
      </c>
      <c r="C307" s="371">
        <v>938165.36</v>
      </c>
      <c r="D307" s="372">
        <f t="shared" si="113"/>
        <v>200707.70999999996</v>
      </c>
      <c r="E307" s="373">
        <f t="shared" si="114"/>
        <v>0.27216167599590291</v>
      </c>
    </row>
    <row r="308" spans="1:12" s="115" customFormat="1">
      <c r="A308" s="370" t="str">
        <f t="shared" si="111"/>
        <v>Sentinel Lights</v>
      </c>
      <c r="B308" s="371">
        <f t="shared" si="112"/>
        <v>39579.11</v>
      </c>
      <c r="C308" s="371">
        <v>43622.02</v>
      </c>
      <c r="D308" s="372">
        <f t="shared" si="113"/>
        <v>4042.9099999999962</v>
      </c>
      <c r="E308" s="373">
        <f t="shared" si="114"/>
        <v>0.10214757229255525</v>
      </c>
    </row>
    <row r="309" spans="1:12" s="115" customFormat="1">
      <c r="A309" s="370" t="str">
        <f t="shared" si="111"/>
        <v>Street Lights</v>
      </c>
      <c r="B309" s="371">
        <f t="shared" si="112"/>
        <v>302890.02</v>
      </c>
      <c r="C309" s="371">
        <v>220412.85</v>
      </c>
      <c r="D309" s="372">
        <f t="shared" si="113"/>
        <v>-82477.170000000013</v>
      </c>
      <c r="E309" s="373">
        <f t="shared" si="114"/>
        <v>-0.27230071826070734</v>
      </c>
    </row>
    <row r="310" spans="1:12" s="115" customFormat="1" ht="13.5" thickBot="1">
      <c r="A310" s="215" t="str">
        <f t="shared" si="111"/>
        <v xml:space="preserve">Unmetered Scattered Loads </v>
      </c>
      <c r="B310" s="203">
        <f t="shared" si="112"/>
        <v>19186.61</v>
      </c>
      <c r="C310" s="203">
        <v>21335.31</v>
      </c>
      <c r="D310" s="210">
        <f t="shared" si="113"/>
        <v>2148.7000000000007</v>
      </c>
      <c r="E310" s="212">
        <f t="shared" si="114"/>
        <v>0.1119895593854256</v>
      </c>
    </row>
    <row r="311" spans="1:12" s="115" customFormat="1">
      <c r="A311" s="211" t="s">
        <v>19</v>
      </c>
      <c r="B311" s="205">
        <f>SUM(B305:B310)</f>
        <v>9229655.379999999</v>
      </c>
      <c r="C311" s="205">
        <f>SUM(C305:C310)</f>
        <v>10688696.890000001</v>
      </c>
      <c r="D311" s="195">
        <f t="shared" si="113"/>
        <v>1459041.5100000016</v>
      </c>
      <c r="E311" s="192">
        <f>D311/B311</f>
        <v>0.15808190554564366</v>
      </c>
    </row>
    <row r="312" spans="1:12" s="115" customFormat="1" ht="13.5" thickBot="1"/>
    <row r="313" spans="1:12" s="115" customFormat="1" ht="13.5" thickBot="1">
      <c r="A313" s="190" t="s">
        <v>110</v>
      </c>
      <c r="B313" s="162"/>
      <c r="C313" s="162"/>
      <c r="D313" s="162"/>
      <c r="E313" s="162"/>
      <c r="F313" s="162"/>
      <c r="G313" s="162"/>
      <c r="H313" s="162"/>
      <c r="I313" s="162"/>
      <c r="J313" s="162"/>
      <c r="K313" s="194" t="s">
        <v>111</v>
      </c>
      <c r="L313" s="201" t="e">
        <f>$F$119</f>
        <v>#REF!</v>
      </c>
    </row>
    <row r="314" spans="1:12" s="115" customFormat="1" ht="13.5" thickBot="1">
      <c r="A314" s="190"/>
      <c r="B314" s="162"/>
      <c r="C314" s="162"/>
      <c r="D314" s="162"/>
      <c r="E314" s="162"/>
      <c r="F314" s="162"/>
      <c r="G314" s="162"/>
      <c r="H314" s="162"/>
      <c r="I314" s="162"/>
      <c r="J314" s="162"/>
      <c r="K314" s="194" t="s">
        <v>112</v>
      </c>
      <c r="L314" s="201" t="e">
        <f>$F$120</f>
        <v>#REF!</v>
      </c>
    </row>
    <row r="315" spans="1:12" s="115" customFormat="1" ht="39" customHeight="1">
      <c r="A315" s="279" t="s">
        <v>95</v>
      </c>
      <c r="B315" s="281" t="s">
        <v>96</v>
      </c>
      <c r="C315" s="281"/>
      <c r="D315" s="281" t="s">
        <v>97</v>
      </c>
      <c r="E315" s="282" t="s">
        <v>98</v>
      </c>
      <c r="F315" s="282"/>
      <c r="G315" s="282" t="s">
        <v>99</v>
      </c>
      <c r="H315" s="282"/>
      <c r="I315" s="282" t="s">
        <v>100</v>
      </c>
      <c r="J315" s="282"/>
      <c r="K315" s="282" t="s">
        <v>101</v>
      </c>
      <c r="L315" s="283"/>
    </row>
    <row r="316" spans="1:12" s="115" customFormat="1">
      <c r="A316" s="280"/>
      <c r="B316" s="343" t="s">
        <v>90</v>
      </c>
      <c r="C316" s="343" t="s">
        <v>109</v>
      </c>
      <c r="D316" s="374"/>
      <c r="E316" s="343" t="s">
        <v>90</v>
      </c>
      <c r="F316" s="343" t="s">
        <v>109</v>
      </c>
      <c r="G316" s="343" t="s">
        <v>90</v>
      </c>
      <c r="H316" s="343" t="s">
        <v>109</v>
      </c>
      <c r="I316" s="343" t="s">
        <v>90</v>
      </c>
      <c r="J316" s="343" t="s">
        <v>109</v>
      </c>
      <c r="K316" s="343" t="s">
        <v>90</v>
      </c>
      <c r="L316" s="199" t="s">
        <v>109</v>
      </c>
    </row>
    <row r="317" spans="1:12" s="115" customFormat="1">
      <c r="A317" s="209" t="s">
        <v>12</v>
      </c>
      <c r="B317" s="372">
        <f>C287</f>
        <v>15631.666666666666</v>
      </c>
      <c r="C317" s="372">
        <f>$D$236</f>
        <v>16490.666666666668</v>
      </c>
      <c r="D317" s="375" t="s">
        <v>102</v>
      </c>
      <c r="E317" s="372">
        <f>$C$237</f>
        <v>145250460.83000001</v>
      </c>
      <c r="F317" s="372">
        <f>$D$237</f>
        <v>160853753.41</v>
      </c>
      <c r="G317" s="376" t="e">
        <f>E317*$L$313</f>
        <v>#REF!</v>
      </c>
      <c r="H317" s="376" t="e">
        <f>F317*$L$314</f>
        <v>#REF!</v>
      </c>
      <c r="I317" s="372">
        <f>E317/B317</f>
        <v>9292.0648787717255</v>
      </c>
      <c r="J317" s="372">
        <f>F317/C317</f>
        <v>9754.2298720488343</v>
      </c>
      <c r="K317" s="372" t="e">
        <f>G317/B317</f>
        <v>#REF!</v>
      </c>
      <c r="L317" s="185" t="e">
        <f>H317/C317</f>
        <v>#REF!</v>
      </c>
    </row>
    <row r="318" spans="1:12" s="115" customFormat="1">
      <c r="A318" s="209" t="s">
        <v>13</v>
      </c>
      <c r="B318" s="372">
        <f>C240</f>
        <v>1029.3333333333333</v>
      </c>
      <c r="C318" s="372">
        <f>$D$240</f>
        <v>1081</v>
      </c>
      <c r="D318" s="375" t="s">
        <v>102</v>
      </c>
      <c r="E318" s="372">
        <f>$C$241</f>
        <v>32706065.800000004</v>
      </c>
      <c r="F318" s="372">
        <f>$D$241</f>
        <v>35963905.180000007</v>
      </c>
      <c r="G318" s="376" t="e">
        <f t="shared" ref="G318:G323" si="115">E318*$L$313</f>
        <v>#REF!</v>
      </c>
      <c r="H318" s="376" t="e">
        <f t="shared" ref="H318:H323" si="116">F318*$L$314</f>
        <v>#REF!</v>
      </c>
      <c r="I318" s="372">
        <f t="shared" ref="I318:I323" si="117">E318/B318</f>
        <v>31774.027655440423</v>
      </c>
      <c r="J318" s="372">
        <f t="shared" ref="J318:J323" si="118">F318/C318</f>
        <v>33269.107474560602</v>
      </c>
      <c r="K318" s="372" t="e">
        <f t="shared" ref="K318:K323" si="119">G318/B318</f>
        <v>#REF!</v>
      </c>
      <c r="L318" s="185" t="e">
        <f t="shared" ref="L318:L323" si="120">H318/C318</f>
        <v>#REF!</v>
      </c>
    </row>
    <row r="319" spans="1:12" s="115" customFormat="1">
      <c r="A319" s="209" t="s">
        <v>14</v>
      </c>
      <c r="B319" s="372">
        <f>C244</f>
        <v>86.666666666666671</v>
      </c>
      <c r="C319" s="372">
        <f>$D$244</f>
        <v>91</v>
      </c>
      <c r="D319" s="375" t="s">
        <v>103</v>
      </c>
      <c r="E319" s="377">
        <f>$C$246</f>
        <v>160946.79999999999</v>
      </c>
      <c r="F319" s="377">
        <f>$D$246</f>
        <v>166114.67999999996</v>
      </c>
      <c r="G319" s="376" t="e">
        <f t="shared" si="115"/>
        <v>#REF!</v>
      </c>
      <c r="H319" s="376" t="e">
        <f t="shared" si="116"/>
        <v>#REF!</v>
      </c>
      <c r="I319" s="372">
        <f t="shared" si="117"/>
        <v>1857.0784615384614</v>
      </c>
      <c r="J319" s="372">
        <f t="shared" si="118"/>
        <v>1825.4360439560435</v>
      </c>
      <c r="K319" s="372" t="e">
        <f t="shared" si="119"/>
        <v>#REF!</v>
      </c>
      <c r="L319" s="185" t="e">
        <f t="shared" si="120"/>
        <v>#REF!</v>
      </c>
    </row>
    <row r="320" spans="1:12" s="115" customFormat="1">
      <c r="A320" s="209" t="s">
        <v>15</v>
      </c>
      <c r="B320" s="372">
        <f>C249</f>
        <v>161.83333333333334</v>
      </c>
      <c r="C320" s="372">
        <f>$D$249</f>
        <v>161.5</v>
      </c>
      <c r="D320" s="375" t="s">
        <v>103</v>
      </c>
      <c r="E320" s="377">
        <f>$C$251</f>
        <v>288.48</v>
      </c>
      <c r="F320" s="377">
        <f>$D$251</f>
        <v>292.92999999999995</v>
      </c>
      <c r="G320" s="376" t="e">
        <f t="shared" si="115"/>
        <v>#REF!</v>
      </c>
      <c r="H320" s="376" t="e">
        <f t="shared" si="116"/>
        <v>#REF!</v>
      </c>
      <c r="I320" s="372">
        <f t="shared" si="117"/>
        <v>1.7825746652935119</v>
      </c>
      <c r="J320" s="372">
        <f t="shared" si="118"/>
        <v>1.8138080495356035</v>
      </c>
      <c r="K320" s="372" t="e">
        <f t="shared" si="119"/>
        <v>#REF!</v>
      </c>
      <c r="L320" s="185" t="e">
        <f t="shared" si="120"/>
        <v>#REF!</v>
      </c>
    </row>
    <row r="321" spans="1:12" s="115" customFormat="1">
      <c r="A321" s="209" t="s">
        <v>16</v>
      </c>
      <c r="B321" s="372">
        <f>C254</f>
        <v>2973.25</v>
      </c>
      <c r="C321" s="372">
        <f>$D$254</f>
        <v>3097.25</v>
      </c>
      <c r="D321" s="375" t="s">
        <v>103</v>
      </c>
      <c r="E321" s="377">
        <f>$C$256</f>
        <v>1754.9899999999998</v>
      </c>
      <c r="F321" s="377">
        <f>$D$256</f>
        <v>1867.2599999999998</v>
      </c>
      <c r="G321" s="376" t="e">
        <f t="shared" si="115"/>
        <v>#REF!</v>
      </c>
      <c r="H321" s="376" t="e">
        <f t="shared" si="116"/>
        <v>#REF!</v>
      </c>
      <c r="I321" s="372">
        <f t="shared" si="117"/>
        <v>0.59025981669889849</v>
      </c>
      <c r="J321" s="372">
        <f t="shared" si="118"/>
        <v>0.60287674550004033</v>
      </c>
      <c r="K321" s="372" t="e">
        <f t="shared" si="119"/>
        <v>#REF!</v>
      </c>
      <c r="L321" s="185" t="e">
        <f t="shared" si="120"/>
        <v>#REF!</v>
      </c>
    </row>
    <row r="322" spans="1:12" s="115" customFormat="1">
      <c r="A322" s="209" t="s">
        <v>17</v>
      </c>
      <c r="B322" s="372">
        <f>C259</f>
        <v>73.5</v>
      </c>
      <c r="C322" s="372">
        <f>$D$259</f>
        <v>74</v>
      </c>
      <c r="D322" s="375" t="s">
        <v>102</v>
      </c>
      <c r="E322" s="377">
        <f>$C$260</f>
        <v>460196</v>
      </c>
      <c r="F322" s="377">
        <f>$D$260</f>
        <v>482913.99999999994</v>
      </c>
      <c r="G322" s="376" t="e">
        <f t="shared" si="115"/>
        <v>#REF!</v>
      </c>
      <c r="H322" s="376" t="e">
        <f t="shared" si="116"/>
        <v>#REF!</v>
      </c>
      <c r="I322" s="372">
        <f t="shared" si="117"/>
        <v>6261.1700680272106</v>
      </c>
      <c r="J322" s="372">
        <f t="shared" si="118"/>
        <v>6525.8648648648641</v>
      </c>
      <c r="K322" s="372" t="e">
        <f t="shared" si="119"/>
        <v>#REF!</v>
      </c>
      <c r="L322" s="185" t="e">
        <f t="shared" si="120"/>
        <v>#REF!</v>
      </c>
    </row>
    <row r="323" spans="1:12" s="115" customFormat="1" ht="13.5" thickBot="1">
      <c r="A323" s="189" t="s">
        <v>18</v>
      </c>
      <c r="B323" s="210">
        <f>C263</f>
        <v>1</v>
      </c>
      <c r="C323" s="210">
        <f>$D$263</f>
        <v>1</v>
      </c>
      <c r="D323" s="193" t="s">
        <v>103</v>
      </c>
      <c r="E323" s="221">
        <f>$C$265</f>
        <v>2283.6</v>
      </c>
      <c r="F323" s="221">
        <f>$D$265</f>
        <v>2504.1</v>
      </c>
      <c r="G323" s="207" t="e">
        <f t="shared" si="115"/>
        <v>#REF!</v>
      </c>
      <c r="H323" s="207" t="e">
        <f t="shared" si="116"/>
        <v>#REF!</v>
      </c>
      <c r="I323" s="210">
        <f t="shared" si="117"/>
        <v>2283.6</v>
      </c>
      <c r="J323" s="210">
        <f t="shared" si="118"/>
        <v>2504.1</v>
      </c>
      <c r="K323" s="210" t="e">
        <f t="shared" si="119"/>
        <v>#REF!</v>
      </c>
      <c r="L323" s="208" t="e">
        <f t="shared" si="120"/>
        <v>#REF!</v>
      </c>
    </row>
    <row r="324" spans="1:12" s="115" customFormat="1" ht="13.5" thickBot="1">
      <c r="A324" s="197" t="s">
        <v>19</v>
      </c>
      <c r="B324" s="188">
        <f>SUM(B317:B323)</f>
        <v>19957.25</v>
      </c>
      <c r="C324" s="188">
        <f>SUM(C317:C323)</f>
        <v>20996.416666666668</v>
      </c>
      <c r="D324" s="196"/>
      <c r="E324" s="196"/>
      <c r="F324" s="196"/>
      <c r="G324" s="196"/>
      <c r="H324" s="196"/>
      <c r="I324" s="196"/>
      <c r="J324" s="196"/>
      <c r="K324" s="196"/>
      <c r="L324" s="196"/>
    </row>
    <row r="325" spans="1:12" s="115" customFormat="1">
      <c r="A325" s="218" t="s">
        <v>104</v>
      </c>
      <c r="B325" s="200" t="s">
        <v>105</v>
      </c>
      <c r="C325" s="200" t="s">
        <v>106</v>
      </c>
      <c r="D325" s="219"/>
      <c r="E325" s="200" t="s">
        <v>98</v>
      </c>
      <c r="F325" s="200" t="s">
        <v>106</v>
      </c>
      <c r="G325" s="200" t="s">
        <v>98</v>
      </c>
      <c r="H325" s="200" t="s">
        <v>106</v>
      </c>
      <c r="I325" s="200" t="s">
        <v>107</v>
      </c>
      <c r="J325" s="200" t="s">
        <v>106</v>
      </c>
      <c r="K325" s="200" t="s">
        <v>107</v>
      </c>
      <c r="L325" s="220" t="s">
        <v>106</v>
      </c>
    </row>
    <row r="326" spans="1:12" s="115" customFormat="1">
      <c r="A326" s="209" t="s">
        <v>12</v>
      </c>
      <c r="B326" s="381">
        <f t="shared" ref="B326:B332" si="121">C317-B317</f>
        <v>859.00000000000182</v>
      </c>
      <c r="C326" s="382">
        <f t="shared" ref="C326:C333" si="122">B326/B317</f>
        <v>5.4952553577140538E-2</v>
      </c>
      <c r="D326" s="375" t="s">
        <v>102</v>
      </c>
      <c r="E326" s="381">
        <f>F317-E317</f>
        <v>15603292.579999983</v>
      </c>
      <c r="F326" s="382">
        <f>E326/E317</f>
        <v>0.10742336024848798</v>
      </c>
      <c r="G326" s="381" t="e">
        <f>H317-G317</f>
        <v>#REF!</v>
      </c>
      <c r="H326" s="382" t="e">
        <f>G326/G317</f>
        <v>#REF!</v>
      </c>
      <c r="I326" s="381">
        <f>J317-I317</f>
        <v>462.16499327710881</v>
      </c>
      <c r="J326" s="382">
        <f t="shared" ref="J326:J332" si="123">I326/I317</f>
        <v>4.9737598618467702E-2</v>
      </c>
      <c r="K326" s="381" t="e">
        <f>L317-K317</f>
        <v>#REF!</v>
      </c>
      <c r="L326" s="206" t="e">
        <f t="shared" ref="L326:L332" si="124">K326/K317</f>
        <v>#REF!</v>
      </c>
    </row>
    <row r="327" spans="1:12" s="115" customFormat="1">
      <c r="A327" s="209" t="s">
        <v>13</v>
      </c>
      <c r="B327" s="381">
        <f t="shared" si="121"/>
        <v>51.666666666666742</v>
      </c>
      <c r="C327" s="382">
        <f t="shared" si="122"/>
        <v>5.0194300518134789E-2</v>
      </c>
      <c r="D327" s="375" t="s">
        <v>102</v>
      </c>
      <c r="E327" s="381">
        <f t="shared" ref="E327" si="125">F318-E318</f>
        <v>3257839.3800000027</v>
      </c>
      <c r="F327" s="382">
        <f t="shared" ref="F327" si="126">E327/E318</f>
        <v>9.9609638160759836E-2</v>
      </c>
      <c r="G327" s="381" t="e">
        <f t="shared" ref="G327" si="127">H318-G318</f>
        <v>#REF!</v>
      </c>
      <c r="H327" s="382" t="e">
        <f t="shared" ref="H327" si="128">G327/G318</f>
        <v>#REF!</v>
      </c>
      <c r="I327" s="381">
        <f t="shared" ref="I327" si="129">J318-I318</f>
        <v>1495.0798191201793</v>
      </c>
      <c r="J327" s="382">
        <f t="shared" si="123"/>
        <v>4.7053519161401887E-2</v>
      </c>
      <c r="K327" s="381" t="e">
        <f t="shared" ref="K327" si="130">L318-K318</f>
        <v>#REF!</v>
      </c>
      <c r="L327" s="206" t="e">
        <f t="shared" si="124"/>
        <v>#REF!</v>
      </c>
    </row>
    <row r="328" spans="1:12" s="115" customFormat="1">
      <c r="A328" s="209" t="s">
        <v>14</v>
      </c>
      <c r="B328" s="381">
        <f t="shared" si="121"/>
        <v>4.3333333333333286</v>
      </c>
      <c r="C328" s="382">
        <f t="shared" si="122"/>
        <v>4.999999999999994E-2</v>
      </c>
      <c r="D328" s="375" t="s">
        <v>103</v>
      </c>
      <c r="E328" s="381">
        <f t="shared" ref="E328" si="131">F319-E319</f>
        <v>5167.8799999999756</v>
      </c>
      <c r="F328" s="382">
        <f t="shared" ref="F328" si="132">E328/E319</f>
        <v>3.2109243551285117E-2</v>
      </c>
      <c r="G328" s="381" t="e">
        <f t="shared" ref="G328" si="133">H319-G319</f>
        <v>#REF!</v>
      </c>
      <c r="H328" s="382" t="e">
        <f t="shared" ref="H328" si="134">G328/G319</f>
        <v>#REF!</v>
      </c>
      <c r="I328" s="381">
        <f t="shared" ref="I328" si="135">J319-I319</f>
        <v>-31.64241758241792</v>
      </c>
      <c r="J328" s="382">
        <f t="shared" si="123"/>
        <v>-1.7038815665442783E-2</v>
      </c>
      <c r="K328" s="381" t="e">
        <f t="shared" ref="K328" si="136">L319-K319</f>
        <v>#REF!</v>
      </c>
      <c r="L328" s="206" t="e">
        <f t="shared" si="124"/>
        <v>#REF!</v>
      </c>
    </row>
    <row r="329" spans="1:12" s="115" customFormat="1">
      <c r="A329" s="209" t="s">
        <v>15</v>
      </c>
      <c r="B329" s="381">
        <f t="shared" si="121"/>
        <v>-0.33333333333334281</v>
      </c>
      <c r="C329" s="382">
        <f t="shared" si="122"/>
        <v>-2.0597322348095332E-3</v>
      </c>
      <c r="D329" s="375" t="s">
        <v>103</v>
      </c>
      <c r="E329" s="381">
        <f t="shared" ref="E329" si="137">F320-E320</f>
        <v>4.4499999999999318</v>
      </c>
      <c r="F329" s="382">
        <f t="shared" ref="F329" si="138">E329/E320</f>
        <v>1.5425679423183345E-2</v>
      </c>
      <c r="G329" s="381" t="e">
        <f t="shared" ref="G329" si="139">H320-G320</f>
        <v>#REF!</v>
      </c>
      <c r="H329" s="382" t="e">
        <f t="shared" ref="H329" si="140">G329/G320</f>
        <v>#REF!</v>
      </c>
      <c r="I329" s="381">
        <f t="shared" ref="I329" si="141">J320-I320</f>
        <v>3.1233384242091544E-2</v>
      </c>
      <c r="J329" s="382">
        <f t="shared" si="123"/>
        <v>1.7521501258938164E-2</v>
      </c>
      <c r="K329" s="381" t="e">
        <f t="shared" ref="K329" si="142">L320-K320</f>
        <v>#REF!</v>
      </c>
      <c r="L329" s="206" t="e">
        <f t="shared" si="124"/>
        <v>#REF!</v>
      </c>
    </row>
    <row r="330" spans="1:12" s="115" customFormat="1">
      <c r="A330" s="209" t="s">
        <v>16</v>
      </c>
      <c r="B330" s="381">
        <f t="shared" si="121"/>
        <v>124</v>
      </c>
      <c r="C330" s="382">
        <f t="shared" si="122"/>
        <v>4.1705204742285375E-2</v>
      </c>
      <c r="D330" s="375" t="s">
        <v>103</v>
      </c>
      <c r="E330" s="381">
        <f t="shared" ref="E330" si="143">F321-E321</f>
        <v>112.26999999999998</v>
      </c>
      <c r="F330" s="382">
        <f t="shared" ref="F330" si="144">E330/E321</f>
        <v>6.3971874483615285E-2</v>
      </c>
      <c r="G330" s="381" t="e">
        <f t="shared" ref="G330" si="145">H321-G321</f>
        <v>#REF!</v>
      </c>
      <c r="H330" s="382" t="e">
        <f t="shared" ref="H330" si="146">G330/G321</f>
        <v>#REF!</v>
      </c>
      <c r="I330" s="381">
        <f t="shared" ref="I330" si="147">J321-I321</f>
        <v>1.2616928801141847E-2</v>
      </c>
      <c r="J330" s="382">
        <f t="shared" si="123"/>
        <v>2.1375212142516479E-2</v>
      </c>
      <c r="K330" s="381" t="e">
        <f t="shared" ref="K330" si="148">L321-K321</f>
        <v>#REF!</v>
      </c>
      <c r="L330" s="206" t="e">
        <f t="shared" si="124"/>
        <v>#REF!</v>
      </c>
    </row>
    <row r="331" spans="1:12" s="115" customFormat="1">
      <c r="A331" s="209" t="s">
        <v>17</v>
      </c>
      <c r="B331" s="381">
        <f t="shared" si="121"/>
        <v>0.5</v>
      </c>
      <c r="C331" s="382">
        <f t="shared" si="122"/>
        <v>6.8027210884353739E-3</v>
      </c>
      <c r="D331" s="375" t="s">
        <v>102</v>
      </c>
      <c r="E331" s="381">
        <f t="shared" ref="E331:E332" si="149">F322-E322</f>
        <v>22717.999999999942</v>
      </c>
      <c r="F331" s="382">
        <f t="shared" ref="F331:F332" si="150">E331/E322</f>
        <v>4.9365922346130651E-2</v>
      </c>
      <c r="G331" s="381" t="e">
        <f t="shared" ref="G331:G332" si="151">H322-G322</f>
        <v>#REF!</v>
      </c>
      <c r="H331" s="382" t="e">
        <f t="shared" ref="H331:H332" si="152">G331/G322</f>
        <v>#REF!</v>
      </c>
      <c r="I331" s="381">
        <f t="shared" ref="I331:I332" si="153">J322-I322</f>
        <v>264.69479683765348</v>
      </c>
      <c r="J331" s="382">
        <f t="shared" si="123"/>
        <v>4.2275612060008197E-2</v>
      </c>
      <c r="K331" s="381" t="e">
        <f t="shared" ref="K331:K332" si="154">L322-K322</f>
        <v>#REF!</v>
      </c>
      <c r="L331" s="206" t="e">
        <f t="shared" si="124"/>
        <v>#REF!</v>
      </c>
    </row>
    <row r="332" spans="1:12" s="115" customFormat="1" ht="13.5" thickBot="1">
      <c r="A332" s="189" t="s">
        <v>18</v>
      </c>
      <c r="B332" s="191">
        <f t="shared" si="121"/>
        <v>0</v>
      </c>
      <c r="C332" s="198">
        <f t="shared" si="122"/>
        <v>0</v>
      </c>
      <c r="D332" s="193" t="s">
        <v>103</v>
      </c>
      <c r="E332" s="191">
        <f t="shared" si="149"/>
        <v>220.5</v>
      </c>
      <c r="F332" s="198">
        <f t="shared" si="150"/>
        <v>9.6558066211245408E-2</v>
      </c>
      <c r="G332" s="191" t="e">
        <f t="shared" si="151"/>
        <v>#REF!</v>
      </c>
      <c r="H332" s="198" t="e">
        <f t="shared" si="152"/>
        <v>#REF!</v>
      </c>
      <c r="I332" s="191">
        <f t="shared" si="153"/>
        <v>220.5</v>
      </c>
      <c r="J332" s="198">
        <f t="shared" si="123"/>
        <v>9.6558066211245408E-2</v>
      </c>
      <c r="K332" s="191" t="e">
        <f t="shared" si="154"/>
        <v>#REF!</v>
      </c>
      <c r="L332" s="214" t="e">
        <f t="shared" si="124"/>
        <v>#REF!</v>
      </c>
    </row>
    <row r="333" spans="1:12" s="115" customFormat="1" ht="13.5" thickBot="1">
      <c r="A333" s="216" t="s">
        <v>19</v>
      </c>
      <c r="B333" s="186">
        <f>SUM(B326:B331)</f>
        <v>1039.1666666666686</v>
      </c>
      <c r="C333" s="217">
        <f t="shared" si="122"/>
        <v>5.2069632172101296E-2</v>
      </c>
      <c r="D333" s="162"/>
      <c r="E333" s="162"/>
      <c r="F333" s="162"/>
      <c r="G333" s="162"/>
      <c r="H333" s="162"/>
      <c r="I333" s="162"/>
      <c r="J333" s="162"/>
      <c r="K333" s="162"/>
      <c r="L333" s="162"/>
    </row>
    <row r="334" spans="1:12" s="115" customFormat="1"/>
    <row r="335" spans="1:12" s="115" customFormat="1">
      <c r="A335" s="190" t="s">
        <v>113</v>
      </c>
      <c r="B335" s="162"/>
      <c r="C335" s="162"/>
      <c r="D335" s="162"/>
      <c r="E335" s="162"/>
    </row>
    <row r="336" spans="1:12" s="115" customFormat="1" ht="25.5">
      <c r="A336" s="369" t="s">
        <v>89</v>
      </c>
      <c r="B336" s="369" t="s">
        <v>109</v>
      </c>
      <c r="C336" s="369" t="s">
        <v>114</v>
      </c>
      <c r="D336" s="369" t="s">
        <v>91</v>
      </c>
      <c r="E336" s="369" t="s">
        <v>92</v>
      </c>
    </row>
    <row r="337" spans="1:12" s="115" customFormat="1">
      <c r="A337" s="370" t="s">
        <v>12</v>
      </c>
      <c r="B337" s="371">
        <f>C305</f>
        <v>8572644.2100000009</v>
      </c>
      <c r="C337" s="371">
        <v>9054177.0800000001</v>
      </c>
      <c r="D337" s="372">
        <f>C337-B337</f>
        <v>481532.86999999918</v>
      </c>
      <c r="E337" s="373">
        <f>D337/B337</f>
        <v>5.6170868428003867E-2</v>
      </c>
    </row>
    <row r="338" spans="1:12" s="115" customFormat="1">
      <c r="A338" s="370" t="s">
        <v>13</v>
      </c>
      <c r="B338" s="371">
        <f t="shared" ref="B338:B342" si="155">C306</f>
        <v>892517.14</v>
      </c>
      <c r="C338" s="371">
        <v>964496.07</v>
      </c>
      <c r="D338" s="372">
        <f t="shared" ref="D338:D343" si="156">C338-B338</f>
        <v>71978.929999999935</v>
      </c>
      <c r="E338" s="373">
        <f t="shared" ref="E338:E342" si="157">D338/B338</f>
        <v>8.0647112278426303E-2</v>
      </c>
    </row>
    <row r="339" spans="1:12" s="115" customFormat="1">
      <c r="A339" s="370" t="s">
        <v>14</v>
      </c>
      <c r="B339" s="371">
        <f t="shared" si="155"/>
        <v>938165.36</v>
      </c>
      <c r="C339" s="371">
        <v>941779.83</v>
      </c>
      <c r="D339" s="372">
        <f t="shared" si="156"/>
        <v>3614.4699999999721</v>
      </c>
      <c r="E339" s="373">
        <f t="shared" si="157"/>
        <v>3.8527003384562952E-3</v>
      </c>
    </row>
    <row r="340" spans="1:12" s="115" customFormat="1">
      <c r="A340" s="370" t="s">
        <v>15</v>
      </c>
      <c r="B340" s="371">
        <f t="shared" si="155"/>
        <v>43622.02</v>
      </c>
      <c r="C340" s="383">
        <v>44016.3</v>
      </c>
      <c r="D340" s="372">
        <f t="shared" si="156"/>
        <v>394.28000000000611</v>
      </c>
      <c r="E340" s="373">
        <f t="shared" si="157"/>
        <v>9.0385543814799525E-3</v>
      </c>
    </row>
    <row r="341" spans="1:12" s="115" customFormat="1">
      <c r="A341" s="370" t="s">
        <v>16</v>
      </c>
      <c r="B341" s="371">
        <f t="shared" si="155"/>
        <v>220412.85</v>
      </c>
      <c r="C341" s="383">
        <v>218123.97</v>
      </c>
      <c r="D341" s="372">
        <f t="shared" si="156"/>
        <v>-2288.8800000000047</v>
      </c>
      <c r="E341" s="373">
        <f t="shared" si="157"/>
        <v>-1.0384512518213002E-2</v>
      </c>
    </row>
    <row r="342" spans="1:12" s="115" customFormat="1" ht="13.5" thickBot="1">
      <c r="A342" s="215" t="s">
        <v>17</v>
      </c>
      <c r="B342" s="203">
        <f t="shared" si="155"/>
        <v>21335.31</v>
      </c>
      <c r="C342" s="203">
        <v>22016.3</v>
      </c>
      <c r="D342" s="210">
        <f t="shared" si="156"/>
        <v>680.98999999999796</v>
      </c>
      <c r="E342" s="212">
        <f t="shared" si="157"/>
        <v>3.1918448806227698E-2</v>
      </c>
    </row>
    <row r="343" spans="1:12" s="115" customFormat="1">
      <c r="A343" s="211" t="s">
        <v>19</v>
      </c>
      <c r="B343" s="205">
        <f>SUM(B337:B342)</f>
        <v>10688696.890000001</v>
      </c>
      <c r="C343" s="205">
        <f>SUM(C337:C342)</f>
        <v>11244609.550000003</v>
      </c>
      <c r="D343" s="195">
        <f t="shared" si="156"/>
        <v>555912.66000000201</v>
      </c>
      <c r="E343" s="192">
        <f>D343/B343</f>
        <v>5.2009395132169567E-2</v>
      </c>
    </row>
    <row r="344" spans="1:12" s="115" customFormat="1" ht="13.5" thickBot="1"/>
    <row r="345" spans="1:12" s="115" customFormat="1" ht="13.5" thickBot="1">
      <c r="A345" s="190" t="s">
        <v>115</v>
      </c>
      <c r="B345" s="162"/>
      <c r="C345" s="162"/>
      <c r="D345" s="162"/>
      <c r="E345" s="162"/>
      <c r="F345" s="162"/>
      <c r="G345" s="162"/>
      <c r="H345" s="162"/>
      <c r="K345" s="194" t="s">
        <v>112</v>
      </c>
      <c r="L345" s="201" t="e">
        <f>$F$120</f>
        <v>#REF!</v>
      </c>
    </row>
    <row r="346" spans="1:12" s="115" customFormat="1" ht="13.5" thickBot="1">
      <c r="A346" s="190"/>
      <c r="B346" s="162"/>
      <c r="C346" s="162"/>
      <c r="D346" s="162"/>
      <c r="E346" s="162"/>
      <c r="F346" s="162"/>
      <c r="G346" s="162"/>
      <c r="H346" s="162"/>
      <c r="I346" s="162"/>
      <c r="J346" s="162"/>
      <c r="K346" s="194" t="s">
        <v>116</v>
      </c>
      <c r="L346" s="201" t="e">
        <f>$F$121</f>
        <v>#REF!</v>
      </c>
    </row>
    <row r="347" spans="1:12" s="115" customFormat="1" ht="42" customHeight="1">
      <c r="A347" s="279" t="s">
        <v>95</v>
      </c>
      <c r="B347" s="281" t="s">
        <v>96</v>
      </c>
      <c r="C347" s="281"/>
      <c r="D347" s="281" t="s">
        <v>97</v>
      </c>
      <c r="E347" s="282" t="s">
        <v>98</v>
      </c>
      <c r="F347" s="282"/>
      <c r="G347" s="282" t="s">
        <v>99</v>
      </c>
      <c r="H347" s="282"/>
      <c r="I347" s="282" t="s">
        <v>100</v>
      </c>
      <c r="J347" s="282"/>
      <c r="K347" s="282" t="s">
        <v>101</v>
      </c>
      <c r="L347" s="283"/>
    </row>
    <row r="348" spans="1:12" s="115" customFormat="1">
      <c r="A348" s="280"/>
      <c r="B348" s="343" t="s">
        <v>109</v>
      </c>
      <c r="C348" s="343" t="s">
        <v>114</v>
      </c>
      <c r="D348" s="374"/>
      <c r="E348" s="343" t="s">
        <v>109</v>
      </c>
      <c r="F348" s="343" t="s">
        <v>114</v>
      </c>
      <c r="G348" s="343" t="s">
        <v>109</v>
      </c>
      <c r="H348" s="343" t="s">
        <v>114</v>
      </c>
      <c r="I348" s="343" t="s">
        <v>109</v>
      </c>
      <c r="J348" s="343" t="s">
        <v>114</v>
      </c>
      <c r="K348" s="343" t="s">
        <v>109</v>
      </c>
      <c r="L348" s="199" t="s">
        <v>114</v>
      </c>
    </row>
    <row r="349" spans="1:12" s="115" customFormat="1">
      <c r="A349" s="209" t="s">
        <v>12</v>
      </c>
      <c r="B349" s="372">
        <f>C317</f>
        <v>16490.666666666668</v>
      </c>
      <c r="C349" s="372">
        <f>$E$236</f>
        <v>17294.333333333332</v>
      </c>
      <c r="D349" s="375" t="s">
        <v>102</v>
      </c>
      <c r="E349" s="372">
        <f>F317</f>
        <v>160853753.41</v>
      </c>
      <c r="F349" s="372">
        <f>$E$237</f>
        <v>161284519.66999996</v>
      </c>
      <c r="G349" s="376" t="e">
        <f>E349*$L$345</f>
        <v>#REF!</v>
      </c>
      <c r="H349" s="376" t="e">
        <f>F349*$L$346</f>
        <v>#REF!</v>
      </c>
      <c r="I349" s="372">
        <f>E349/B349</f>
        <v>9754.2298720488343</v>
      </c>
      <c r="J349" s="372">
        <f>F349/C349</f>
        <v>9325.8593182738059</v>
      </c>
      <c r="K349" s="372" t="e">
        <f>G349/B349</f>
        <v>#REF!</v>
      </c>
      <c r="L349" s="185" t="e">
        <f>H349/C349</f>
        <v>#REF!</v>
      </c>
    </row>
    <row r="350" spans="1:12" s="115" customFormat="1">
      <c r="A350" s="209" t="s">
        <v>13</v>
      </c>
      <c r="B350" s="372">
        <f t="shared" ref="B350:B355" si="158">C318</f>
        <v>1081</v>
      </c>
      <c r="C350" s="372">
        <f>$E$240</f>
        <v>1118.5833333333333</v>
      </c>
      <c r="D350" s="375" t="s">
        <v>102</v>
      </c>
      <c r="E350" s="372">
        <f t="shared" ref="E350:E355" si="159">F318</f>
        <v>35963905.180000007</v>
      </c>
      <c r="F350" s="372">
        <f>$E$241</f>
        <v>42044856.089999989</v>
      </c>
      <c r="G350" s="376" t="e">
        <f t="shared" ref="G350:G355" si="160">E350*$L$345</f>
        <v>#REF!</v>
      </c>
      <c r="H350" s="376" t="e">
        <f t="shared" ref="H350:H355" si="161">F350*$L$346</f>
        <v>#REF!</v>
      </c>
      <c r="I350" s="372">
        <f t="shared" ref="I350:I355" si="162">E350/B350</f>
        <v>33269.107474560602</v>
      </c>
      <c r="J350" s="372">
        <f t="shared" ref="J350:J355" si="163">F350/C350</f>
        <v>37587.593911942182</v>
      </c>
      <c r="K350" s="372" t="e">
        <f t="shared" ref="K350:K355" si="164">G350/B350</f>
        <v>#REF!</v>
      </c>
      <c r="L350" s="185" t="e">
        <f t="shared" ref="L350:L355" si="165">H350/C350</f>
        <v>#REF!</v>
      </c>
    </row>
    <row r="351" spans="1:12" s="115" customFormat="1">
      <c r="A351" s="209" t="s">
        <v>14</v>
      </c>
      <c r="B351" s="372">
        <f t="shared" si="158"/>
        <v>91</v>
      </c>
      <c r="C351" s="372">
        <f>$E$244</f>
        <v>86.583333333333329</v>
      </c>
      <c r="D351" s="375" t="s">
        <v>103</v>
      </c>
      <c r="E351" s="372">
        <f t="shared" si="159"/>
        <v>166114.67999999996</v>
      </c>
      <c r="F351" s="377">
        <f>$E$246</f>
        <v>161952.01999999999</v>
      </c>
      <c r="G351" s="376" t="e">
        <f t="shared" si="160"/>
        <v>#REF!</v>
      </c>
      <c r="H351" s="376" t="e">
        <f t="shared" si="161"/>
        <v>#REF!</v>
      </c>
      <c r="I351" s="372">
        <f t="shared" si="162"/>
        <v>1825.4360439560435</v>
      </c>
      <c r="J351" s="372">
        <f t="shared" si="163"/>
        <v>1870.4756881616938</v>
      </c>
      <c r="K351" s="372" t="e">
        <f t="shared" si="164"/>
        <v>#REF!</v>
      </c>
      <c r="L351" s="185" t="e">
        <f t="shared" si="165"/>
        <v>#REF!</v>
      </c>
    </row>
    <row r="352" spans="1:12" s="115" customFormat="1">
      <c r="A352" s="209" t="s">
        <v>15</v>
      </c>
      <c r="B352" s="372">
        <f t="shared" si="158"/>
        <v>161.5</v>
      </c>
      <c r="C352" s="372">
        <f>$E$249</f>
        <v>159.91666666666666</v>
      </c>
      <c r="D352" s="375" t="s">
        <v>103</v>
      </c>
      <c r="E352" s="372">
        <f t="shared" si="159"/>
        <v>292.92999999999995</v>
      </c>
      <c r="F352" s="377">
        <f>$E$251</f>
        <v>288.35000000000002</v>
      </c>
      <c r="G352" s="376" t="e">
        <f t="shared" si="160"/>
        <v>#REF!</v>
      </c>
      <c r="H352" s="376" t="e">
        <f t="shared" si="161"/>
        <v>#REF!</v>
      </c>
      <c r="I352" s="372">
        <f t="shared" si="162"/>
        <v>1.8138080495356035</v>
      </c>
      <c r="J352" s="372">
        <f t="shared" si="163"/>
        <v>1.8031266284523191</v>
      </c>
      <c r="K352" s="372" t="e">
        <f t="shared" si="164"/>
        <v>#REF!</v>
      </c>
      <c r="L352" s="185" t="e">
        <f t="shared" si="165"/>
        <v>#REF!</v>
      </c>
    </row>
    <row r="353" spans="1:12" s="115" customFormat="1">
      <c r="A353" s="209" t="s">
        <v>16</v>
      </c>
      <c r="B353" s="372">
        <f t="shared" si="158"/>
        <v>3097.25</v>
      </c>
      <c r="C353" s="372">
        <f>$E$254</f>
        <v>3306.75</v>
      </c>
      <c r="D353" s="375" t="s">
        <v>103</v>
      </c>
      <c r="E353" s="372">
        <f t="shared" si="159"/>
        <v>1867.2599999999998</v>
      </c>
      <c r="F353" s="377">
        <f>$E$256</f>
        <v>1982.6500000000005</v>
      </c>
      <c r="G353" s="376" t="e">
        <f t="shared" si="160"/>
        <v>#REF!</v>
      </c>
      <c r="H353" s="376" t="e">
        <f t="shared" si="161"/>
        <v>#REF!</v>
      </c>
      <c r="I353" s="372">
        <f t="shared" si="162"/>
        <v>0.60287674550004033</v>
      </c>
      <c r="J353" s="372">
        <f t="shared" si="163"/>
        <v>0.59957662357299479</v>
      </c>
      <c r="K353" s="372" t="e">
        <f t="shared" si="164"/>
        <v>#REF!</v>
      </c>
      <c r="L353" s="185" t="e">
        <f t="shared" si="165"/>
        <v>#REF!</v>
      </c>
    </row>
    <row r="354" spans="1:12" s="115" customFormat="1">
      <c r="A354" s="209" t="s">
        <v>17</v>
      </c>
      <c r="B354" s="372">
        <f t="shared" si="158"/>
        <v>74</v>
      </c>
      <c r="C354" s="372">
        <f>$E$259</f>
        <v>74.5</v>
      </c>
      <c r="D354" s="375" t="s">
        <v>102</v>
      </c>
      <c r="E354" s="372">
        <f t="shared" si="159"/>
        <v>482913.99999999994</v>
      </c>
      <c r="F354" s="377">
        <f>$E$260</f>
        <v>485587.00000000012</v>
      </c>
      <c r="G354" s="376" t="e">
        <f t="shared" si="160"/>
        <v>#REF!</v>
      </c>
      <c r="H354" s="376" t="e">
        <f t="shared" si="161"/>
        <v>#REF!</v>
      </c>
      <c r="I354" s="372">
        <f t="shared" si="162"/>
        <v>6525.8648648648641</v>
      </c>
      <c r="J354" s="372">
        <f t="shared" si="163"/>
        <v>6517.9463087248341</v>
      </c>
      <c r="K354" s="372" t="e">
        <f t="shared" si="164"/>
        <v>#REF!</v>
      </c>
      <c r="L354" s="185" t="e">
        <f t="shared" si="165"/>
        <v>#REF!</v>
      </c>
    </row>
    <row r="355" spans="1:12" s="115" customFormat="1" ht="13.5" thickBot="1">
      <c r="A355" s="189" t="s">
        <v>18</v>
      </c>
      <c r="B355" s="210">
        <f t="shared" si="158"/>
        <v>1</v>
      </c>
      <c r="C355" s="210">
        <f>$E$263</f>
        <v>1</v>
      </c>
      <c r="D355" s="193" t="s">
        <v>103</v>
      </c>
      <c r="E355" s="210">
        <f t="shared" si="159"/>
        <v>2504.1</v>
      </c>
      <c r="F355" s="204">
        <f>$E$265</f>
        <v>2185.1999999999998</v>
      </c>
      <c r="G355" s="207" t="e">
        <f t="shared" si="160"/>
        <v>#REF!</v>
      </c>
      <c r="H355" s="207" t="e">
        <f t="shared" si="161"/>
        <v>#REF!</v>
      </c>
      <c r="I355" s="210">
        <f t="shared" si="162"/>
        <v>2504.1</v>
      </c>
      <c r="J355" s="210">
        <f t="shared" si="163"/>
        <v>2185.1999999999998</v>
      </c>
      <c r="K355" s="210" t="e">
        <f t="shared" si="164"/>
        <v>#REF!</v>
      </c>
      <c r="L355" s="208" t="e">
        <f t="shared" si="165"/>
        <v>#REF!</v>
      </c>
    </row>
    <row r="356" spans="1:12" s="115" customFormat="1" ht="13.5" thickBot="1">
      <c r="A356" s="197" t="s">
        <v>19</v>
      </c>
      <c r="B356" s="188">
        <f>SUM(B349:B355)</f>
        <v>20996.416666666668</v>
      </c>
      <c r="C356" s="188">
        <f>SUM(C349:C355)</f>
        <v>22041.666666666664</v>
      </c>
      <c r="D356" s="196"/>
      <c r="E356" s="196"/>
      <c r="F356" s="196"/>
      <c r="G356" s="196"/>
      <c r="H356" s="196"/>
      <c r="I356" s="196"/>
      <c r="J356" s="196"/>
      <c r="K356" s="196"/>
      <c r="L356" s="196"/>
    </row>
    <row r="357" spans="1:12" s="115" customFormat="1">
      <c r="A357" s="218" t="s">
        <v>104</v>
      </c>
      <c r="B357" s="200" t="s">
        <v>105</v>
      </c>
      <c r="C357" s="200" t="s">
        <v>106</v>
      </c>
      <c r="D357" s="219"/>
      <c r="E357" s="200" t="s">
        <v>98</v>
      </c>
      <c r="F357" s="200" t="s">
        <v>106</v>
      </c>
      <c r="G357" s="200" t="s">
        <v>98</v>
      </c>
      <c r="H357" s="200" t="s">
        <v>106</v>
      </c>
      <c r="I357" s="200" t="s">
        <v>107</v>
      </c>
      <c r="J357" s="200" t="s">
        <v>106</v>
      </c>
      <c r="K357" s="200" t="s">
        <v>107</v>
      </c>
      <c r="L357" s="220" t="s">
        <v>106</v>
      </c>
    </row>
    <row r="358" spans="1:12" s="115" customFormat="1">
      <c r="A358" s="209" t="s">
        <v>12</v>
      </c>
      <c r="B358" s="381">
        <f t="shared" ref="B358:B364" si="166">C349-B349</f>
        <v>803.66666666666424</v>
      </c>
      <c r="C358" s="382">
        <f t="shared" ref="C358:C365" si="167">B358/B349</f>
        <v>4.8734637774902827E-2</v>
      </c>
      <c r="D358" s="375" t="s">
        <v>102</v>
      </c>
      <c r="E358" s="381">
        <f>F349-E349</f>
        <v>430766.25999996066</v>
      </c>
      <c r="F358" s="382">
        <f>E358/E349</f>
        <v>2.6779994303395638E-3</v>
      </c>
      <c r="G358" s="381" t="e">
        <f>H349-G349</f>
        <v>#REF!</v>
      </c>
      <c r="H358" s="382" t="e">
        <f>G358/G349</f>
        <v>#REF!</v>
      </c>
      <c r="I358" s="381">
        <f>J349-I349</f>
        <v>-428.37055377502838</v>
      </c>
      <c r="J358" s="382">
        <f t="shared" ref="J358:J364" si="168">I358/I349</f>
        <v>-4.391638903267419E-2</v>
      </c>
      <c r="K358" s="381" t="e">
        <f>L349-K349</f>
        <v>#REF!</v>
      </c>
      <c r="L358" s="206" t="e">
        <f t="shared" ref="L358:L364" si="169">K358/K349</f>
        <v>#REF!</v>
      </c>
    </row>
    <row r="359" spans="1:12" s="115" customFormat="1">
      <c r="A359" s="209" t="s">
        <v>13</v>
      </c>
      <c r="B359" s="381">
        <f t="shared" si="166"/>
        <v>37.583333333333258</v>
      </c>
      <c r="C359" s="382">
        <f t="shared" si="167"/>
        <v>3.4767190872648714E-2</v>
      </c>
      <c r="D359" s="375" t="s">
        <v>102</v>
      </c>
      <c r="E359" s="381">
        <f t="shared" ref="E359" si="170">F350-E350</f>
        <v>6080950.9099999815</v>
      </c>
      <c r="F359" s="382">
        <f t="shared" ref="F359" si="171">E359/E350</f>
        <v>0.16908483323945803</v>
      </c>
      <c r="G359" s="381" t="e">
        <f t="shared" ref="G359" si="172">H350-G350</f>
        <v>#REF!</v>
      </c>
      <c r="H359" s="382" t="e">
        <f t="shared" ref="H359" si="173">G359/G350</f>
        <v>#REF!</v>
      </c>
      <c r="I359" s="381">
        <f t="shared" ref="I359" si="174">J350-I350</f>
        <v>4318.4864373815799</v>
      </c>
      <c r="J359" s="382">
        <f t="shared" si="168"/>
        <v>0.12980469766685906</v>
      </c>
      <c r="K359" s="381" t="e">
        <f t="shared" ref="K359" si="175">L350-K350</f>
        <v>#REF!</v>
      </c>
      <c r="L359" s="206" t="e">
        <f t="shared" si="169"/>
        <v>#REF!</v>
      </c>
    </row>
    <row r="360" spans="1:12" s="115" customFormat="1">
      <c r="A360" s="209" t="s">
        <v>14</v>
      </c>
      <c r="B360" s="381">
        <f t="shared" si="166"/>
        <v>-4.4166666666666714</v>
      </c>
      <c r="C360" s="382">
        <f t="shared" si="167"/>
        <v>-4.8534798534798584E-2</v>
      </c>
      <c r="D360" s="375" t="s">
        <v>103</v>
      </c>
      <c r="E360" s="381">
        <f t="shared" ref="E360" si="176">F351-E351</f>
        <v>-4162.6599999999744</v>
      </c>
      <c r="F360" s="382">
        <f t="shared" ref="F360" si="177">E360/E351</f>
        <v>-2.5058953248442432E-2</v>
      </c>
      <c r="G360" s="381" t="e">
        <f t="shared" ref="G360" si="178">H351-G351</f>
        <v>#REF!</v>
      </c>
      <c r="H360" s="382" t="e">
        <f t="shared" ref="H360" si="179">G360/G351</f>
        <v>#REF!</v>
      </c>
      <c r="I360" s="381">
        <f t="shared" ref="I360" si="180">J351-I351</f>
        <v>45.039644205650347</v>
      </c>
      <c r="J360" s="382">
        <f t="shared" si="168"/>
        <v>2.4673361937151989E-2</v>
      </c>
      <c r="K360" s="381" t="e">
        <f t="shared" ref="K360" si="181">L351-K351</f>
        <v>#REF!</v>
      </c>
      <c r="L360" s="206" t="e">
        <f t="shared" si="169"/>
        <v>#REF!</v>
      </c>
    </row>
    <row r="361" spans="1:12" s="115" customFormat="1">
      <c r="A361" s="209" t="s">
        <v>15</v>
      </c>
      <c r="B361" s="381">
        <f t="shared" si="166"/>
        <v>-1.5833333333333428</v>
      </c>
      <c r="C361" s="382">
        <f t="shared" si="167"/>
        <v>-9.8039215686275098E-3</v>
      </c>
      <c r="D361" s="375" t="s">
        <v>103</v>
      </c>
      <c r="E361" s="381">
        <f t="shared" ref="E361" si="182">F352-E352</f>
        <v>-4.5799999999999272</v>
      </c>
      <c r="F361" s="382">
        <f t="shared" ref="F361" si="183">E361/E352</f>
        <v>-1.5635134673812612E-2</v>
      </c>
      <c r="G361" s="381" t="e">
        <f t="shared" ref="G361" si="184">H352-G352</f>
        <v>#REF!</v>
      </c>
      <c r="H361" s="382" t="e">
        <f t="shared" ref="H361" si="185">G361/G352</f>
        <v>#REF!</v>
      </c>
      <c r="I361" s="381">
        <f t="shared" ref="I361" si="186">J352-I352</f>
        <v>-1.0681421083284404E-2</v>
      </c>
      <c r="J361" s="382">
        <f t="shared" si="168"/>
        <v>-5.8889478884048456E-3</v>
      </c>
      <c r="K361" s="381" t="e">
        <f t="shared" ref="K361" si="187">L352-K352</f>
        <v>#REF!</v>
      </c>
      <c r="L361" s="206" t="e">
        <f t="shared" si="169"/>
        <v>#REF!</v>
      </c>
    </row>
    <row r="362" spans="1:12" s="115" customFormat="1">
      <c r="A362" s="209" t="s">
        <v>16</v>
      </c>
      <c r="B362" s="381">
        <f t="shared" si="166"/>
        <v>209.5</v>
      </c>
      <c r="C362" s="382">
        <f t="shared" si="167"/>
        <v>6.7640648962789568E-2</v>
      </c>
      <c r="D362" s="375" t="s">
        <v>103</v>
      </c>
      <c r="E362" s="381">
        <f t="shared" ref="E362" si="188">F353-E353</f>
        <v>115.39000000000078</v>
      </c>
      <c r="F362" s="382">
        <f t="shared" ref="F362" si="189">E362/E353</f>
        <v>6.1796428992213617E-2</v>
      </c>
      <c r="G362" s="381" t="e">
        <f t="shared" ref="G362" si="190">H353-G353</f>
        <v>#REF!</v>
      </c>
      <c r="H362" s="382" t="e">
        <f t="shared" ref="H362" si="191">G362/G353</f>
        <v>#REF!</v>
      </c>
      <c r="I362" s="381">
        <f t="shared" ref="I362" si="192">J353-I353</f>
        <v>-3.3001219270455406E-3</v>
      </c>
      <c r="J362" s="382">
        <f t="shared" si="168"/>
        <v>-5.4739579054560164E-3</v>
      </c>
      <c r="K362" s="381" t="e">
        <f t="shared" ref="K362" si="193">L353-K353</f>
        <v>#REF!</v>
      </c>
      <c r="L362" s="206" t="e">
        <f t="shared" si="169"/>
        <v>#REF!</v>
      </c>
    </row>
    <row r="363" spans="1:12" s="115" customFormat="1">
      <c r="A363" s="209" t="s">
        <v>17</v>
      </c>
      <c r="B363" s="381">
        <f t="shared" si="166"/>
        <v>0.5</v>
      </c>
      <c r="C363" s="382">
        <f t="shared" si="167"/>
        <v>6.7567567567567571E-3</v>
      </c>
      <c r="D363" s="375" t="s">
        <v>102</v>
      </c>
      <c r="E363" s="381">
        <f t="shared" ref="E363" si="194">F354-E354</f>
        <v>2673.0000000001746</v>
      </c>
      <c r="F363" s="382">
        <f t="shared" ref="F363" si="195">E363/E354</f>
        <v>5.535147044815795E-3</v>
      </c>
      <c r="G363" s="381" t="e">
        <f t="shared" ref="G363" si="196">H354-G354</f>
        <v>#REF!</v>
      </c>
      <c r="H363" s="382" t="e">
        <f t="shared" ref="H363" si="197">G363/G354</f>
        <v>#REF!</v>
      </c>
      <c r="I363" s="381">
        <f t="shared" ref="I363" si="198">J354-I354</f>
        <v>-7.9185561400299775</v>
      </c>
      <c r="J363" s="382">
        <f t="shared" si="168"/>
        <v>-1.2134109890419792E-3</v>
      </c>
      <c r="K363" s="381" t="e">
        <f t="shared" ref="K363" si="199">L354-K354</f>
        <v>#REF!</v>
      </c>
      <c r="L363" s="206" t="e">
        <f t="shared" si="169"/>
        <v>#REF!</v>
      </c>
    </row>
    <row r="364" spans="1:12" s="115" customFormat="1" ht="13.5" thickBot="1">
      <c r="A364" s="189" t="s">
        <v>18</v>
      </c>
      <c r="B364" s="191">
        <f t="shared" si="166"/>
        <v>0</v>
      </c>
      <c r="C364" s="198">
        <f t="shared" si="167"/>
        <v>0</v>
      </c>
      <c r="D364" s="193" t="s">
        <v>103</v>
      </c>
      <c r="E364" s="191">
        <f t="shared" ref="E364" si="200">F355-E355</f>
        <v>-318.90000000000009</v>
      </c>
      <c r="F364" s="198">
        <f t="shared" ref="F364" si="201">E364/E355</f>
        <v>-0.12735114412363727</v>
      </c>
      <c r="G364" s="191" t="e">
        <f t="shared" ref="G364" si="202">H355-G355</f>
        <v>#REF!</v>
      </c>
      <c r="H364" s="198" t="e">
        <f t="shared" ref="H364" si="203">G364/G355</f>
        <v>#REF!</v>
      </c>
      <c r="I364" s="191">
        <f t="shared" ref="I364" si="204">J355-I355</f>
        <v>-318.90000000000009</v>
      </c>
      <c r="J364" s="198">
        <f t="shared" si="168"/>
        <v>-0.12735114412363727</v>
      </c>
      <c r="K364" s="191" t="e">
        <f t="shared" ref="K364" si="205">L355-K355</f>
        <v>#REF!</v>
      </c>
      <c r="L364" s="214" t="e">
        <f t="shared" si="169"/>
        <v>#REF!</v>
      </c>
    </row>
    <row r="365" spans="1:12" s="115" customFormat="1" ht="13.5" thickBot="1">
      <c r="A365" s="216" t="s">
        <v>19</v>
      </c>
      <c r="B365" s="186">
        <f>SUM(B358:B363)</f>
        <v>1045.2499999999975</v>
      </c>
      <c r="C365" s="217">
        <f t="shared" si="167"/>
        <v>4.9782304123322511E-2</v>
      </c>
      <c r="D365" s="162"/>
      <c r="E365" s="162"/>
      <c r="F365" s="162"/>
      <c r="G365" s="162"/>
      <c r="H365" s="162"/>
      <c r="I365" s="162"/>
      <c r="J365" s="162"/>
      <c r="K365" s="162"/>
      <c r="L365" s="162"/>
    </row>
    <row r="366" spans="1:12" s="115" customFormat="1"/>
    <row r="367" spans="1:12" s="115" customFormat="1">
      <c r="A367" s="190" t="s">
        <v>117</v>
      </c>
      <c r="B367" s="162"/>
      <c r="C367" s="162"/>
      <c r="D367" s="162"/>
      <c r="E367" s="162"/>
    </row>
    <row r="368" spans="1:12" s="115" customFormat="1" ht="25.5">
      <c r="A368" s="369" t="s">
        <v>89</v>
      </c>
      <c r="B368" s="369" t="s">
        <v>114</v>
      </c>
      <c r="C368" s="369" t="s">
        <v>118</v>
      </c>
      <c r="D368" s="369" t="s">
        <v>91</v>
      </c>
      <c r="E368" s="369" t="s">
        <v>92</v>
      </c>
    </row>
    <row r="369" spans="1:12" s="115" customFormat="1">
      <c r="A369" s="370" t="s">
        <v>12</v>
      </c>
      <c r="B369" s="371">
        <f>C337</f>
        <v>9054177.0800000001</v>
      </c>
      <c r="C369" s="371">
        <v>9411641.5199999996</v>
      </c>
      <c r="D369" s="372">
        <f>C369-B369</f>
        <v>357464.43999999948</v>
      </c>
      <c r="E369" s="373">
        <f>D369/B369</f>
        <v>3.948061064429717E-2</v>
      </c>
    </row>
    <row r="370" spans="1:12" s="115" customFormat="1">
      <c r="A370" s="370" t="s">
        <v>13</v>
      </c>
      <c r="B370" s="371">
        <f t="shared" ref="B370:B374" si="206">C338</f>
        <v>964496.07</v>
      </c>
      <c r="C370" s="371">
        <v>997172.52</v>
      </c>
      <c r="D370" s="372">
        <f t="shared" ref="D370:D375" si="207">C370-B370</f>
        <v>32676.45000000007</v>
      </c>
      <c r="E370" s="373">
        <f t="shared" ref="E370:E374" si="208">D370/B370</f>
        <v>3.387929823291045E-2</v>
      </c>
    </row>
    <row r="371" spans="1:12" s="115" customFormat="1">
      <c r="A371" s="370" t="s">
        <v>14</v>
      </c>
      <c r="B371" s="371">
        <f t="shared" si="206"/>
        <v>941779.83</v>
      </c>
      <c r="C371" s="371">
        <v>903472.51</v>
      </c>
      <c r="D371" s="372">
        <f t="shared" si="207"/>
        <v>-38307.319999999949</v>
      </c>
      <c r="E371" s="373">
        <f t="shared" si="208"/>
        <v>-4.0675451713592076E-2</v>
      </c>
    </row>
    <row r="372" spans="1:12" s="115" customFormat="1">
      <c r="A372" s="370" t="s">
        <v>15</v>
      </c>
      <c r="B372" s="371">
        <f t="shared" si="206"/>
        <v>44016.3</v>
      </c>
      <c r="C372" s="384">
        <v>43891.86</v>
      </c>
      <c r="D372" s="372">
        <f t="shared" si="207"/>
        <v>-124.44000000000233</v>
      </c>
      <c r="E372" s="373">
        <f t="shared" si="208"/>
        <v>-2.8271344933581948E-3</v>
      </c>
    </row>
    <row r="373" spans="1:12" s="115" customFormat="1">
      <c r="A373" s="370" t="s">
        <v>16</v>
      </c>
      <c r="B373" s="371">
        <f t="shared" si="206"/>
        <v>218123.97</v>
      </c>
      <c r="C373" s="384">
        <v>237576.79</v>
      </c>
      <c r="D373" s="372">
        <f t="shared" si="207"/>
        <v>19452.820000000007</v>
      </c>
      <c r="E373" s="373">
        <f t="shared" si="208"/>
        <v>8.9182403932956136E-2</v>
      </c>
    </row>
    <row r="374" spans="1:12" s="115" customFormat="1" ht="13.5" thickBot="1">
      <c r="A374" s="215" t="s">
        <v>17</v>
      </c>
      <c r="B374" s="203">
        <f t="shared" si="206"/>
        <v>22016.3</v>
      </c>
      <c r="C374" s="203">
        <v>18859.22</v>
      </c>
      <c r="D374" s="210">
        <f t="shared" si="207"/>
        <v>-3157.0799999999981</v>
      </c>
      <c r="E374" s="212">
        <f t="shared" si="208"/>
        <v>-0.14339739193234097</v>
      </c>
    </row>
    <row r="375" spans="1:12" s="115" customFormat="1">
      <c r="A375" s="211" t="s">
        <v>19</v>
      </c>
      <c r="B375" s="205">
        <f>SUM(B369:B374)</f>
        <v>11244609.550000003</v>
      </c>
      <c r="C375" s="205">
        <f>SUM(C369:C374)</f>
        <v>11612614.419999998</v>
      </c>
      <c r="D375" s="195">
        <f t="shared" si="207"/>
        <v>368004.86999999546</v>
      </c>
      <c r="E375" s="192">
        <f>D375/B375</f>
        <v>3.272722528635913E-2</v>
      </c>
    </row>
    <row r="376" spans="1:12" s="115" customFormat="1" ht="13.5" thickBot="1"/>
    <row r="377" spans="1:12" s="115" customFormat="1" ht="13.5" thickBot="1">
      <c r="A377" s="190" t="s">
        <v>119</v>
      </c>
      <c r="B377" s="162"/>
      <c r="C377" s="162"/>
      <c r="D377" s="162"/>
      <c r="E377" s="162"/>
      <c r="F377" s="162"/>
      <c r="G377" s="162"/>
      <c r="H377" s="162"/>
      <c r="K377" s="194" t="s">
        <v>116</v>
      </c>
      <c r="L377" s="201" t="e">
        <f>$F$121</f>
        <v>#REF!</v>
      </c>
    </row>
    <row r="378" spans="1:12" s="115" customFormat="1" ht="13.5" thickBot="1">
      <c r="A378" s="190"/>
      <c r="B378" s="162"/>
      <c r="C378" s="162"/>
      <c r="D378" s="162"/>
      <c r="E378" s="162"/>
      <c r="F378" s="162"/>
      <c r="G378" s="162"/>
      <c r="H378" s="162"/>
      <c r="I378" s="162"/>
      <c r="J378" s="162"/>
      <c r="K378" s="194" t="s">
        <v>120</v>
      </c>
      <c r="L378" s="201" t="e">
        <f>$F$122</f>
        <v>#REF!</v>
      </c>
    </row>
    <row r="379" spans="1:12" s="115" customFormat="1" ht="35.25" customHeight="1">
      <c r="A379" s="279" t="s">
        <v>95</v>
      </c>
      <c r="B379" s="281" t="s">
        <v>96</v>
      </c>
      <c r="C379" s="281"/>
      <c r="D379" s="281" t="s">
        <v>97</v>
      </c>
      <c r="E379" s="282" t="s">
        <v>98</v>
      </c>
      <c r="F379" s="282"/>
      <c r="G379" s="282" t="s">
        <v>99</v>
      </c>
      <c r="H379" s="282"/>
      <c r="I379" s="282" t="s">
        <v>100</v>
      </c>
      <c r="J379" s="282"/>
      <c r="K379" s="282" t="s">
        <v>101</v>
      </c>
      <c r="L379" s="283"/>
    </row>
    <row r="380" spans="1:12" s="115" customFormat="1">
      <c r="A380" s="280"/>
      <c r="B380" s="343" t="s">
        <v>114</v>
      </c>
      <c r="C380" s="343" t="s">
        <v>118</v>
      </c>
      <c r="D380" s="374"/>
      <c r="E380" s="343" t="s">
        <v>114</v>
      </c>
      <c r="F380" s="343" t="s">
        <v>118</v>
      </c>
      <c r="G380" s="343" t="s">
        <v>114</v>
      </c>
      <c r="H380" s="343" t="s">
        <v>118</v>
      </c>
      <c r="I380" s="343" t="s">
        <v>114</v>
      </c>
      <c r="J380" s="343" t="s">
        <v>118</v>
      </c>
      <c r="K380" s="343" t="s">
        <v>114</v>
      </c>
      <c r="L380" s="199" t="s">
        <v>118</v>
      </c>
    </row>
    <row r="381" spans="1:12" s="115" customFormat="1">
      <c r="A381" s="209" t="s">
        <v>12</v>
      </c>
      <c r="B381" s="372">
        <f>C349</f>
        <v>17294.333333333332</v>
      </c>
      <c r="C381" s="372">
        <f>$F$236</f>
        <v>17582.833333333332</v>
      </c>
      <c r="D381" s="375" t="s">
        <v>102</v>
      </c>
      <c r="E381" s="372">
        <f>F349</f>
        <v>161284519.66999996</v>
      </c>
      <c r="F381" s="372">
        <f>$F$237</f>
        <v>174957599.51999998</v>
      </c>
      <c r="G381" s="376" t="e">
        <f>E381*$L$377</f>
        <v>#REF!</v>
      </c>
      <c r="H381" s="376" t="e">
        <f>F381*$L$378</f>
        <v>#REF!</v>
      </c>
      <c r="I381" s="372">
        <f>E381/B381</f>
        <v>9325.8593182738059</v>
      </c>
      <c r="J381" s="372">
        <f>F381/C381</f>
        <v>9950.4781853512413</v>
      </c>
      <c r="K381" s="372" t="e">
        <f>G381/B381</f>
        <v>#REF!</v>
      </c>
      <c r="L381" s="185" t="e">
        <f>H381/C381</f>
        <v>#REF!</v>
      </c>
    </row>
    <row r="382" spans="1:12" s="115" customFormat="1">
      <c r="A382" s="209" t="s">
        <v>13</v>
      </c>
      <c r="B382" s="372">
        <f t="shared" ref="B382:B387" si="209">C350</f>
        <v>1118.5833333333333</v>
      </c>
      <c r="C382" s="372">
        <f>$F$240</f>
        <v>1150.9166666666667</v>
      </c>
      <c r="D382" s="375" t="s">
        <v>102</v>
      </c>
      <c r="E382" s="372">
        <f t="shared" ref="E382:E387" si="210">F350</f>
        <v>42044856.089999989</v>
      </c>
      <c r="F382" s="372">
        <f>$F$241</f>
        <v>39210724.930000007</v>
      </c>
      <c r="G382" s="376" t="e">
        <f t="shared" ref="G382:G387" si="211">E382*$L$377</f>
        <v>#REF!</v>
      </c>
      <c r="H382" s="376" t="e">
        <f t="shared" ref="H382:H387" si="212">F382*$L$378</f>
        <v>#REF!</v>
      </c>
      <c r="I382" s="372">
        <f t="shared" ref="I382:I387" si="213">E382/B382</f>
        <v>37587.593911942182</v>
      </c>
      <c r="J382" s="372">
        <f t="shared" ref="J382:J387" si="214">F382/C382</f>
        <v>34069.125998117444</v>
      </c>
      <c r="K382" s="372" t="e">
        <f t="shared" ref="K382:K387" si="215">G382/B382</f>
        <v>#REF!</v>
      </c>
      <c r="L382" s="185" t="e">
        <f t="shared" ref="L382:L387" si="216">H382/C382</f>
        <v>#REF!</v>
      </c>
    </row>
    <row r="383" spans="1:12" s="115" customFormat="1">
      <c r="A383" s="209" t="s">
        <v>14</v>
      </c>
      <c r="B383" s="372">
        <f t="shared" si="209"/>
        <v>86.583333333333329</v>
      </c>
      <c r="C383" s="372">
        <f>$F$244</f>
        <v>82.083333333333329</v>
      </c>
      <c r="D383" s="375" t="s">
        <v>103</v>
      </c>
      <c r="E383" s="372">
        <f t="shared" si="210"/>
        <v>161952.01999999999</v>
      </c>
      <c r="F383" s="377">
        <f>$F$246</f>
        <v>151247.03</v>
      </c>
      <c r="G383" s="376" t="e">
        <f t="shared" si="211"/>
        <v>#REF!</v>
      </c>
      <c r="H383" s="376" t="e">
        <f t="shared" si="212"/>
        <v>#REF!</v>
      </c>
      <c r="I383" s="372">
        <f t="shared" si="213"/>
        <v>1870.4756881616938</v>
      </c>
      <c r="J383" s="372">
        <f t="shared" si="214"/>
        <v>1842.6034111675128</v>
      </c>
      <c r="K383" s="372" t="e">
        <f t="shared" si="215"/>
        <v>#REF!</v>
      </c>
      <c r="L383" s="185" t="e">
        <f t="shared" si="216"/>
        <v>#REF!</v>
      </c>
    </row>
    <row r="384" spans="1:12" s="115" customFormat="1">
      <c r="A384" s="209" t="s">
        <v>15</v>
      </c>
      <c r="B384" s="372">
        <f t="shared" si="209"/>
        <v>159.91666666666666</v>
      </c>
      <c r="C384" s="372">
        <f>$F$249</f>
        <v>155.08333333333334</v>
      </c>
      <c r="D384" s="375" t="s">
        <v>103</v>
      </c>
      <c r="E384" s="372">
        <f t="shared" si="210"/>
        <v>288.35000000000002</v>
      </c>
      <c r="F384" s="377">
        <f>$F$251</f>
        <v>280.47000000000003</v>
      </c>
      <c r="G384" s="376" t="e">
        <f t="shared" si="211"/>
        <v>#REF!</v>
      </c>
      <c r="H384" s="376" t="e">
        <f t="shared" si="212"/>
        <v>#REF!</v>
      </c>
      <c r="I384" s="372">
        <f t="shared" si="213"/>
        <v>1.8031266284523191</v>
      </c>
      <c r="J384" s="372">
        <f t="shared" si="214"/>
        <v>1.8085115529285332</v>
      </c>
      <c r="K384" s="372" t="e">
        <f t="shared" si="215"/>
        <v>#REF!</v>
      </c>
      <c r="L384" s="185" t="e">
        <f t="shared" si="216"/>
        <v>#REF!</v>
      </c>
    </row>
    <row r="385" spans="1:12" s="115" customFormat="1">
      <c r="A385" s="209" t="s">
        <v>16</v>
      </c>
      <c r="B385" s="372">
        <f t="shared" si="209"/>
        <v>3306.75</v>
      </c>
      <c r="C385" s="372">
        <f>$F$254</f>
        <v>3414.4166666666665</v>
      </c>
      <c r="D385" s="375" t="s">
        <v>103</v>
      </c>
      <c r="E385" s="372">
        <f t="shared" si="210"/>
        <v>1982.6500000000005</v>
      </c>
      <c r="F385" s="377">
        <f>$F$256</f>
        <v>2074.3199999999997</v>
      </c>
      <c r="G385" s="376" t="e">
        <f t="shared" si="211"/>
        <v>#REF!</v>
      </c>
      <c r="H385" s="376" t="e">
        <f t="shared" si="212"/>
        <v>#REF!</v>
      </c>
      <c r="I385" s="372">
        <f t="shared" si="213"/>
        <v>0.59957662357299479</v>
      </c>
      <c r="J385" s="372">
        <f t="shared" si="214"/>
        <v>0.60751812168989328</v>
      </c>
      <c r="K385" s="372" t="e">
        <f t="shared" si="215"/>
        <v>#REF!</v>
      </c>
      <c r="L385" s="185" t="e">
        <f t="shared" si="216"/>
        <v>#REF!</v>
      </c>
    </row>
    <row r="386" spans="1:12" s="115" customFormat="1">
      <c r="A386" s="209" t="s">
        <v>17</v>
      </c>
      <c r="B386" s="372">
        <f t="shared" si="209"/>
        <v>74.5</v>
      </c>
      <c r="C386" s="372">
        <f>$F$259</f>
        <v>73.166666666666671</v>
      </c>
      <c r="D386" s="375" t="s">
        <v>102</v>
      </c>
      <c r="E386" s="372">
        <f t="shared" si="210"/>
        <v>485587.00000000012</v>
      </c>
      <c r="F386" s="377">
        <f>$F$260</f>
        <v>439968</v>
      </c>
      <c r="G386" s="376" t="e">
        <f t="shared" si="211"/>
        <v>#REF!</v>
      </c>
      <c r="H386" s="376" t="e">
        <f t="shared" si="212"/>
        <v>#REF!</v>
      </c>
      <c r="I386" s="372">
        <f t="shared" si="213"/>
        <v>6517.9463087248341</v>
      </c>
      <c r="J386" s="372">
        <f t="shared" si="214"/>
        <v>6013.2300683371295</v>
      </c>
      <c r="K386" s="372" t="e">
        <f t="shared" si="215"/>
        <v>#REF!</v>
      </c>
      <c r="L386" s="185" t="e">
        <f t="shared" si="216"/>
        <v>#REF!</v>
      </c>
    </row>
    <row r="387" spans="1:12" s="115" customFormat="1" ht="13.5" thickBot="1">
      <c r="A387" s="189" t="s">
        <v>18</v>
      </c>
      <c r="B387" s="210">
        <f t="shared" si="209"/>
        <v>1</v>
      </c>
      <c r="C387" s="210">
        <f>$F$263</f>
        <v>1</v>
      </c>
      <c r="D387" s="193" t="s">
        <v>103</v>
      </c>
      <c r="E387" s="210">
        <f t="shared" si="210"/>
        <v>2185.1999999999998</v>
      </c>
      <c r="F387" s="204">
        <f>$F$265</f>
        <v>2361.6000000000004</v>
      </c>
      <c r="G387" s="207" t="e">
        <f t="shared" si="211"/>
        <v>#REF!</v>
      </c>
      <c r="H387" s="207" t="e">
        <f t="shared" si="212"/>
        <v>#REF!</v>
      </c>
      <c r="I387" s="210">
        <f t="shared" si="213"/>
        <v>2185.1999999999998</v>
      </c>
      <c r="J387" s="210">
        <f t="shared" si="214"/>
        <v>2361.6000000000004</v>
      </c>
      <c r="K387" s="210" t="e">
        <f t="shared" si="215"/>
        <v>#REF!</v>
      </c>
      <c r="L387" s="208" t="e">
        <f t="shared" si="216"/>
        <v>#REF!</v>
      </c>
    </row>
    <row r="388" spans="1:12" s="115" customFormat="1" ht="13.5" thickBot="1">
      <c r="A388" s="197" t="s">
        <v>19</v>
      </c>
      <c r="B388" s="188">
        <f>SUM(B381:B387)</f>
        <v>22041.666666666664</v>
      </c>
      <c r="C388" s="188">
        <f>SUM(C381:C387)</f>
        <v>22459.5</v>
      </c>
      <c r="D388" s="196"/>
      <c r="E388" s="196"/>
      <c r="F388" s="196"/>
      <c r="G388" s="196"/>
      <c r="H388" s="196"/>
      <c r="I388" s="196"/>
      <c r="J388" s="196"/>
      <c r="K388" s="196"/>
      <c r="L388" s="196"/>
    </row>
    <row r="389" spans="1:12" s="115" customFormat="1">
      <c r="A389" s="218" t="s">
        <v>104</v>
      </c>
      <c r="B389" s="200" t="s">
        <v>105</v>
      </c>
      <c r="C389" s="200" t="s">
        <v>106</v>
      </c>
      <c r="D389" s="219"/>
      <c r="E389" s="200" t="s">
        <v>98</v>
      </c>
      <c r="F389" s="200" t="s">
        <v>106</v>
      </c>
      <c r="G389" s="200" t="s">
        <v>98</v>
      </c>
      <c r="H389" s="200" t="s">
        <v>106</v>
      </c>
      <c r="I389" s="200" t="s">
        <v>107</v>
      </c>
      <c r="J389" s="200" t="s">
        <v>106</v>
      </c>
      <c r="K389" s="200" t="s">
        <v>107</v>
      </c>
      <c r="L389" s="220" t="s">
        <v>106</v>
      </c>
    </row>
    <row r="390" spans="1:12" s="115" customFormat="1">
      <c r="A390" s="209" t="s">
        <v>12</v>
      </c>
      <c r="B390" s="381">
        <f t="shared" ref="B390:B396" si="217">C381-B381</f>
        <v>288.5</v>
      </c>
      <c r="C390" s="382">
        <f t="shared" ref="C390:C397" si="218">B390/B381</f>
        <v>1.6681764739895535E-2</v>
      </c>
      <c r="D390" s="375" t="s">
        <v>102</v>
      </c>
      <c r="E390" s="381">
        <f>F381-E381</f>
        <v>13673079.850000024</v>
      </c>
      <c r="F390" s="382">
        <f>E390/E381</f>
        <v>8.4776145150050081E-2</v>
      </c>
      <c r="G390" s="381" t="e">
        <f>H381-G381</f>
        <v>#REF!</v>
      </c>
      <c r="H390" s="382" t="e">
        <f>G390/G381</f>
        <v>#REF!</v>
      </c>
      <c r="I390" s="381">
        <f>J381-I381</f>
        <v>624.61886707743543</v>
      </c>
      <c r="J390" s="382">
        <f t="shared" ref="J390:J396" si="219">I390/I381</f>
        <v>6.6977084444487509E-2</v>
      </c>
      <c r="K390" s="381" t="e">
        <f>L381-K381</f>
        <v>#REF!</v>
      </c>
      <c r="L390" s="206" t="e">
        <f t="shared" ref="L390:L396" si="220">K390/K381</f>
        <v>#REF!</v>
      </c>
    </row>
    <row r="391" spans="1:12" s="115" customFormat="1">
      <c r="A391" s="209" t="s">
        <v>13</v>
      </c>
      <c r="B391" s="381">
        <f t="shared" si="217"/>
        <v>32.333333333333485</v>
      </c>
      <c r="C391" s="382">
        <f t="shared" si="218"/>
        <v>2.8905609774268187E-2</v>
      </c>
      <c r="D391" s="375" t="s">
        <v>102</v>
      </c>
      <c r="E391" s="381">
        <f t="shared" ref="E391" si="221">F382-E382</f>
        <v>-2834131.1599999815</v>
      </c>
      <c r="F391" s="382">
        <f t="shared" ref="F391" si="222">E391/E382</f>
        <v>-6.7407322168812359E-2</v>
      </c>
      <c r="G391" s="381" t="e">
        <f t="shared" ref="G391" si="223">H382-G382</f>
        <v>#REF!</v>
      </c>
      <c r="H391" s="382" t="e">
        <f t="shared" ref="H391" si="224">G391/G382</f>
        <v>#REF!</v>
      </c>
      <c r="I391" s="381">
        <f t="shared" ref="I391" si="225">J382-I382</f>
        <v>-3518.4679138247375</v>
      </c>
      <c r="J391" s="382">
        <f t="shared" si="219"/>
        <v>-9.3607159906738902E-2</v>
      </c>
      <c r="K391" s="381" t="e">
        <f t="shared" ref="K391" si="226">L382-K382</f>
        <v>#REF!</v>
      </c>
      <c r="L391" s="206" t="e">
        <f t="shared" si="220"/>
        <v>#REF!</v>
      </c>
    </row>
    <row r="392" spans="1:12" s="115" customFormat="1">
      <c r="A392" s="209" t="s">
        <v>14</v>
      </c>
      <c r="B392" s="381">
        <f t="shared" si="217"/>
        <v>-4.5</v>
      </c>
      <c r="C392" s="382">
        <f t="shared" si="218"/>
        <v>-5.1973051010587107E-2</v>
      </c>
      <c r="D392" s="375" t="s">
        <v>103</v>
      </c>
      <c r="E392" s="381">
        <f t="shared" ref="E392" si="227">F383-E383</f>
        <v>-10704.989999999991</v>
      </c>
      <c r="F392" s="382">
        <f t="shared" ref="F392" si="228">E392/E383</f>
        <v>-6.6099762139428656E-2</v>
      </c>
      <c r="G392" s="381" t="e">
        <f t="shared" ref="G392" si="229">H383-G383</f>
        <v>#REF!</v>
      </c>
      <c r="H392" s="382" t="e">
        <f t="shared" ref="H392" si="230">G392/G383</f>
        <v>#REF!</v>
      </c>
      <c r="I392" s="381">
        <f t="shared" ref="I392" si="231">J383-I383</f>
        <v>-27.872276994180993</v>
      </c>
      <c r="J392" s="382">
        <f t="shared" si="219"/>
        <v>-1.4901170419153594E-2</v>
      </c>
      <c r="K392" s="381" t="e">
        <f t="shared" ref="K392" si="232">L383-K383</f>
        <v>#REF!</v>
      </c>
      <c r="L392" s="206" t="e">
        <f t="shared" si="220"/>
        <v>#REF!</v>
      </c>
    </row>
    <row r="393" spans="1:12" s="115" customFormat="1">
      <c r="A393" s="209" t="s">
        <v>15</v>
      </c>
      <c r="B393" s="381">
        <f t="shared" si="217"/>
        <v>-4.8333333333333144</v>
      </c>
      <c r="C393" s="382">
        <f t="shared" si="218"/>
        <v>-3.022407503908274E-2</v>
      </c>
      <c r="D393" s="375" t="s">
        <v>103</v>
      </c>
      <c r="E393" s="381">
        <f t="shared" ref="E393" si="233">F384-E384</f>
        <v>-7.8799999999999955</v>
      </c>
      <c r="F393" s="382">
        <f t="shared" ref="F393" si="234">E393/E384</f>
        <v>-2.7327900121380248E-2</v>
      </c>
      <c r="G393" s="381" t="e">
        <f t="shared" ref="G393" si="235">H384-G384</f>
        <v>#REF!</v>
      </c>
      <c r="H393" s="382" t="e">
        <f t="shared" ref="H393" si="236">G393/G384</f>
        <v>#REF!</v>
      </c>
      <c r="I393" s="381">
        <f t="shared" ref="I393" si="237">J384-I384</f>
        <v>5.3849244762140813E-3</v>
      </c>
      <c r="J393" s="382">
        <f t="shared" si="219"/>
        <v>2.9864372203499282E-3</v>
      </c>
      <c r="K393" s="381" t="e">
        <f t="shared" ref="K393" si="238">L384-K384</f>
        <v>#REF!</v>
      </c>
      <c r="L393" s="206" t="e">
        <f t="shared" si="220"/>
        <v>#REF!</v>
      </c>
    </row>
    <row r="394" spans="1:12" s="115" customFormat="1">
      <c r="A394" s="209" t="s">
        <v>16</v>
      </c>
      <c r="B394" s="381">
        <f t="shared" si="217"/>
        <v>107.66666666666652</v>
      </c>
      <c r="C394" s="382">
        <f t="shared" si="218"/>
        <v>3.2559663314936572E-2</v>
      </c>
      <c r="D394" s="375" t="s">
        <v>103</v>
      </c>
      <c r="E394" s="381">
        <f t="shared" ref="E394" si="239">F385-E385</f>
        <v>91.669999999999163</v>
      </c>
      <c r="F394" s="382">
        <f t="shared" ref="F394" si="240">E394/E385</f>
        <v>4.6236098151463512E-2</v>
      </c>
      <c r="G394" s="381" t="e">
        <f t="shared" ref="G394" si="241">H385-G385</f>
        <v>#REF!</v>
      </c>
      <c r="H394" s="382" t="e">
        <f t="shared" ref="H394" si="242">G394/G385</f>
        <v>#REF!</v>
      </c>
      <c r="I394" s="381">
        <f t="shared" ref="I394" si="243">J385-I385</f>
        <v>7.9414981168984822E-3</v>
      </c>
      <c r="J394" s="382">
        <f t="shared" si="219"/>
        <v>1.3245176353897081E-2</v>
      </c>
      <c r="K394" s="381" t="e">
        <f t="shared" ref="K394" si="244">L385-K385</f>
        <v>#REF!</v>
      </c>
      <c r="L394" s="206" t="e">
        <f t="shared" si="220"/>
        <v>#REF!</v>
      </c>
    </row>
    <row r="395" spans="1:12" s="115" customFormat="1">
      <c r="A395" s="209" t="s">
        <v>17</v>
      </c>
      <c r="B395" s="381">
        <f t="shared" si="217"/>
        <v>-1.3333333333333286</v>
      </c>
      <c r="C395" s="382">
        <f t="shared" si="218"/>
        <v>-1.7897091722595015E-2</v>
      </c>
      <c r="D395" s="375" t="s">
        <v>102</v>
      </c>
      <c r="E395" s="381">
        <f t="shared" ref="E395" si="245">F386-E386</f>
        <v>-45619.000000000116</v>
      </c>
      <c r="F395" s="382">
        <f t="shared" ref="F395" si="246">E395/E386</f>
        <v>-9.3946089990053494E-2</v>
      </c>
      <c r="G395" s="381" t="e">
        <f t="shared" ref="G395" si="247">H386-G386</f>
        <v>#REF!</v>
      </c>
      <c r="H395" s="382" t="e">
        <f t="shared" ref="H395" si="248">G395/G386</f>
        <v>#REF!</v>
      </c>
      <c r="I395" s="381">
        <f t="shared" ref="I395" si="249">J386-I386</f>
        <v>-504.7162403877046</v>
      </c>
      <c r="J395" s="382">
        <f t="shared" si="219"/>
        <v>-7.7434857005817662E-2</v>
      </c>
      <c r="K395" s="381" t="e">
        <f t="shared" ref="K395" si="250">L386-K386</f>
        <v>#REF!</v>
      </c>
      <c r="L395" s="206" t="e">
        <f t="shared" si="220"/>
        <v>#REF!</v>
      </c>
    </row>
    <row r="396" spans="1:12" s="115" customFormat="1" ht="13.5" thickBot="1">
      <c r="A396" s="189" t="s">
        <v>18</v>
      </c>
      <c r="B396" s="191">
        <f t="shared" si="217"/>
        <v>0</v>
      </c>
      <c r="C396" s="198">
        <f t="shared" si="218"/>
        <v>0</v>
      </c>
      <c r="D396" s="193" t="s">
        <v>103</v>
      </c>
      <c r="E396" s="191">
        <f t="shared" ref="E396" si="251">F387-E387</f>
        <v>176.40000000000055</v>
      </c>
      <c r="F396" s="198">
        <f t="shared" ref="F396" si="252">E396/E387</f>
        <v>8.0724876441515908E-2</v>
      </c>
      <c r="G396" s="191" t="e">
        <f t="shared" ref="G396" si="253">H387-G387</f>
        <v>#REF!</v>
      </c>
      <c r="H396" s="198" t="e">
        <f t="shared" ref="H396" si="254">G396/G387</f>
        <v>#REF!</v>
      </c>
      <c r="I396" s="191">
        <f t="shared" ref="I396" si="255">J387-I387</f>
        <v>176.40000000000055</v>
      </c>
      <c r="J396" s="198">
        <f t="shared" si="219"/>
        <v>8.0724876441515908E-2</v>
      </c>
      <c r="K396" s="191" t="e">
        <f t="shared" ref="K396" si="256">L387-K387</f>
        <v>#REF!</v>
      </c>
      <c r="L396" s="214" t="e">
        <f t="shared" si="220"/>
        <v>#REF!</v>
      </c>
    </row>
    <row r="397" spans="1:12" s="115" customFormat="1" ht="13.5" thickBot="1">
      <c r="A397" s="216" t="s">
        <v>19</v>
      </c>
      <c r="B397" s="186">
        <f>SUM(B390:B395)</f>
        <v>417.83333333333337</v>
      </c>
      <c r="C397" s="217">
        <f t="shared" si="218"/>
        <v>1.8956521739130438E-2</v>
      </c>
      <c r="D397" s="162"/>
      <c r="E397" s="162"/>
      <c r="F397" s="162"/>
      <c r="G397" s="162"/>
      <c r="H397" s="162"/>
      <c r="I397" s="162"/>
      <c r="J397" s="162"/>
      <c r="K397" s="162"/>
      <c r="L397" s="162"/>
    </row>
    <row r="398" spans="1:12" s="115" customFormat="1"/>
    <row r="399" spans="1:12" s="115" customFormat="1">
      <c r="A399" s="190" t="s">
        <v>121</v>
      </c>
      <c r="B399" s="162"/>
      <c r="C399" s="162"/>
      <c r="D399" s="162"/>
      <c r="E399" s="162"/>
    </row>
    <row r="400" spans="1:12" s="115" customFormat="1" ht="25.5">
      <c r="A400" s="369" t="s">
        <v>89</v>
      </c>
      <c r="B400" s="369" t="s">
        <v>118</v>
      </c>
      <c r="C400" s="369" t="s">
        <v>72</v>
      </c>
      <c r="D400" s="369" t="s">
        <v>91</v>
      </c>
      <c r="E400" s="369" t="s">
        <v>92</v>
      </c>
    </row>
    <row r="401" spans="1:12" s="115" customFormat="1">
      <c r="A401" s="370" t="s">
        <v>12</v>
      </c>
      <c r="B401" s="371">
        <f>C369</f>
        <v>9411641.5199999996</v>
      </c>
      <c r="C401" s="371">
        <v>9991023.0399999991</v>
      </c>
      <c r="D401" s="372">
        <f>C401-B401</f>
        <v>579381.51999999955</v>
      </c>
      <c r="E401" s="373">
        <f>D401/B401</f>
        <v>6.1560092229267095E-2</v>
      </c>
    </row>
    <row r="402" spans="1:12" s="115" customFormat="1">
      <c r="A402" s="370" t="s">
        <v>13</v>
      </c>
      <c r="B402" s="371">
        <f t="shared" ref="B402:B406" si="257">C370</f>
        <v>997172.52</v>
      </c>
      <c r="C402" s="371">
        <v>1038448.76</v>
      </c>
      <c r="D402" s="372">
        <f t="shared" ref="D402:D407" si="258">C402-B402</f>
        <v>41276.239999999991</v>
      </c>
      <c r="E402" s="373">
        <f t="shared" ref="E402:E406" si="259">D402/B402</f>
        <v>4.1393278667566966E-2</v>
      </c>
    </row>
    <row r="403" spans="1:12" s="115" customFormat="1">
      <c r="A403" s="370" t="s">
        <v>14</v>
      </c>
      <c r="B403" s="371">
        <f t="shared" si="257"/>
        <v>903472.51</v>
      </c>
      <c r="C403" s="371">
        <v>914305.17</v>
      </c>
      <c r="D403" s="372">
        <f t="shared" si="258"/>
        <v>10832.660000000033</v>
      </c>
      <c r="E403" s="373">
        <f t="shared" si="259"/>
        <v>1.1990027233922184E-2</v>
      </c>
    </row>
    <row r="404" spans="1:12" s="115" customFormat="1">
      <c r="A404" s="370" t="s">
        <v>15</v>
      </c>
      <c r="B404" s="371">
        <f t="shared" si="257"/>
        <v>43891.86</v>
      </c>
      <c r="C404" s="384">
        <v>43959.77</v>
      </c>
      <c r="D404" s="372">
        <f t="shared" si="258"/>
        <v>67.909999999996217</v>
      </c>
      <c r="E404" s="373">
        <f t="shared" si="259"/>
        <v>1.5472117153384755E-3</v>
      </c>
    </row>
    <row r="405" spans="1:12" s="115" customFormat="1">
      <c r="A405" s="370" t="s">
        <v>16</v>
      </c>
      <c r="B405" s="371">
        <f t="shared" si="257"/>
        <v>237576.79</v>
      </c>
      <c r="C405" s="384">
        <v>261517.76</v>
      </c>
      <c r="D405" s="372">
        <f t="shared" si="258"/>
        <v>23940.97</v>
      </c>
      <c r="E405" s="373">
        <f t="shared" si="259"/>
        <v>0.10077150213200541</v>
      </c>
    </row>
    <row r="406" spans="1:12" s="115" customFormat="1" ht="13.5" thickBot="1">
      <c r="A406" s="215" t="s">
        <v>17</v>
      </c>
      <c r="B406" s="203">
        <f t="shared" si="257"/>
        <v>18859.22</v>
      </c>
      <c r="C406" s="203">
        <v>21025.51</v>
      </c>
      <c r="D406" s="210">
        <f t="shared" si="258"/>
        <v>2166.2899999999972</v>
      </c>
      <c r="E406" s="212">
        <f t="shared" si="259"/>
        <v>0.11486636244765144</v>
      </c>
    </row>
    <row r="407" spans="1:12" s="115" customFormat="1">
      <c r="A407" s="211" t="s">
        <v>19</v>
      </c>
      <c r="B407" s="205">
        <f>SUM(B401:B406)</f>
        <v>11612614.419999998</v>
      </c>
      <c r="C407" s="205">
        <f>SUM(C401:C406)</f>
        <v>12270280.009999998</v>
      </c>
      <c r="D407" s="195">
        <f t="shared" si="258"/>
        <v>657665.58999999985</v>
      </c>
      <c r="E407" s="192">
        <f>D407/B407</f>
        <v>5.6633723140529446E-2</v>
      </c>
    </row>
    <row r="408" spans="1:12" s="115" customFormat="1" ht="13.5" thickBot="1"/>
    <row r="409" spans="1:12" s="115" customFormat="1" ht="13.5" thickBot="1">
      <c r="A409" s="190" t="s">
        <v>122</v>
      </c>
      <c r="B409" s="162"/>
      <c r="C409" s="162"/>
      <c r="D409" s="162"/>
      <c r="E409" s="162"/>
      <c r="F409" s="162"/>
      <c r="G409" s="162"/>
      <c r="H409" s="162"/>
      <c r="I409" s="162"/>
      <c r="J409" s="162"/>
      <c r="K409" s="194" t="s">
        <v>120</v>
      </c>
      <c r="L409" s="201" t="e">
        <f>$F$122</f>
        <v>#REF!</v>
      </c>
    </row>
    <row r="410" spans="1:12" s="115" customFormat="1" ht="13.5" thickBot="1">
      <c r="A410" s="190"/>
      <c r="B410" s="162"/>
      <c r="C410" s="162"/>
      <c r="D410" s="162"/>
      <c r="E410" s="162"/>
      <c r="F410" s="162"/>
      <c r="G410" s="162"/>
      <c r="H410" s="162"/>
      <c r="I410" s="162"/>
      <c r="J410" s="162"/>
      <c r="K410" s="194" t="s">
        <v>123</v>
      </c>
      <c r="L410" s="201" t="e">
        <f>$F$123</f>
        <v>#REF!</v>
      </c>
    </row>
    <row r="411" spans="1:12" s="115" customFormat="1" ht="42" customHeight="1">
      <c r="A411" s="279" t="s">
        <v>95</v>
      </c>
      <c r="B411" s="281" t="s">
        <v>96</v>
      </c>
      <c r="C411" s="281"/>
      <c r="D411" s="281" t="s">
        <v>97</v>
      </c>
      <c r="E411" s="282" t="s">
        <v>98</v>
      </c>
      <c r="F411" s="282"/>
      <c r="G411" s="282" t="s">
        <v>99</v>
      </c>
      <c r="H411" s="282"/>
      <c r="I411" s="282" t="s">
        <v>100</v>
      </c>
      <c r="J411" s="282"/>
      <c r="K411" s="282" t="s">
        <v>101</v>
      </c>
      <c r="L411" s="283"/>
    </row>
    <row r="412" spans="1:12" s="115" customFormat="1">
      <c r="A412" s="280"/>
      <c r="B412" s="343" t="s">
        <v>118</v>
      </c>
      <c r="C412" s="343" t="s">
        <v>72</v>
      </c>
      <c r="D412" s="374"/>
      <c r="E412" s="343" t="s">
        <v>118</v>
      </c>
      <c r="F412" s="343" t="s">
        <v>72</v>
      </c>
      <c r="G412" s="343" t="s">
        <v>118</v>
      </c>
      <c r="H412" s="343" t="s">
        <v>72</v>
      </c>
      <c r="I412" s="343" t="s">
        <v>118</v>
      </c>
      <c r="J412" s="343" t="s">
        <v>72</v>
      </c>
      <c r="K412" s="343" t="s">
        <v>118</v>
      </c>
      <c r="L412" s="199" t="s">
        <v>72</v>
      </c>
    </row>
    <row r="413" spans="1:12" s="115" customFormat="1">
      <c r="A413" s="209" t="s">
        <v>12</v>
      </c>
      <c r="B413" s="372">
        <f>C381</f>
        <v>17582.833333333332</v>
      </c>
      <c r="C413" s="372">
        <f>$G$236</f>
        <v>18253.333333333332</v>
      </c>
      <c r="D413" s="375" t="s">
        <v>102</v>
      </c>
      <c r="E413" s="372">
        <f>F381</f>
        <v>174957599.51999998</v>
      </c>
      <c r="F413" s="372">
        <f>$G$237</f>
        <v>178499709.20000005</v>
      </c>
      <c r="G413" s="376" t="e">
        <f>E413*$L$409</f>
        <v>#REF!</v>
      </c>
      <c r="H413" s="376" t="e">
        <f>F413*$L$410</f>
        <v>#REF!</v>
      </c>
      <c r="I413" s="372">
        <f>E413/B413</f>
        <v>9950.4781853512413</v>
      </c>
      <c r="J413" s="372">
        <f>F413/C413</f>
        <v>9779.0198612125678</v>
      </c>
      <c r="K413" s="372" t="e">
        <f>G413/B413</f>
        <v>#REF!</v>
      </c>
      <c r="L413" s="185" t="e">
        <f>H413/C413</f>
        <v>#REF!</v>
      </c>
    </row>
    <row r="414" spans="1:12" s="115" customFormat="1">
      <c r="A414" s="209" t="s">
        <v>13</v>
      </c>
      <c r="B414" s="372">
        <f t="shared" ref="B414:B419" si="260">C382</f>
        <v>1150.9166666666667</v>
      </c>
      <c r="C414" s="372">
        <f>$G$240</f>
        <v>1186.8333333333333</v>
      </c>
      <c r="D414" s="375" t="s">
        <v>102</v>
      </c>
      <c r="E414" s="372">
        <f t="shared" ref="E414:E419" si="261">F382</f>
        <v>39210724.930000007</v>
      </c>
      <c r="F414" s="372">
        <f>$G$241</f>
        <v>39405376.530000001</v>
      </c>
      <c r="G414" s="376" t="e">
        <f t="shared" ref="G414:G419" si="262">E414*$L$409</f>
        <v>#REF!</v>
      </c>
      <c r="H414" s="376" t="e">
        <f t="shared" ref="H414:H419" si="263">F414*$L$410</f>
        <v>#REF!</v>
      </c>
      <c r="I414" s="372">
        <f t="shared" ref="I414:I419" si="264">E414/B414</f>
        <v>34069.125998117444</v>
      </c>
      <c r="J414" s="372">
        <f t="shared" ref="J414:J419" si="265">F414/C414</f>
        <v>33202.114756354451</v>
      </c>
      <c r="K414" s="372" t="e">
        <f t="shared" ref="K414:K419" si="266">G414/B414</f>
        <v>#REF!</v>
      </c>
      <c r="L414" s="185" t="e">
        <f t="shared" ref="L414:L419" si="267">H414/C414</f>
        <v>#REF!</v>
      </c>
    </row>
    <row r="415" spans="1:12" s="115" customFormat="1">
      <c r="A415" s="209" t="s">
        <v>14</v>
      </c>
      <c r="B415" s="372">
        <f t="shared" si="260"/>
        <v>82.083333333333329</v>
      </c>
      <c r="C415" s="372">
        <f>$G$244</f>
        <v>81.166666666666671</v>
      </c>
      <c r="D415" s="375" t="s">
        <v>103</v>
      </c>
      <c r="E415" s="372">
        <f t="shared" si="261"/>
        <v>151247.03</v>
      </c>
      <c r="F415" s="377">
        <f>$G$246</f>
        <v>155546.19</v>
      </c>
      <c r="G415" s="376" t="e">
        <f t="shared" si="262"/>
        <v>#REF!</v>
      </c>
      <c r="H415" s="376" t="e">
        <f t="shared" si="263"/>
        <v>#REF!</v>
      </c>
      <c r="I415" s="372">
        <f t="shared" si="264"/>
        <v>1842.6034111675128</v>
      </c>
      <c r="J415" s="372">
        <f t="shared" si="265"/>
        <v>1916.3801642710471</v>
      </c>
      <c r="K415" s="372" t="e">
        <f t="shared" si="266"/>
        <v>#REF!</v>
      </c>
      <c r="L415" s="185" t="e">
        <f t="shared" si="267"/>
        <v>#REF!</v>
      </c>
    </row>
    <row r="416" spans="1:12" s="115" customFormat="1">
      <c r="A416" s="209" t="s">
        <v>15</v>
      </c>
      <c r="B416" s="372">
        <f t="shared" si="260"/>
        <v>155.08333333333334</v>
      </c>
      <c r="C416" s="372">
        <f>$G$249</f>
        <v>152.75</v>
      </c>
      <c r="D416" s="375" t="s">
        <v>103</v>
      </c>
      <c r="E416" s="372">
        <f t="shared" si="261"/>
        <v>280.47000000000003</v>
      </c>
      <c r="F416" s="377">
        <f>$G$251</f>
        <v>275.57000000000005</v>
      </c>
      <c r="G416" s="376" t="e">
        <f t="shared" si="262"/>
        <v>#REF!</v>
      </c>
      <c r="H416" s="376" t="e">
        <f t="shared" si="263"/>
        <v>#REF!</v>
      </c>
      <c r="I416" s="372">
        <f t="shared" si="264"/>
        <v>1.8085115529285332</v>
      </c>
      <c r="J416" s="372">
        <f t="shared" si="265"/>
        <v>1.804058919803601</v>
      </c>
      <c r="K416" s="372" t="e">
        <f t="shared" si="266"/>
        <v>#REF!</v>
      </c>
      <c r="L416" s="185" t="e">
        <f t="shared" si="267"/>
        <v>#REF!</v>
      </c>
    </row>
    <row r="417" spans="1:12" s="115" customFormat="1">
      <c r="A417" s="209" t="s">
        <v>16</v>
      </c>
      <c r="B417" s="372">
        <f t="shared" si="260"/>
        <v>3414.4166666666665</v>
      </c>
      <c r="C417" s="372">
        <f>$G$254</f>
        <v>3596.5833333333335</v>
      </c>
      <c r="D417" s="375" t="s">
        <v>103</v>
      </c>
      <c r="E417" s="372">
        <f t="shared" si="261"/>
        <v>2074.3199999999997</v>
      </c>
      <c r="F417" s="377">
        <f>$G$256</f>
        <v>2279.9099999999989</v>
      </c>
      <c r="G417" s="376" t="e">
        <f t="shared" si="262"/>
        <v>#REF!</v>
      </c>
      <c r="H417" s="376" t="e">
        <f t="shared" si="263"/>
        <v>#REF!</v>
      </c>
      <c r="I417" s="372">
        <f t="shared" si="264"/>
        <v>0.60751812168989328</v>
      </c>
      <c r="J417" s="372">
        <f t="shared" si="265"/>
        <v>0.63390996084246587</v>
      </c>
      <c r="K417" s="372" t="e">
        <f t="shared" si="266"/>
        <v>#REF!</v>
      </c>
      <c r="L417" s="185" t="e">
        <f t="shared" si="267"/>
        <v>#REF!</v>
      </c>
    </row>
    <row r="418" spans="1:12" s="115" customFormat="1">
      <c r="A418" s="209" t="s">
        <v>17</v>
      </c>
      <c r="B418" s="372">
        <f t="shared" si="260"/>
        <v>73.166666666666671</v>
      </c>
      <c r="C418" s="372">
        <f>$G$259</f>
        <v>71</v>
      </c>
      <c r="D418" s="375" t="s">
        <v>102</v>
      </c>
      <c r="E418" s="372">
        <f t="shared" si="261"/>
        <v>439968</v>
      </c>
      <c r="F418" s="377">
        <f>$G$260</f>
        <v>439248</v>
      </c>
      <c r="G418" s="376" t="e">
        <f t="shared" si="262"/>
        <v>#REF!</v>
      </c>
      <c r="H418" s="376" t="e">
        <f t="shared" si="263"/>
        <v>#REF!</v>
      </c>
      <c r="I418" s="372">
        <f t="shared" si="264"/>
        <v>6013.2300683371295</v>
      </c>
      <c r="J418" s="372">
        <f t="shared" si="265"/>
        <v>6186.5915492957747</v>
      </c>
      <c r="K418" s="372" t="e">
        <f t="shared" si="266"/>
        <v>#REF!</v>
      </c>
      <c r="L418" s="185" t="e">
        <f t="shared" si="267"/>
        <v>#REF!</v>
      </c>
    </row>
    <row r="419" spans="1:12" s="115" customFormat="1" ht="13.5" thickBot="1">
      <c r="A419" s="189" t="s">
        <v>18</v>
      </c>
      <c r="B419" s="210">
        <f t="shared" si="260"/>
        <v>1</v>
      </c>
      <c r="C419" s="210">
        <f>$G$263</f>
        <v>1</v>
      </c>
      <c r="D419" s="193" t="s">
        <v>103</v>
      </c>
      <c r="E419" s="210">
        <f t="shared" si="261"/>
        <v>2361.6000000000004</v>
      </c>
      <c r="F419" s="204">
        <f>$G$265</f>
        <v>2359.1999999999998</v>
      </c>
      <c r="G419" s="207" t="e">
        <f t="shared" si="262"/>
        <v>#REF!</v>
      </c>
      <c r="H419" s="207" t="e">
        <f t="shared" si="263"/>
        <v>#REF!</v>
      </c>
      <c r="I419" s="210">
        <f t="shared" si="264"/>
        <v>2361.6000000000004</v>
      </c>
      <c r="J419" s="210">
        <f t="shared" si="265"/>
        <v>2359.1999999999998</v>
      </c>
      <c r="K419" s="210" t="e">
        <f t="shared" si="266"/>
        <v>#REF!</v>
      </c>
      <c r="L419" s="208" t="e">
        <f t="shared" si="267"/>
        <v>#REF!</v>
      </c>
    </row>
    <row r="420" spans="1:12" s="115" customFormat="1" ht="13.5" thickBot="1">
      <c r="A420" s="197" t="s">
        <v>19</v>
      </c>
      <c r="B420" s="188">
        <f>SUM(B413:B419)</f>
        <v>22459.5</v>
      </c>
      <c r="C420" s="188">
        <f>SUM(C413:C419)</f>
        <v>23342.666666666664</v>
      </c>
      <c r="D420" s="196"/>
      <c r="E420" s="196"/>
      <c r="F420" s="196"/>
      <c r="G420" s="196"/>
      <c r="H420" s="196"/>
      <c r="I420" s="196"/>
      <c r="J420" s="196"/>
      <c r="K420" s="196"/>
      <c r="L420" s="196"/>
    </row>
    <row r="421" spans="1:12" s="115" customFormat="1">
      <c r="A421" s="218" t="s">
        <v>104</v>
      </c>
      <c r="B421" s="200" t="s">
        <v>105</v>
      </c>
      <c r="C421" s="200" t="s">
        <v>106</v>
      </c>
      <c r="D421" s="219"/>
      <c r="E421" s="200" t="s">
        <v>98</v>
      </c>
      <c r="F421" s="200" t="s">
        <v>106</v>
      </c>
      <c r="G421" s="200" t="s">
        <v>98</v>
      </c>
      <c r="H421" s="200" t="s">
        <v>106</v>
      </c>
      <c r="I421" s="200" t="s">
        <v>107</v>
      </c>
      <c r="J421" s="200" t="s">
        <v>106</v>
      </c>
      <c r="K421" s="200" t="s">
        <v>107</v>
      </c>
      <c r="L421" s="220" t="s">
        <v>106</v>
      </c>
    </row>
    <row r="422" spans="1:12" s="115" customFormat="1">
      <c r="A422" s="209" t="s">
        <v>12</v>
      </c>
      <c r="B422" s="381">
        <f t="shared" ref="B422:B428" si="268">C413-B413</f>
        <v>670.5</v>
      </c>
      <c r="C422" s="382">
        <f t="shared" ref="C422:C429" si="269">B422/B413</f>
        <v>3.8133785794856725E-2</v>
      </c>
      <c r="D422" s="375" t="s">
        <v>102</v>
      </c>
      <c r="E422" s="381">
        <f>F413-E413</f>
        <v>3542109.6800000668</v>
      </c>
      <c r="F422" s="382">
        <f>E422/E413</f>
        <v>2.0245532001570223E-2</v>
      </c>
      <c r="G422" s="381" t="e">
        <f>H413-G413</f>
        <v>#REF!</v>
      </c>
      <c r="H422" s="382" t="e">
        <f>G422/G413</f>
        <v>#REF!</v>
      </c>
      <c r="I422" s="381">
        <f>J413-I413</f>
        <v>-171.45832413867356</v>
      </c>
      <c r="J422" s="382">
        <f t="shared" ref="J422:J428" si="270">I422/I413</f>
        <v>-1.7231164266164486E-2</v>
      </c>
      <c r="K422" s="381" t="e">
        <f>L413-K413</f>
        <v>#REF!</v>
      </c>
      <c r="L422" s="206" t="e">
        <f t="shared" ref="L422:L428" si="271">K422/K413</f>
        <v>#REF!</v>
      </c>
    </row>
    <row r="423" spans="1:12" s="115" customFormat="1">
      <c r="A423" s="209" t="s">
        <v>13</v>
      </c>
      <c r="B423" s="381">
        <f t="shared" si="268"/>
        <v>35.916666666666515</v>
      </c>
      <c r="C423" s="382">
        <f t="shared" si="269"/>
        <v>3.1207008905944404E-2</v>
      </c>
      <c r="D423" s="375" t="s">
        <v>102</v>
      </c>
      <c r="E423" s="381">
        <f t="shared" ref="E423" si="272">F414-E414</f>
        <v>194651.59999999404</v>
      </c>
      <c r="F423" s="382">
        <f t="shared" ref="F423" si="273">E423/E414</f>
        <v>4.9642438477608122E-3</v>
      </c>
      <c r="G423" s="381" t="e">
        <f t="shared" ref="G423" si="274">H414-G414</f>
        <v>#REF!</v>
      </c>
      <c r="H423" s="382" t="e">
        <f t="shared" ref="H423" si="275">G423/G414</f>
        <v>#REF!</v>
      </c>
      <c r="I423" s="381">
        <f t="shared" ref="I423" si="276">J414-I414</f>
        <v>-867.01124176299345</v>
      </c>
      <c r="J423" s="382">
        <f t="shared" si="270"/>
        <v>-2.5448590662727946E-2</v>
      </c>
      <c r="K423" s="381" t="e">
        <f t="shared" ref="K423" si="277">L414-K414</f>
        <v>#REF!</v>
      </c>
      <c r="L423" s="206" t="e">
        <f t="shared" si="271"/>
        <v>#REF!</v>
      </c>
    </row>
    <row r="424" spans="1:12" s="115" customFormat="1">
      <c r="A424" s="209" t="s">
        <v>14</v>
      </c>
      <c r="B424" s="381">
        <f t="shared" si="268"/>
        <v>-0.91666666666665719</v>
      </c>
      <c r="C424" s="382">
        <f t="shared" si="269"/>
        <v>-1.1167512690355215E-2</v>
      </c>
      <c r="D424" s="375" t="s">
        <v>103</v>
      </c>
      <c r="E424" s="381">
        <f t="shared" ref="E424" si="278">F415-E415</f>
        <v>4299.1600000000035</v>
      </c>
      <c r="F424" s="382">
        <f t="shared" ref="F424" si="279">E424/E415</f>
        <v>2.8424756505962486E-2</v>
      </c>
      <c r="G424" s="381" t="e">
        <f t="shared" ref="G424" si="280">H415-G415</f>
        <v>#REF!</v>
      </c>
      <c r="H424" s="382" t="e">
        <f t="shared" ref="H424" si="281">G424/G415</f>
        <v>#REF!</v>
      </c>
      <c r="I424" s="381">
        <f t="shared" ref="I424" si="282">J415-I415</f>
        <v>73.776753103534247</v>
      </c>
      <c r="J424" s="382">
        <f t="shared" si="270"/>
        <v>4.003940981352451E-2</v>
      </c>
      <c r="K424" s="381" t="e">
        <f t="shared" ref="K424" si="283">L415-K415</f>
        <v>#REF!</v>
      </c>
      <c r="L424" s="206" t="e">
        <f t="shared" si="271"/>
        <v>#REF!</v>
      </c>
    </row>
    <row r="425" spans="1:12" s="115" customFormat="1">
      <c r="A425" s="209" t="s">
        <v>15</v>
      </c>
      <c r="B425" s="381">
        <f t="shared" si="268"/>
        <v>-2.3333333333333428</v>
      </c>
      <c r="C425" s="382">
        <f t="shared" si="269"/>
        <v>-1.5045674368619082E-2</v>
      </c>
      <c r="D425" s="375" t="s">
        <v>103</v>
      </c>
      <c r="E425" s="381">
        <f t="shared" ref="E425" si="284">F416-E416</f>
        <v>-4.8999999999999773</v>
      </c>
      <c r="F425" s="382">
        <f t="shared" ref="F425" si="285">E425/E416</f>
        <v>-1.7470674225407268E-2</v>
      </c>
      <c r="G425" s="381" t="e">
        <f t="shared" ref="G425" si="286">H416-G416</f>
        <v>#REF!</v>
      </c>
      <c r="H425" s="382" t="e">
        <f t="shared" ref="H425" si="287">G425/G416</f>
        <v>#REF!</v>
      </c>
      <c r="I425" s="381">
        <f t="shared" ref="I425" si="288">J416-I416</f>
        <v>-4.4526331249321593E-3</v>
      </c>
      <c r="J425" s="382">
        <f t="shared" si="270"/>
        <v>-2.4620429533457971E-3</v>
      </c>
      <c r="K425" s="381" t="e">
        <f t="shared" ref="K425" si="289">L416-K416</f>
        <v>#REF!</v>
      </c>
      <c r="L425" s="206" t="e">
        <f t="shared" si="271"/>
        <v>#REF!</v>
      </c>
    </row>
    <row r="426" spans="1:12" s="115" customFormat="1">
      <c r="A426" s="209" t="s">
        <v>16</v>
      </c>
      <c r="B426" s="381">
        <f t="shared" si="268"/>
        <v>182.16666666666697</v>
      </c>
      <c r="C426" s="382">
        <f t="shared" si="269"/>
        <v>5.3352207551314368E-2</v>
      </c>
      <c r="D426" s="375" t="s">
        <v>103</v>
      </c>
      <c r="E426" s="381">
        <f t="shared" ref="E426" si="290">F417-E417</f>
        <v>205.58999999999924</v>
      </c>
      <c r="F426" s="382">
        <f t="shared" ref="F426" si="291">E426/E417</f>
        <v>9.911199814879057E-2</v>
      </c>
      <c r="G426" s="381" t="e">
        <f t="shared" ref="G426" si="292">H417-G417</f>
        <v>#REF!</v>
      </c>
      <c r="H426" s="382" t="e">
        <f t="shared" ref="H426" si="293">G426/G417</f>
        <v>#REF!</v>
      </c>
      <c r="I426" s="381">
        <f t="shared" ref="I426" si="294">J417-I417</f>
        <v>2.6391839152572594E-2</v>
      </c>
      <c r="J426" s="382">
        <f t="shared" si="270"/>
        <v>4.344206075558725E-2</v>
      </c>
      <c r="K426" s="381" t="e">
        <f t="shared" ref="K426" si="295">L417-K417</f>
        <v>#REF!</v>
      </c>
      <c r="L426" s="206" t="e">
        <f t="shared" si="271"/>
        <v>#REF!</v>
      </c>
    </row>
    <row r="427" spans="1:12" s="115" customFormat="1">
      <c r="A427" s="209" t="s">
        <v>17</v>
      </c>
      <c r="B427" s="381">
        <f t="shared" si="268"/>
        <v>-2.1666666666666714</v>
      </c>
      <c r="C427" s="382">
        <f t="shared" si="269"/>
        <v>-2.9612756264236966E-2</v>
      </c>
      <c r="D427" s="375" t="s">
        <v>102</v>
      </c>
      <c r="E427" s="381">
        <f t="shared" ref="E427" si="296">F418-E418</f>
        <v>-720</v>
      </c>
      <c r="F427" s="382">
        <f t="shared" ref="F427" si="297">E427/E418</f>
        <v>-1.6364826532838752E-3</v>
      </c>
      <c r="G427" s="381" t="e">
        <f t="shared" ref="G427" si="298">H418-G418</f>
        <v>#REF!</v>
      </c>
      <c r="H427" s="382" t="e">
        <f t="shared" ref="H427" si="299">G427/G418</f>
        <v>#REF!</v>
      </c>
      <c r="I427" s="381">
        <f t="shared" ref="I427" si="300">J418-I418</f>
        <v>173.36148095864519</v>
      </c>
      <c r="J427" s="382">
        <f t="shared" si="270"/>
        <v>2.8830009660113631E-2</v>
      </c>
      <c r="K427" s="381" t="e">
        <f t="shared" ref="K427" si="301">L418-K418</f>
        <v>#REF!</v>
      </c>
      <c r="L427" s="206" t="e">
        <f t="shared" si="271"/>
        <v>#REF!</v>
      </c>
    </row>
    <row r="428" spans="1:12" s="115" customFormat="1" ht="13.5" thickBot="1">
      <c r="A428" s="189" t="s">
        <v>18</v>
      </c>
      <c r="B428" s="191">
        <f t="shared" si="268"/>
        <v>0</v>
      </c>
      <c r="C428" s="198">
        <f t="shared" si="269"/>
        <v>0</v>
      </c>
      <c r="D428" s="193" t="s">
        <v>103</v>
      </c>
      <c r="E428" s="191">
        <f t="shared" ref="E428" si="302">F419-E419</f>
        <v>-2.4000000000005457</v>
      </c>
      <c r="F428" s="198">
        <f t="shared" ref="F428" si="303">E428/E419</f>
        <v>-1.0162601626018568E-3</v>
      </c>
      <c r="G428" s="191" t="e">
        <f t="shared" ref="G428" si="304">H419-G419</f>
        <v>#REF!</v>
      </c>
      <c r="H428" s="198" t="e">
        <f t="shared" ref="H428" si="305">G428/G419</f>
        <v>#REF!</v>
      </c>
      <c r="I428" s="191">
        <f t="shared" ref="I428" si="306">J419-I419</f>
        <v>-2.4000000000005457</v>
      </c>
      <c r="J428" s="198">
        <f t="shared" si="270"/>
        <v>-1.0162601626018568E-3</v>
      </c>
      <c r="K428" s="191" t="e">
        <f t="shared" ref="K428" si="307">L419-K419</f>
        <v>#REF!</v>
      </c>
      <c r="L428" s="214" t="e">
        <f t="shared" si="271"/>
        <v>#REF!</v>
      </c>
    </row>
    <row r="429" spans="1:12" s="115" customFormat="1" ht="13.5" thickBot="1">
      <c r="A429" s="216" t="s">
        <v>19</v>
      </c>
      <c r="B429" s="186">
        <f>SUM(B422:B427)</f>
        <v>883.16666666666686</v>
      </c>
      <c r="C429" s="217">
        <f t="shared" si="269"/>
        <v>3.9322632590514786E-2</v>
      </c>
      <c r="D429" s="162"/>
      <c r="E429" s="162"/>
      <c r="F429" s="162"/>
      <c r="G429" s="162"/>
      <c r="H429" s="162"/>
      <c r="I429" s="162"/>
      <c r="J429" s="162"/>
      <c r="K429" s="162"/>
      <c r="L429" s="162"/>
    </row>
    <row r="430" spans="1:12" s="115" customFormat="1"/>
    <row r="431" spans="1:12" s="115" customFormat="1">
      <c r="A431" s="190" t="s">
        <v>124</v>
      </c>
      <c r="B431" s="162"/>
      <c r="C431" s="162"/>
      <c r="D431" s="162"/>
      <c r="E431" s="162"/>
    </row>
    <row r="432" spans="1:12" s="115" customFormat="1" ht="25.5">
      <c r="A432" s="369" t="s">
        <v>89</v>
      </c>
      <c r="B432" s="369" t="s">
        <v>72</v>
      </c>
      <c r="C432" s="369" t="s">
        <v>73</v>
      </c>
      <c r="D432" s="369" t="s">
        <v>91</v>
      </c>
      <c r="E432" s="369" t="s">
        <v>92</v>
      </c>
    </row>
    <row r="433" spans="1:12" s="115" customFormat="1">
      <c r="A433" s="370" t="s">
        <v>12</v>
      </c>
      <c r="B433" s="371">
        <f>C401</f>
        <v>9991023.0399999991</v>
      </c>
      <c r="C433" s="385">
        <v>9991023.0399999991</v>
      </c>
      <c r="D433" s="372">
        <f>C433-B433</f>
        <v>0</v>
      </c>
      <c r="E433" s="373">
        <f>D433/B433</f>
        <v>0</v>
      </c>
    </row>
    <row r="434" spans="1:12" s="115" customFormat="1">
      <c r="A434" s="370" t="s">
        <v>13</v>
      </c>
      <c r="B434" s="371">
        <f t="shared" ref="B434:B438" si="308">C402</f>
        <v>1038448.76</v>
      </c>
      <c r="C434" s="385">
        <v>1038448.76</v>
      </c>
      <c r="D434" s="372">
        <f t="shared" ref="D434:D439" si="309">C434-B434</f>
        <v>0</v>
      </c>
      <c r="E434" s="373">
        <f t="shared" ref="E434:E438" si="310">D434/B434</f>
        <v>0</v>
      </c>
    </row>
    <row r="435" spans="1:12" s="115" customFormat="1">
      <c r="A435" s="370" t="s">
        <v>14</v>
      </c>
      <c r="B435" s="371">
        <f t="shared" si="308"/>
        <v>914305.17</v>
      </c>
      <c r="C435" s="385">
        <v>914305.17</v>
      </c>
      <c r="D435" s="372">
        <f t="shared" si="309"/>
        <v>0</v>
      </c>
      <c r="E435" s="373">
        <f t="shared" si="310"/>
        <v>0</v>
      </c>
    </row>
    <row r="436" spans="1:12" s="115" customFormat="1">
      <c r="A436" s="370" t="s">
        <v>15</v>
      </c>
      <c r="B436" s="371">
        <f t="shared" si="308"/>
        <v>43959.77</v>
      </c>
      <c r="C436" s="386">
        <v>43959.77</v>
      </c>
      <c r="D436" s="372">
        <f t="shared" si="309"/>
        <v>0</v>
      </c>
      <c r="E436" s="373">
        <f t="shared" si="310"/>
        <v>0</v>
      </c>
    </row>
    <row r="437" spans="1:12" s="115" customFormat="1">
      <c r="A437" s="370" t="s">
        <v>16</v>
      </c>
      <c r="B437" s="371">
        <f t="shared" si="308"/>
        <v>261517.76</v>
      </c>
      <c r="C437" s="386">
        <v>261517.76</v>
      </c>
      <c r="D437" s="372">
        <f t="shared" si="309"/>
        <v>0</v>
      </c>
      <c r="E437" s="373">
        <f t="shared" si="310"/>
        <v>0</v>
      </c>
    </row>
    <row r="438" spans="1:12" s="115" customFormat="1" ht="13.5" thickBot="1">
      <c r="A438" s="215" t="s">
        <v>17</v>
      </c>
      <c r="B438" s="203">
        <f t="shared" si="308"/>
        <v>21025.51</v>
      </c>
      <c r="C438" s="222">
        <v>21025.51</v>
      </c>
      <c r="D438" s="210">
        <f t="shared" si="309"/>
        <v>0</v>
      </c>
      <c r="E438" s="212">
        <f t="shared" si="310"/>
        <v>0</v>
      </c>
    </row>
    <row r="439" spans="1:12" s="115" customFormat="1">
      <c r="A439" s="211" t="s">
        <v>19</v>
      </c>
      <c r="B439" s="205">
        <f>SUM(B433:B438)</f>
        <v>12270280.009999998</v>
      </c>
      <c r="C439" s="223">
        <f>SUM(C433:C438)</f>
        <v>12270280.009999998</v>
      </c>
      <c r="D439" s="195">
        <f t="shared" si="309"/>
        <v>0</v>
      </c>
      <c r="E439" s="192">
        <f>D439/B439</f>
        <v>0</v>
      </c>
    </row>
    <row r="440" spans="1:12" s="115" customFormat="1" ht="13.5" thickBot="1"/>
    <row r="441" spans="1:12" s="115" customFormat="1" ht="13.5" thickBot="1">
      <c r="A441" s="190" t="s">
        <v>125</v>
      </c>
      <c r="B441" s="162"/>
      <c r="C441" s="162"/>
      <c r="D441" s="162"/>
      <c r="E441" s="162"/>
      <c r="F441" s="162"/>
      <c r="G441" s="162"/>
      <c r="H441" s="162"/>
      <c r="I441" s="162"/>
      <c r="J441" s="162"/>
      <c r="K441" s="194" t="s">
        <v>123</v>
      </c>
      <c r="L441" s="201" t="e">
        <f>$F$123</f>
        <v>#REF!</v>
      </c>
    </row>
    <row r="442" spans="1:12" s="115" customFormat="1" ht="13.5" thickBot="1">
      <c r="A442" s="190"/>
      <c r="B442" s="162"/>
      <c r="C442" s="162"/>
      <c r="D442" s="162"/>
      <c r="E442" s="162"/>
      <c r="F442" s="162"/>
      <c r="G442" s="162"/>
      <c r="H442" s="162"/>
      <c r="I442" s="162"/>
      <c r="J442" s="162"/>
      <c r="K442" s="194" t="s">
        <v>126</v>
      </c>
      <c r="L442" s="201" t="e">
        <f>$F$124</f>
        <v>#REF!</v>
      </c>
    </row>
    <row r="443" spans="1:12" s="115" customFormat="1" ht="42" customHeight="1">
      <c r="A443" s="279" t="s">
        <v>95</v>
      </c>
      <c r="B443" s="281" t="s">
        <v>96</v>
      </c>
      <c r="C443" s="281"/>
      <c r="D443" s="281" t="s">
        <v>97</v>
      </c>
      <c r="E443" s="282" t="s">
        <v>98</v>
      </c>
      <c r="F443" s="282"/>
      <c r="G443" s="282" t="s">
        <v>99</v>
      </c>
      <c r="H443" s="282"/>
      <c r="I443" s="282" t="s">
        <v>100</v>
      </c>
      <c r="J443" s="282"/>
      <c r="K443" s="282" t="s">
        <v>101</v>
      </c>
      <c r="L443" s="283"/>
    </row>
    <row r="444" spans="1:12" s="115" customFormat="1">
      <c r="A444" s="280"/>
      <c r="B444" s="343" t="s">
        <v>72</v>
      </c>
      <c r="C444" s="343" t="s">
        <v>73</v>
      </c>
      <c r="D444" s="374"/>
      <c r="E444" s="343" t="s">
        <v>72</v>
      </c>
      <c r="F444" s="343" t="s">
        <v>73</v>
      </c>
      <c r="G444" s="343" t="s">
        <v>72</v>
      </c>
      <c r="H444" s="343" t="s">
        <v>73</v>
      </c>
      <c r="I444" s="343" t="s">
        <v>72</v>
      </c>
      <c r="J444" s="343" t="s">
        <v>73</v>
      </c>
      <c r="K444" s="343" t="s">
        <v>72</v>
      </c>
      <c r="L444" s="199" t="s">
        <v>73</v>
      </c>
    </row>
    <row r="445" spans="1:12" s="115" customFormat="1">
      <c r="A445" s="209" t="s">
        <v>12</v>
      </c>
      <c r="B445" s="372">
        <f>C413</f>
        <v>18253.333333333332</v>
      </c>
      <c r="C445" s="372">
        <f>$H$236</f>
        <v>18754.666666666668</v>
      </c>
      <c r="D445" s="375" t="s">
        <v>102</v>
      </c>
      <c r="E445" s="372">
        <f>F413</f>
        <v>178499709.20000005</v>
      </c>
      <c r="F445" s="372">
        <f>$H$237</f>
        <v>181843662.79904294</v>
      </c>
      <c r="G445" s="376" t="e">
        <f>E445*$L$441</f>
        <v>#REF!</v>
      </c>
      <c r="H445" s="376" t="e">
        <f>F445*$L$442</f>
        <v>#REF!</v>
      </c>
      <c r="I445" s="372">
        <f>E445/B445</f>
        <v>9779.0198612125678</v>
      </c>
      <c r="J445" s="372">
        <f>F445/C445</f>
        <v>9695.915476985796</v>
      </c>
      <c r="K445" s="372" t="e">
        <f>G445/B445</f>
        <v>#REF!</v>
      </c>
      <c r="L445" s="185" t="e">
        <f>H445/C445</f>
        <v>#REF!</v>
      </c>
    </row>
    <row r="446" spans="1:12" s="115" customFormat="1">
      <c r="A446" s="209" t="s">
        <v>13</v>
      </c>
      <c r="B446" s="372">
        <f t="shared" ref="B446:B451" si="311">C414</f>
        <v>1186.8333333333333</v>
      </c>
      <c r="C446" s="372">
        <f>$H$240</f>
        <v>1241.1666666666667</v>
      </c>
      <c r="D446" s="375" t="s">
        <v>102</v>
      </c>
      <c r="E446" s="372">
        <f t="shared" ref="E446:E451" si="312">F414</f>
        <v>39405376.530000001</v>
      </c>
      <c r="F446" s="372">
        <f>$H$241</f>
        <v>42008337.715448268</v>
      </c>
      <c r="G446" s="376" t="e">
        <f t="shared" ref="G446:G451" si="313">E446*$L$441</f>
        <v>#REF!</v>
      </c>
      <c r="H446" s="376" t="e">
        <f t="shared" ref="H446:H451" si="314">F446*$L$442</f>
        <v>#REF!</v>
      </c>
      <c r="I446" s="372">
        <f t="shared" ref="I446:I451" si="315">E446/B446</f>
        <v>33202.114756354451</v>
      </c>
      <c r="J446" s="372">
        <f t="shared" ref="J446:J451" si="316">F446/C446</f>
        <v>33845.847494654168</v>
      </c>
      <c r="K446" s="372" t="e">
        <f t="shared" ref="K446:K451" si="317">G446/B446</f>
        <v>#REF!</v>
      </c>
      <c r="L446" s="185" t="e">
        <f t="shared" ref="L446:L451" si="318">H446/C446</f>
        <v>#REF!</v>
      </c>
    </row>
    <row r="447" spans="1:12" s="115" customFormat="1">
      <c r="A447" s="209" t="s">
        <v>14</v>
      </c>
      <c r="B447" s="372">
        <f t="shared" si="311"/>
        <v>81.166666666666671</v>
      </c>
      <c r="C447" s="372">
        <f>$H$244</f>
        <v>82.25</v>
      </c>
      <c r="D447" s="375" t="s">
        <v>103</v>
      </c>
      <c r="E447" s="372">
        <f t="shared" si="312"/>
        <v>155546.19</v>
      </c>
      <c r="F447" s="377">
        <f>$H$246</f>
        <v>154917.50999999998</v>
      </c>
      <c r="G447" s="376" t="e">
        <f t="shared" si="313"/>
        <v>#REF!</v>
      </c>
      <c r="H447" s="376" t="e">
        <f t="shared" si="314"/>
        <v>#REF!</v>
      </c>
      <c r="I447" s="372">
        <f t="shared" si="315"/>
        <v>1916.3801642710471</v>
      </c>
      <c r="J447" s="372">
        <f t="shared" si="316"/>
        <v>1883.4955623100302</v>
      </c>
      <c r="K447" s="372" t="e">
        <f t="shared" si="317"/>
        <v>#REF!</v>
      </c>
      <c r="L447" s="185" t="e">
        <f t="shared" si="318"/>
        <v>#REF!</v>
      </c>
    </row>
    <row r="448" spans="1:12" s="115" customFormat="1">
      <c r="A448" s="209" t="s">
        <v>15</v>
      </c>
      <c r="B448" s="372">
        <f t="shared" si="311"/>
        <v>152.75</v>
      </c>
      <c r="C448" s="372">
        <f>$H$249</f>
        <v>150.66666666666666</v>
      </c>
      <c r="D448" s="375" t="s">
        <v>103</v>
      </c>
      <c r="E448" s="372">
        <f t="shared" si="312"/>
        <v>275.57000000000005</v>
      </c>
      <c r="F448" s="377">
        <f>$H$251</f>
        <v>271.08</v>
      </c>
      <c r="G448" s="376" t="e">
        <f t="shared" si="313"/>
        <v>#REF!</v>
      </c>
      <c r="H448" s="376" t="e">
        <f t="shared" si="314"/>
        <v>#REF!</v>
      </c>
      <c r="I448" s="372">
        <f t="shared" si="315"/>
        <v>1.804058919803601</v>
      </c>
      <c r="J448" s="372">
        <f t="shared" si="316"/>
        <v>1.7992035398230088</v>
      </c>
      <c r="K448" s="372" t="e">
        <f t="shared" si="317"/>
        <v>#REF!</v>
      </c>
      <c r="L448" s="185" t="e">
        <f t="shared" si="318"/>
        <v>#REF!</v>
      </c>
    </row>
    <row r="449" spans="1:12" s="115" customFormat="1">
      <c r="A449" s="209" t="s">
        <v>16</v>
      </c>
      <c r="B449" s="372">
        <f t="shared" si="311"/>
        <v>3596.5833333333335</v>
      </c>
      <c r="C449" s="372">
        <f>$H$254</f>
        <v>4014</v>
      </c>
      <c r="D449" s="375" t="s">
        <v>103</v>
      </c>
      <c r="E449" s="372">
        <f t="shared" si="312"/>
        <v>2279.9099999999989</v>
      </c>
      <c r="F449" s="377">
        <f>$H$256</f>
        <v>2453.62</v>
      </c>
      <c r="G449" s="376" t="e">
        <f t="shared" si="313"/>
        <v>#REF!</v>
      </c>
      <c r="H449" s="376" t="e">
        <f t="shared" si="314"/>
        <v>#REF!</v>
      </c>
      <c r="I449" s="372">
        <f t="shared" si="315"/>
        <v>0.63390996084246587</v>
      </c>
      <c r="J449" s="372">
        <f t="shared" si="316"/>
        <v>0.6112655705032386</v>
      </c>
      <c r="K449" s="372" t="e">
        <f t="shared" si="317"/>
        <v>#REF!</v>
      </c>
      <c r="L449" s="185" t="e">
        <f t="shared" si="318"/>
        <v>#REF!</v>
      </c>
    </row>
    <row r="450" spans="1:12" s="115" customFormat="1">
      <c r="A450" s="209" t="s">
        <v>17</v>
      </c>
      <c r="B450" s="372">
        <f t="shared" si="311"/>
        <v>71</v>
      </c>
      <c r="C450" s="372">
        <f>$H$259</f>
        <v>72.416666666666671</v>
      </c>
      <c r="D450" s="375" t="s">
        <v>102</v>
      </c>
      <c r="E450" s="372">
        <f t="shared" si="312"/>
        <v>439248</v>
      </c>
      <c r="F450" s="377">
        <f>$H$260</f>
        <v>447888</v>
      </c>
      <c r="G450" s="376" t="e">
        <f t="shared" si="313"/>
        <v>#REF!</v>
      </c>
      <c r="H450" s="376" t="e">
        <f t="shared" si="314"/>
        <v>#REF!</v>
      </c>
      <c r="I450" s="372">
        <f t="shared" si="315"/>
        <v>6186.5915492957747</v>
      </c>
      <c r="J450" s="372">
        <f t="shared" si="316"/>
        <v>6184.874568469505</v>
      </c>
      <c r="K450" s="372" t="e">
        <f t="shared" si="317"/>
        <v>#REF!</v>
      </c>
      <c r="L450" s="185" t="e">
        <f t="shared" si="318"/>
        <v>#REF!</v>
      </c>
    </row>
    <row r="451" spans="1:12" s="115" customFormat="1" ht="13.5" thickBot="1">
      <c r="A451" s="189" t="s">
        <v>18</v>
      </c>
      <c r="B451" s="210">
        <f t="shared" si="311"/>
        <v>1</v>
      </c>
      <c r="C451" s="210">
        <f>$H$263</f>
        <v>1</v>
      </c>
      <c r="D451" s="193" t="s">
        <v>103</v>
      </c>
      <c r="E451" s="210">
        <f t="shared" si="312"/>
        <v>2359.1999999999998</v>
      </c>
      <c r="F451" s="204">
        <f>$H$265</f>
        <v>2460</v>
      </c>
      <c r="G451" s="207" t="e">
        <f t="shared" si="313"/>
        <v>#REF!</v>
      </c>
      <c r="H451" s="207" t="e">
        <f t="shared" si="314"/>
        <v>#REF!</v>
      </c>
      <c r="I451" s="210">
        <f t="shared" si="315"/>
        <v>2359.1999999999998</v>
      </c>
      <c r="J451" s="210">
        <f t="shared" si="316"/>
        <v>2460</v>
      </c>
      <c r="K451" s="210" t="e">
        <f t="shared" si="317"/>
        <v>#REF!</v>
      </c>
      <c r="L451" s="208" t="e">
        <f t="shared" si="318"/>
        <v>#REF!</v>
      </c>
    </row>
    <row r="452" spans="1:12" s="115" customFormat="1" ht="13.5" thickBot="1">
      <c r="A452" s="197" t="s">
        <v>19</v>
      </c>
      <c r="B452" s="188">
        <f>SUM(B445:B451)</f>
        <v>23342.666666666664</v>
      </c>
      <c r="C452" s="188">
        <f>SUM(C445:C451)</f>
        <v>24316.166666666672</v>
      </c>
      <c r="D452" s="196"/>
      <c r="E452" s="196"/>
      <c r="F452" s="196"/>
      <c r="G452" s="196"/>
      <c r="H452" s="196"/>
      <c r="I452" s="196"/>
      <c r="J452" s="196"/>
      <c r="K452" s="196"/>
      <c r="L452" s="196"/>
    </row>
    <row r="453" spans="1:12" s="115" customFormat="1">
      <c r="A453" s="218" t="s">
        <v>104</v>
      </c>
      <c r="B453" s="200" t="s">
        <v>105</v>
      </c>
      <c r="C453" s="200" t="s">
        <v>106</v>
      </c>
      <c r="D453" s="219"/>
      <c r="E453" s="200" t="s">
        <v>98</v>
      </c>
      <c r="F453" s="200" t="s">
        <v>106</v>
      </c>
      <c r="G453" s="200" t="s">
        <v>98</v>
      </c>
      <c r="H453" s="200" t="s">
        <v>106</v>
      </c>
      <c r="I453" s="200" t="s">
        <v>107</v>
      </c>
      <c r="J453" s="200" t="s">
        <v>106</v>
      </c>
      <c r="K453" s="200" t="s">
        <v>107</v>
      </c>
      <c r="L453" s="220" t="s">
        <v>106</v>
      </c>
    </row>
    <row r="454" spans="1:12" s="115" customFormat="1">
      <c r="A454" s="209" t="s">
        <v>12</v>
      </c>
      <c r="B454" s="381">
        <f t="shared" ref="B454:B460" si="319">C445-B445</f>
        <v>501.33333333333576</v>
      </c>
      <c r="C454" s="382">
        <f t="shared" ref="C454:C461" si="320">B454/B445</f>
        <v>2.7465303140978951E-2</v>
      </c>
      <c r="D454" s="375" t="s">
        <v>102</v>
      </c>
      <c r="E454" s="381">
        <f>F445-E445</f>
        <v>3343953.5990428925</v>
      </c>
      <c r="F454" s="382">
        <f>E454/E445</f>
        <v>1.8733664127688628E-2</v>
      </c>
      <c r="G454" s="381" t="e">
        <f>H445-G445</f>
        <v>#REF!</v>
      </c>
      <c r="H454" s="382" t="e">
        <f>G454/G445</f>
        <v>#REF!</v>
      </c>
      <c r="I454" s="381">
        <f>J445-I445</f>
        <v>-83.104384226771799</v>
      </c>
      <c r="J454" s="382">
        <f t="shared" ref="J454:J460" si="321">I454/I445</f>
        <v>-8.4982324820094095E-3</v>
      </c>
      <c r="K454" s="381" t="e">
        <f>L445-K445</f>
        <v>#REF!</v>
      </c>
      <c r="L454" s="206" t="e">
        <f t="shared" ref="L454:L460" si="322">K454/K445</f>
        <v>#REF!</v>
      </c>
    </row>
    <row r="455" spans="1:12" s="115" customFormat="1">
      <c r="A455" s="209" t="s">
        <v>13</v>
      </c>
      <c r="B455" s="381">
        <f t="shared" si="319"/>
        <v>54.333333333333485</v>
      </c>
      <c r="C455" s="382">
        <f t="shared" si="320"/>
        <v>4.5780087066423385E-2</v>
      </c>
      <c r="D455" s="375" t="s">
        <v>102</v>
      </c>
      <c r="E455" s="381">
        <f t="shared" ref="E455" si="323">F446-E446</f>
        <v>2602961.1854482666</v>
      </c>
      <c r="F455" s="382">
        <f t="shared" ref="F455" si="324">E455/E446</f>
        <v>6.6055990696259101E-2</v>
      </c>
      <c r="G455" s="381" t="e">
        <f t="shared" ref="G455" si="325">H446-G446</f>
        <v>#REF!</v>
      </c>
      <c r="H455" s="382" t="e">
        <f t="shared" ref="H455" si="326">G455/G446</f>
        <v>#REF!</v>
      </c>
      <c r="I455" s="381">
        <f t="shared" ref="I455" si="327">J446-I446</f>
        <v>643.73273829971731</v>
      </c>
      <c r="J455" s="382">
        <f t="shared" si="321"/>
        <v>1.9388305324031064E-2</v>
      </c>
      <c r="K455" s="381" t="e">
        <f t="shared" ref="K455" si="328">L446-K446</f>
        <v>#REF!</v>
      </c>
      <c r="L455" s="206" t="e">
        <f t="shared" si="322"/>
        <v>#REF!</v>
      </c>
    </row>
    <row r="456" spans="1:12" s="115" customFormat="1">
      <c r="A456" s="209" t="s">
        <v>14</v>
      </c>
      <c r="B456" s="381">
        <f t="shared" si="319"/>
        <v>1.0833333333333286</v>
      </c>
      <c r="C456" s="382">
        <f t="shared" si="320"/>
        <v>1.3347022587268935E-2</v>
      </c>
      <c r="D456" s="375" t="s">
        <v>103</v>
      </c>
      <c r="E456" s="381">
        <f t="shared" ref="E456" si="329">F447-E447</f>
        <v>-628.68000000002212</v>
      </c>
      <c r="F456" s="382">
        <f t="shared" ref="F456" si="330">E456/E447</f>
        <v>-4.0417576283933547E-3</v>
      </c>
      <c r="G456" s="381" t="e">
        <f t="shared" ref="G456" si="331">H447-G447</f>
        <v>#REF!</v>
      </c>
      <c r="H456" s="382" t="e">
        <f t="shared" ref="H456" si="332">G456/G447</f>
        <v>#REF!</v>
      </c>
      <c r="I456" s="381">
        <f t="shared" ref="I456" si="333">J447-I447</f>
        <v>-32.88460196101687</v>
      </c>
      <c r="J456" s="382">
        <f t="shared" si="321"/>
        <v>-1.7159748662669717E-2</v>
      </c>
      <c r="K456" s="381" t="e">
        <f t="shared" ref="K456" si="334">L447-K447</f>
        <v>#REF!</v>
      </c>
      <c r="L456" s="206" t="e">
        <f t="shared" si="322"/>
        <v>#REF!</v>
      </c>
    </row>
    <row r="457" spans="1:12" s="115" customFormat="1">
      <c r="A457" s="209" t="s">
        <v>15</v>
      </c>
      <c r="B457" s="381">
        <f t="shared" si="319"/>
        <v>-2.0833333333333428</v>
      </c>
      <c r="C457" s="382">
        <f t="shared" si="320"/>
        <v>-1.363884342607753E-2</v>
      </c>
      <c r="D457" s="375" t="s">
        <v>103</v>
      </c>
      <c r="E457" s="381">
        <f t="shared" ref="E457" si="335">F448-E448</f>
        <v>-4.4900000000000659</v>
      </c>
      <c r="F457" s="382">
        <f t="shared" ref="F457" si="336">E457/E448</f>
        <v>-1.6293500743912854E-2</v>
      </c>
      <c r="G457" s="381" t="e">
        <f t="shared" ref="G457" si="337">H448-G448</f>
        <v>#REF!</v>
      </c>
      <c r="H457" s="382" t="e">
        <f t="shared" ref="H457" si="338">G457/G448</f>
        <v>#REF!</v>
      </c>
      <c r="I457" s="381">
        <f t="shared" ref="I457" si="339">J448-I448</f>
        <v>-4.855379980592156E-3</v>
      </c>
      <c r="J457" s="382">
        <f t="shared" si="321"/>
        <v>-2.6913644157036385E-3</v>
      </c>
      <c r="K457" s="381" t="e">
        <f t="shared" ref="K457" si="340">L448-K448</f>
        <v>#REF!</v>
      </c>
      <c r="L457" s="206" t="e">
        <f t="shared" si="322"/>
        <v>#REF!</v>
      </c>
    </row>
    <row r="458" spans="1:12" s="115" customFormat="1">
      <c r="A458" s="209" t="s">
        <v>16</v>
      </c>
      <c r="B458" s="381">
        <f t="shared" si="319"/>
        <v>417.41666666666652</v>
      </c>
      <c r="C458" s="382">
        <f t="shared" si="320"/>
        <v>0.11605922287356051</v>
      </c>
      <c r="D458" s="375" t="s">
        <v>103</v>
      </c>
      <c r="E458" s="381">
        <f t="shared" ref="E458" si="341">F449-E449</f>
        <v>173.71000000000095</v>
      </c>
      <c r="F458" s="382">
        <f t="shared" ref="F458" si="342">E458/E449</f>
        <v>7.6191604054546461E-2</v>
      </c>
      <c r="G458" s="381" t="e">
        <f t="shared" ref="G458" si="343">H449-G449</f>
        <v>#REF!</v>
      </c>
      <c r="H458" s="382" t="e">
        <f t="shared" ref="H458" si="344">G458/G449</f>
        <v>#REF!</v>
      </c>
      <c r="I458" s="381">
        <f t="shared" ref="I458" si="345">J449-I449</f>
        <v>-2.2644390339227272E-2</v>
      </c>
      <c r="J458" s="382">
        <f t="shared" si="321"/>
        <v>-3.5721777126096733E-2</v>
      </c>
      <c r="K458" s="381" t="e">
        <f t="shared" ref="K458" si="346">L449-K449</f>
        <v>#REF!</v>
      </c>
      <c r="L458" s="206" t="e">
        <f t="shared" si="322"/>
        <v>#REF!</v>
      </c>
    </row>
    <row r="459" spans="1:12" s="115" customFormat="1">
      <c r="A459" s="209" t="s">
        <v>17</v>
      </c>
      <c r="B459" s="381">
        <f t="shared" si="319"/>
        <v>1.4166666666666714</v>
      </c>
      <c r="C459" s="382">
        <f t="shared" si="320"/>
        <v>1.9953051643192554E-2</v>
      </c>
      <c r="D459" s="375" t="s">
        <v>102</v>
      </c>
      <c r="E459" s="381">
        <f t="shared" ref="E459" si="347">F450-E450</f>
        <v>8640</v>
      </c>
      <c r="F459" s="382">
        <f t="shared" ref="F459" si="348">E459/E450</f>
        <v>1.9669981422795323E-2</v>
      </c>
      <c r="G459" s="381" t="e">
        <f t="shared" ref="G459" si="349">H450-G450</f>
        <v>#REF!</v>
      </c>
      <c r="H459" s="382" t="e">
        <f t="shared" ref="H459" si="350">G459/G450</f>
        <v>#REF!</v>
      </c>
      <c r="I459" s="381">
        <f t="shared" ref="I459" si="351">J450-I450</f>
        <v>-1.7169808262697188</v>
      </c>
      <c r="J459" s="382">
        <f t="shared" si="321"/>
        <v>-2.7753259813396996E-4</v>
      </c>
      <c r="K459" s="381" t="e">
        <f t="shared" ref="K459" si="352">L450-K450</f>
        <v>#REF!</v>
      </c>
      <c r="L459" s="206" t="e">
        <f t="shared" si="322"/>
        <v>#REF!</v>
      </c>
    </row>
    <row r="460" spans="1:12" s="115" customFormat="1" ht="13.5" thickBot="1">
      <c r="A460" s="189" t="s">
        <v>18</v>
      </c>
      <c r="B460" s="191">
        <f t="shared" si="319"/>
        <v>0</v>
      </c>
      <c r="C460" s="198">
        <f t="shared" si="320"/>
        <v>0</v>
      </c>
      <c r="D460" s="193" t="s">
        <v>103</v>
      </c>
      <c r="E460" s="191">
        <f t="shared" ref="E460" si="353">F451-E451</f>
        <v>100.80000000000018</v>
      </c>
      <c r="F460" s="198">
        <f t="shared" ref="F460" si="354">E460/E451</f>
        <v>4.2726347914547387E-2</v>
      </c>
      <c r="G460" s="191" t="e">
        <f t="shared" ref="G460" si="355">H451-G451</f>
        <v>#REF!</v>
      </c>
      <c r="H460" s="198" t="e">
        <f t="shared" ref="H460" si="356">G460/G451</f>
        <v>#REF!</v>
      </c>
      <c r="I460" s="191">
        <f t="shared" ref="I460" si="357">J451-I451</f>
        <v>100.80000000000018</v>
      </c>
      <c r="J460" s="198">
        <f t="shared" si="321"/>
        <v>4.2726347914547387E-2</v>
      </c>
      <c r="K460" s="191" t="e">
        <f t="shared" ref="K460" si="358">L451-K451</f>
        <v>#REF!</v>
      </c>
      <c r="L460" s="214" t="e">
        <f t="shared" si="322"/>
        <v>#REF!</v>
      </c>
    </row>
    <row r="461" spans="1:12" s="115" customFormat="1" ht="13.5" thickBot="1">
      <c r="A461" s="216" t="s">
        <v>19</v>
      </c>
      <c r="B461" s="186">
        <f>SUM(B454:B459)</f>
        <v>973.50000000000239</v>
      </c>
      <c r="C461" s="217">
        <f t="shared" si="320"/>
        <v>4.1704746672759571E-2</v>
      </c>
      <c r="D461" s="162"/>
      <c r="E461" s="162"/>
      <c r="F461" s="162"/>
      <c r="G461" s="162"/>
      <c r="H461" s="162"/>
      <c r="I461" s="162"/>
      <c r="J461" s="162"/>
      <c r="K461" s="162"/>
      <c r="L461" s="162"/>
    </row>
    <row r="462" spans="1:12" s="115" customFormat="1" ht="14.45" customHeight="1"/>
    <row r="463" spans="1:12" s="115" customFormat="1">
      <c r="A463" s="190" t="s">
        <v>127</v>
      </c>
      <c r="B463" s="162"/>
      <c r="C463" s="162"/>
      <c r="D463" s="162"/>
      <c r="E463" s="162"/>
    </row>
    <row r="464" spans="1:12" s="115" customFormat="1" ht="25.5">
      <c r="A464" s="369" t="s">
        <v>89</v>
      </c>
      <c r="B464" s="369" t="s">
        <v>73</v>
      </c>
      <c r="C464" s="369" t="s">
        <v>9</v>
      </c>
      <c r="D464" s="369" t="s">
        <v>91</v>
      </c>
      <c r="E464" s="369" t="s">
        <v>92</v>
      </c>
    </row>
    <row r="465" spans="1:12" s="115" customFormat="1">
      <c r="A465" s="370" t="s">
        <v>12</v>
      </c>
      <c r="B465" s="385">
        <f>C433</f>
        <v>9991023.0399999991</v>
      </c>
      <c r="C465" s="385">
        <v>9991023.0399999991</v>
      </c>
      <c r="D465" s="372">
        <f>C465-B465</f>
        <v>0</v>
      </c>
      <c r="E465" s="373">
        <f>D465/B465</f>
        <v>0</v>
      </c>
    </row>
    <row r="466" spans="1:12" s="115" customFormat="1">
      <c r="A466" s="370" t="s">
        <v>13</v>
      </c>
      <c r="B466" s="385">
        <f t="shared" ref="B466:B470" si="359">C434</f>
        <v>1038448.76</v>
      </c>
      <c r="C466" s="385">
        <v>1038448.76</v>
      </c>
      <c r="D466" s="372">
        <f t="shared" ref="D466:D471" si="360">C466-B466</f>
        <v>0</v>
      </c>
      <c r="E466" s="373">
        <f t="shared" ref="E466:E470" si="361">D466/B466</f>
        <v>0</v>
      </c>
    </row>
    <row r="467" spans="1:12" s="115" customFormat="1">
      <c r="A467" s="370" t="s">
        <v>14</v>
      </c>
      <c r="B467" s="385">
        <f t="shared" si="359"/>
        <v>914305.17</v>
      </c>
      <c r="C467" s="385">
        <v>914305.17</v>
      </c>
      <c r="D467" s="372">
        <f t="shared" si="360"/>
        <v>0</v>
      </c>
      <c r="E467" s="373">
        <f t="shared" si="361"/>
        <v>0</v>
      </c>
    </row>
    <row r="468" spans="1:12" s="115" customFormat="1">
      <c r="A468" s="370" t="s">
        <v>15</v>
      </c>
      <c r="B468" s="385">
        <f t="shared" si="359"/>
        <v>43959.77</v>
      </c>
      <c r="C468" s="386">
        <v>43959.77</v>
      </c>
      <c r="D468" s="372">
        <f t="shared" si="360"/>
        <v>0</v>
      </c>
      <c r="E468" s="373">
        <f t="shared" si="361"/>
        <v>0</v>
      </c>
    </row>
    <row r="469" spans="1:12" s="115" customFormat="1">
      <c r="A469" s="370" t="s">
        <v>16</v>
      </c>
      <c r="B469" s="385">
        <f t="shared" si="359"/>
        <v>261517.76</v>
      </c>
      <c r="C469" s="386">
        <v>261517.76</v>
      </c>
      <c r="D469" s="372">
        <f t="shared" si="360"/>
        <v>0</v>
      </c>
      <c r="E469" s="373">
        <f t="shared" si="361"/>
        <v>0</v>
      </c>
    </row>
    <row r="470" spans="1:12" s="115" customFormat="1" ht="13.5" thickBot="1">
      <c r="A470" s="215" t="s">
        <v>17</v>
      </c>
      <c r="B470" s="222">
        <f t="shared" si="359"/>
        <v>21025.51</v>
      </c>
      <c r="C470" s="222">
        <v>21025.51</v>
      </c>
      <c r="D470" s="210">
        <f t="shared" si="360"/>
        <v>0</v>
      </c>
      <c r="E470" s="212">
        <f t="shared" si="361"/>
        <v>0</v>
      </c>
    </row>
    <row r="471" spans="1:12" s="115" customFormat="1">
      <c r="A471" s="211" t="s">
        <v>19</v>
      </c>
      <c r="B471" s="223">
        <f>SUM(B465:B470)</f>
        <v>12270280.009999998</v>
      </c>
      <c r="C471" s="223">
        <f>SUM(C465:C470)</f>
        <v>12270280.009999998</v>
      </c>
      <c r="D471" s="195">
        <f t="shared" si="360"/>
        <v>0</v>
      </c>
      <c r="E471" s="192">
        <f>D471/B471</f>
        <v>0</v>
      </c>
    </row>
    <row r="472" spans="1:12" s="115" customFormat="1"/>
    <row r="473" spans="1:12" s="115" customFormat="1" ht="13.5" thickBot="1">
      <c r="A473" s="190" t="s">
        <v>128</v>
      </c>
      <c r="B473" s="162"/>
      <c r="C473" s="162"/>
      <c r="D473" s="162"/>
      <c r="E473" s="162"/>
      <c r="F473" s="162"/>
      <c r="G473" s="162"/>
      <c r="H473" s="224"/>
      <c r="I473" s="224"/>
      <c r="J473" s="224"/>
      <c r="K473" s="224"/>
      <c r="L473" s="224"/>
    </row>
    <row r="474" spans="1:12" s="115" customFormat="1" ht="13.5" thickBot="1">
      <c r="A474" s="190"/>
      <c r="B474" s="162"/>
      <c r="C474" s="162"/>
      <c r="D474" s="162"/>
      <c r="E474" s="162"/>
      <c r="F474" s="162"/>
      <c r="G474" s="162"/>
      <c r="H474" s="162"/>
      <c r="I474" s="162"/>
      <c r="J474" s="162"/>
      <c r="K474" s="194" t="s">
        <v>126</v>
      </c>
      <c r="L474" s="201" t="e">
        <f>$F$124</f>
        <v>#REF!</v>
      </c>
    </row>
    <row r="475" spans="1:12" s="115" customFormat="1" ht="42.75" customHeight="1">
      <c r="A475" s="279" t="s">
        <v>95</v>
      </c>
      <c r="B475" s="281" t="s">
        <v>96</v>
      </c>
      <c r="C475" s="281"/>
      <c r="D475" s="281" t="s">
        <v>97</v>
      </c>
      <c r="E475" s="282" t="s">
        <v>98</v>
      </c>
      <c r="F475" s="282"/>
      <c r="G475" s="282" t="s">
        <v>99</v>
      </c>
      <c r="H475" s="282"/>
      <c r="I475" s="282" t="s">
        <v>100</v>
      </c>
      <c r="J475" s="282"/>
      <c r="K475" s="282" t="s">
        <v>101</v>
      </c>
      <c r="L475" s="283"/>
    </row>
    <row r="476" spans="1:12" s="115" customFormat="1">
      <c r="A476" s="280"/>
      <c r="B476" s="343" t="s">
        <v>73</v>
      </c>
      <c r="C476" s="343" t="s">
        <v>9</v>
      </c>
      <c r="D476" s="374"/>
      <c r="E476" s="343" t="s">
        <v>73</v>
      </c>
      <c r="F476" s="343" t="s">
        <v>9</v>
      </c>
      <c r="G476" s="343" t="s">
        <v>73</v>
      </c>
      <c r="H476" s="343" t="s">
        <v>9</v>
      </c>
      <c r="I476" s="343" t="s">
        <v>73</v>
      </c>
      <c r="J476" s="343" t="s">
        <v>9</v>
      </c>
      <c r="K476" s="343" t="s">
        <v>73</v>
      </c>
      <c r="L476" s="343" t="s">
        <v>9</v>
      </c>
    </row>
    <row r="477" spans="1:12" s="115" customFormat="1">
      <c r="A477" s="209" t="s">
        <v>12</v>
      </c>
      <c r="B477" s="372">
        <f>C445</f>
        <v>18754.666666666668</v>
      </c>
      <c r="C477" s="372">
        <f>$I$236</f>
        <v>19908.463839301028</v>
      </c>
      <c r="D477" s="375" t="s">
        <v>102</v>
      </c>
      <c r="E477" s="372">
        <f>F445</f>
        <v>181843662.79904294</v>
      </c>
      <c r="F477" s="372">
        <f>$I$237</f>
        <v>184240234.88300711</v>
      </c>
      <c r="G477" s="376" t="e">
        <f>E477*$L$474</f>
        <v>#REF!</v>
      </c>
      <c r="H477" s="376">
        <f>F477</f>
        <v>184240234.88300711</v>
      </c>
      <c r="I477" s="372">
        <f>E477/B477</f>
        <v>9695.915476985796</v>
      </c>
      <c r="J477" s="372">
        <f>F477/C477</f>
        <v>9254.3672063386912</v>
      </c>
      <c r="K477" s="372" t="e">
        <f>G477/B477</f>
        <v>#REF!</v>
      </c>
      <c r="L477" s="185">
        <f>H477/C477</f>
        <v>9254.3672063386912</v>
      </c>
    </row>
    <row r="478" spans="1:12" s="115" customFormat="1">
      <c r="A478" s="209" t="s">
        <v>13</v>
      </c>
      <c r="B478" s="372">
        <f t="shared" ref="B478:B483" si="362">C446</f>
        <v>1241.1666666666667</v>
      </c>
      <c r="C478" s="372">
        <f>$I$240</f>
        <v>1275.7732893284576</v>
      </c>
      <c r="D478" s="375" t="s">
        <v>102</v>
      </c>
      <c r="E478" s="372">
        <f t="shared" ref="E478:E483" si="363">F446</f>
        <v>42008337.715448268</v>
      </c>
      <c r="F478" s="372">
        <f>$I$241</f>
        <v>41213244.488030672</v>
      </c>
      <c r="G478" s="376" t="e">
        <f t="shared" ref="G478:G483" si="364">E478*$L$474</f>
        <v>#REF!</v>
      </c>
      <c r="H478" s="376">
        <f t="shared" ref="H478:H483" si="365">F478</f>
        <v>41213244.488030672</v>
      </c>
      <c r="I478" s="372">
        <f t="shared" ref="I478:I483" si="366">E478/B478</f>
        <v>33845.847494654168</v>
      </c>
      <c r="J478" s="372">
        <f t="shared" ref="J478:J483" si="367">F478/C478</f>
        <v>32304.520585882878</v>
      </c>
      <c r="K478" s="372" t="e">
        <f t="shared" ref="K478:K483" si="368">G478/B478</f>
        <v>#REF!</v>
      </c>
      <c r="L478" s="185">
        <f t="shared" ref="L478:L483" si="369">H478/C478</f>
        <v>32304.520585882878</v>
      </c>
    </row>
    <row r="479" spans="1:12" s="115" customFormat="1">
      <c r="A479" s="209" t="s">
        <v>14</v>
      </c>
      <c r="B479" s="372">
        <f t="shared" si="362"/>
        <v>82.25</v>
      </c>
      <c r="C479" s="372">
        <f>$I$244</f>
        <v>85.120889744039346</v>
      </c>
      <c r="D479" s="375" t="s">
        <v>103</v>
      </c>
      <c r="E479" s="372">
        <f t="shared" si="363"/>
        <v>154917.50999999998</v>
      </c>
      <c r="F479" s="377">
        <f>$I$246</f>
        <v>150464.78230440686</v>
      </c>
      <c r="G479" s="376" t="e">
        <f t="shared" si="364"/>
        <v>#REF!</v>
      </c>
      <c r="H479" s="376">
        <f t="shared" si="365"/>
        <v>150464.78230440686</v>
      </c>
      <c r="I479" s="372">
        <f t="shared" si="366"/>
        <v>1883.4955623100302</v>
      </c>
      <c r="J479" s="372">
        <f t="shared" si="367"/>
        <v>1767.65988650798</v>
      </c>
      <c r="K479" s="372" t="e">
        <f t="shared" si="368"/>
        <v>#REF!</v>
      </c>
      <c r="L479" s="185">
        <f t="shared" si="369"/>
        <v>1767.65988650798</v>
      </c>
    </row>
    <row r="480" spans="1:12" s="115" customFormat="1">
      <c r="A480" s="209" t="s">
        <v>15</v>
      </c>
      <c r="B480" s="372">
        <f t="shared" si="362"/>
        <v>150.66666666666666</v>
      </c>
      <c r="C480" s="372">
        <f>$I$249</f>
        <v>150.7618654442806</v>
      </c>
      <c r="D480" s="375" t="s">
        <v>103</v>
      </c>
      <c r="E480" s="372">
        <f t="shared" si="363"/>
        <v>271.08</v>
      </c>
      <c r="F480" s="377">
        <f>$I$251</f>
        <v>270.15196180093244</v>
      </c>
      <c r="G480" s="376" t="e">
        <f t="shared" si="364"/>
        <v>#REF!</v>
      </c>
      <c r="H480" s="376">
        <f t="shared" si="365"/>
        <v>270.15196180093244</v>
      </c>
      <c r="I480" s="372">
        <f t="shared" si="366"/>
        <v>1.7992035398230088</v>
      </c>
      <c r="J480" s="372">
        <f t="shared" si="367"/>
        <v>1.7919117742727633</v>
      </c>
      <c r="K480" s="372" t="e">
        <f t="shared" si="368"/>
        <v>#REF!</v>
      </c>
      <c r="L480" s="185">
        <f t="shared" si="369"/>
        <v>1.7919117742727633</v>
      </c>
    </row>
    <row r="481" spans="1:12" s="115" customFormat="1">
      <c r="A481" s="209" t="s">
        <v>16</v>
      </c>
      <c r="B481" s="372">
        <f t="shared" si="362"/>
        <v>4014</v>
      </c>
      <c r="C481" s="372">
        <f>$I$254</f>
        <v>4286.7530595146491</v>
      </c>
      <c r="D481" s="375" t="s">
        <v>103</v>
      </c>
      <c r="E481" s="372">
        <f t="shared" si="363"/>
        <v>2453.62</v>
      </c>
      <c r="F481" s="377">
        <f>$I$256</f>
        <v>2569.8883400869522</v>
      </c>
      <c r="G481" s="376" t="e">
        <f t="shared" si="364"/>
        <v>#REF!</v>
      </c>
      <c r="H481" s="376">
        <f t="shared" si="365"/>
        <v>2569.8883400869522</v>
      </c>
      <c r="I481" s="372">
        <f t="shared" si="366"/>
        <v>0.6112655705032386</v>
      </c>
      <c r="J481" s="372">
        <f t="shared" si="367"/>
        <v>0.5994953066827502</v>
      </c>
      <c r="K481" s="372" t="e">
        <f t="shared" si="368"/>
        <v>#REF!</v>
      </c>
      <c r="L481" s="185">
        <f t="shared" si="369"/>
        <v>0.5994953066827502</v>
      </c>
    </row>
    <row r="482" spans="1:12" s="115" customFormat="1">
      <c r="A482" s="209" t="s">
        <v>17</v>
      </c>
      <c r="B482" s="372">
        <f t="shared" si="362"/>
        <v>72.416666666666671</v>
      </c>
      <c r="C482" s="372">
        <f>$I$259</f>
        <v>76.366311195505986</v>
      </c>
      <c r="D482" s="375" t="s">
        <v>102</v>
      </c>
      <c r="E482" s="372">
        <f t="shared" si="363"/>
        <v>447888</v>
      </c>
      <c r="F482" s="377">
        <f>$I$260</f>
        <v>472316.05600091303</v>
      </c>
      <c r="G482" s="376" t="e">
        <f t="shared" si="364"/>
        <v>#REF!</v>
      </c>
      <c r="H482" s="376">
        <f t="shared" si="365"/>
        <v>472316.05600091303</v>
      </c>
      <c r="I482" s="372">
        <f t="shared" si="366"/>
        <v>6184.874568469505</v>
      </c>
      <c r="J482" s="372">
        <f t="shared" si="367"/>
        <v>6184.874568469505</v>
      </c>
      <c r="K482" s="372" t="e">
        <f t="shared" si="368"/>
        <v>#REF!</v>
      </c>
      <c r="L482" s="185">
        <f t="shared" si="369"/>
        <v>6184.874568469505</v>
      </c>
    </row>
    <row r="483" spans="1:12" s="115" customFormat="1" ht="13.5" thickBot="1">
      <c r="A483" s="189" t="s">
        <v>18</v>
      </c>
      <c r="B483" s="210">
        <f t="shared" si="362"/>
        <v>1</v>
      </c>
      <c r="C483" s="210">
        <f>$I$263</f>
        <v>1</v>
      </c>
      <c r="D483" s="193" t="s">
        <v>103</v>
      </c>
      <c r="E483" s="210">
        <f t="shared" si="363"/>
        <v>2460</v>
      </c>
      <c r="F483" s="204">
        <f>$I$265</f>
        <v>2361.3585976193021</v>
      </c>
      <c r="G483" s="207" t="e">
        <f t="shared" si="364"/>
        <v>#REF!</v>
      </c>
      <c r="H483" s="207">
        <f t="shared" si="365"/>
        <v>2361.3585976193021</v>
      </c>
      <c r="I483" s="210">
        <f t="shared" si="366"/>
        <v>2460</v>
      </c>
      <c r="J483" s="210">
        <f t="shared" si="367"/>
        <v>2361.3585976193021</v>
      </c>
      <c r="K483" s="210" t="e">
        <f t="shared" si="368"/>
        <v>#REF!</v>
      </c>
      <c r="L483" s="208">
        <f t="shared" si="369"/>
        <v>2361.3585976193021</v>
      </c>
    </row>
    <row r="484" spans="1:12" s="115" customFormat="1" ht="13.5" thickBot="1">
      <c r="A484" s="197" t="s">
        <v>19</v>
      </c>
      <c r="B484" s="188">
        <f>SUM(B477:B483)</f>
        <v>24316.166666666672</v>
      </c>
      <c r="C484" s="188">
        <f>SUM(C477:C483)</f>
        <v>25784.239254527965</v>
      </c>
      <c r="D484" s="196"/>
      <c r="E484" s="196"/>
      <c r="F484" s="196"/>
      <c r="G484" s="196"/>
      <c r="H484" s="196"/>
      <c r="I484" s="196"/>
      <c r="J484" s="196"/>
      <c r="K484" s="196"/>
      <c r="L484" s="196"/>
    </row>
    <row r="485" spans="1:12" s="115" customFormat="1">
      <c r="A485" s="218" t="s">
        <v>104</v>
      </c>
      <c r="B485" s="200" t="s">
        <v>105</v>
      </c>
      <c r="C485" s="200" t="s">
        <v>106</v>
      </c>
      <c r="D485" s="219"/>
      <c r="E485" s="200" t="s">
        <v>98</v>
      </c>
      <c r="F485" s="200" t="s">
        <v>106</v>
      </c>
      <c r="G485" s="200" t="s">
        <v>98</v>
      </c>
      <c r="H485" s="200" t="s">
        <v>106</v>
      </c>
      <c r="I485" s="200" t="s">
        <v>107</v>
      </c>
      <c r="J485" s="200" t="s">
        <v>106</v>
      </c>
      <c r="K485" s="200" t="s">
        <v>107</v>
      </c>
      <c r="L485" s="220" t="s">
        <v>106</v>
      </c>
    </row>
    <row r="486" spans="1:12" s="115" customFormat="1">
      <c r="A486" s="209" t="s">
        <v>12</v>
      </c>
      <c r="B486" s="381">
        <f t="shared" ref="B486:B492" si="370">C477-B477</f>
        <v>1153.7971726343603</v>
      </c>
      <c r="C486" s="382">
        <f t="shared" ref="C486:C493" si="371">B486/B477</f>
        <v>6.1520537428961339E-2</v>
      </c>
      <c r="D486" s="375" t="s">
        <v>102</v>
      </c>
      <c r="E486" s="381">
        <f>F477-E477</f>
        <v>2396572.083964169</v>
      </c>
      <c r="F486" s="382">
        <f>E486/E477</f>
        <v>1.317929944368005E-2</v>
      </c>
      <c r="G486" s="381" t="e">
        <f>H477-G477</f>
        <v>#REF!</v>
      </c>
      <c r="H486" s="382" t="e">
        <f>G486/G477</f>
        <v>#REF!</v>
      </c>
      <c r="I486" s="381">
        <f>J477-I477</f>
        <v>-441.5482706471048</v>
      </c>
      <c r="J486" s="382">
        <f t="shared" ref="J486:J492" si="372">I486/I477</f>
        <v>-4.5539616315257991E-2</v>
      </c>
      <c r="K486" s="381" t="e">
        <f>L477-K477</f>
        <v>#REF!</v>
      </c>
      <c r="L486" s="206" t="e">
        <f t="shared" ref="L486:L492" si="373">K486/K477</f>
        <v>#REF!</v>
      </c>
    </row>
    <row r="487" spans="1:12" s="115" customFormat="1">
      <c r="A487" s="209" t="s">
        <v>13</v>
      </c>
      <c r="B487" s="381">
        <f t="shared" si="370"/>
        <v>34.60662266179088</v>
      </c>
      <c r="C487" s="382">
        <f t="shared" si="371"/>
        <v>2.7882333284644189E-2</v>
      </c>
      <c r="D487" s="375" t="s">
        <v>102</v>
      </c>
      <c r="E487" s="381">
        <f t="shared" ref="E487" si="374">F478-E478</f>
        <v>-795093.22741759568</v>
      </c>
      <c r="F487" s="382">
        <f t="shared" ref="F487" si="375">E487/E478</f>
        <v>-1.8927033790370758E-2</v>
      </c>
      <c r="G487" s="381" t="e">
        <f t="shared" ref="G487" si="376">H478-G478</f>
        <v>#REF!</v>
      </c>
      <c r="H487" s="382" t="e">
        <f t="shared" ref="H487" si="377">G487/G478</f>
        <v>#REF!</v>
      </c>
      <c r="I487" s="381">
        <f t="shared" ref="I487" si="378">J478-I478</f>
        <v>-1541.3269087712906</v>
      </c>
      <c r="J487" s="382">
        <f t="shared" si="372"/>
        <v>-4.5539616315258102E-2</v>
      </c>
      <c r="K487" s="381" t="e">
        <f t="shared" ref="K487" si="379">L478-K478</f>
        <v>#REF!</v>
      </c>
      <c r="L487" s="206" t="e">
        <f t="shared" si="373"/>
        <v>#REF!</v>
      </c>
    </row>
    <row r="488" spans="1:12" s="115" customFormat="1">
      <c r="A488" s="209" t="s">
        <v>14</v>
      </c>
      <c r="B488" s="381">
        <f t="shared" si="370"/>
        <v>2.8708897440393457</v>
      </c>
      <c r="C488" s="382">
        <f t="shared" si="371"/>
        <v>3.4904434577985963E-2</v>
      </c>
      <c r="D488" s="375" t="s">
        <v>103</v>
      </c>
      <c r="E488" s="381">
        <f t="shared" ref="E488" si="380">F479-E479</f>
        <v>-4452.7276955931156</v>
      </c>
      <c r="F488" s="382">
        <f t="shared" ref="F488" si="381">E488/E479</f>
        <v>-2.8742572066857493E-2</v>
      </c>
      <c r="G488" s="381" t="e">
        <f t="shared" ref="G488" si="382">H479-G479</f>
        <v>#REF!</v>
      </c>
      <c r="H488" s="382" t="e">
        <f t="shared" ref="H488" si="383">G488/G479</f>
        <v>#REF!</v>
      </c>
      <c r="I488" s="381">
        <f t="shared" ref="I488" si="384">J479-I479</f>
        <v>-115.83567580205022</v>
      </c>
      <c r="J488" s="382">
        <f t="shared" si="372"/>
        <v>-6.1500370969806005E-2</v>
      </c>
      <c r="K488" s="381" t="e">
        <f t="shared" ref="K488" si="385">L479-K479</f>
        <v>#REF!</v>
      </c>
      <c r="L488" s="206" t="e">
        <f t="shared" si="373"/>
        <v>#REF!</v>
      </c>
    </row>
    <row r="489" spans="1:12" s="115" customFormat="1">
      <c r="A489" s="209" t="s">
        <v>15</v>
      </c>
      <c r="B489" s="381">
        <f t="shared" si="370"/>
        <v>9.5198777613944685E-2</v>
      </c>
      <c r="C489" s="382">
        <f t="shared" si="371"/>
        <v>6.3185029389786296E-4</v>
      </c>
      <c r="D489" s="375" t="s">
        <v>103</v>
      </c>
      <c r="E489" s="381">
        <f t="shared" ref="E489" si="386">F480-E480</f>
        <v>-0.9280381990675437</v>
      </c>
      <c r="F489" s="382">
        <f t="shared" ref="F489" si="387">E489/E480</f>
        <v>-3.4234845767579453E-3</v>
      </c>
      <c r="G489" s="381" t="e">
        <f t="shared" ref="G489" si="388">H480-G480</f>
        <v>#REF!</v>
      </c>
      <c r="H489" s="382" t="e">
        <f t="shared" ref="H489" si="389">G489/G480</f>
        <v>#REF!</v>
      </c>
      <c r="I489" s="381">
        <f t="shared" ref="I489" si="390">J480-I480</f>
        <v>-7.2917655502455769E-3</v>
      </c>
      <c r="J489" s="382">
        <f t="shared" si="372"/>
        <v>-4.0527741241343281E-3</v>
      </c>
      <c r="K489" s="381" t="e">
        <f t="shared" ref="K489" si="391">L480-K480</f>
        <v>#REF!</v>
      </c>
      <c r="L489" s="206" t="e">
        <f t="shared" si="373"/>
        <v>#REF!</v>
      </c>
    </row>
    <row r="490" spans="1:12" s="115" customFormat="1">
      <c r="A490" s="209" t="s">
        <v>16</v>
      </c>
      <c r="B490" s="381">
        <f t="shared" si="370"/>
        <v>272.75305951464907</v>
      </c>
      <c r="C490" s="382">
        <f t="shared" si="371"/>
        <v>6.7950438344456673E-2</v>
      </c>
      <c r="D490" s="375" t="s">
        <v>103</v>
      </c>
      <c r="E490" s="381">
        <f t="shared" ref="E490" si="392">F481-E481</f>
        <v>116.26834008695232</v>
      </c>
      <c r="F490" s="382">
        <f t="shared" ref="F490" si="393">E490/E481</f>
        <v>4.7386449444882392E-2</v>
      </c>
      <c r="G490" s="381" t="e">
        <f t="shared" ref="G490" si="394">H481-G481</f>
        <v>#REF!</v>
      </c>
      <c r="H490" s="382" t="e">
        <f t="shared" ref="H490" si="395">G490/G481</f>
        <v>#REF!</v>
      </c>
      <c r="I490" s="381">
        <f t="shared" ref="I490" si="396">J481-I481</f>
        <v>-1.1770263820488402E-2</v>
      </c>
      <c r="J490" s="382">
        <f t="shared" si="372"/>
        <v>-1.9255564828881591E-2</v>
      </c>
      <c r="K490" s="381" t="e">
        <f t="shared" ref="K490" si="397">L481-K481</f>
        <v>#REF!</v>
      </c>
      <c r="L490" s="206" t="e">
        <f t="shared" si="373"/>
        <v>#REF!</v>
      </c>
    </row>
    <row r="491" spans="1:12" s="115" customFormat="1">
      <c r="A491" s="209" t="s">
        <v>17</v>
      </c>
      <c r="B491" s="381">
        <f t="shared" si="370"/>
        <v>3.9496445288393147</v>
      </c>
      <c r="C491" s="382">
        <f t="shared" si="371"/>
        <v>5.4540545852786851E-2</v>
      </c>
      <c r="D491" s="375" t="s">
        <v>102</v>
      </c>
      <c r="E491" s="381">
        <f t="shared" ref="E491" si="398">F482-E482</f>
        <v>24428.056000913028</v>
      </c>
      <c r="F491" s="382">
        <f t="shared" ref="F491" si="399">E491/E482</f>
        <v>5.454054585278692E-2</v>
      </c>
      <c r="G491" s="381" t="e">
        <f t="shared" ref="G491" si="400">H482-G482</f>
        <v>#REF!</v>
      </c>
      <c r="H491" s="382" t="e">
        <f t="shared" ref="H491" si="401">G491/G482</f>
        <v>#REF!</v>
      </c>
      <c r="I491" s="381">
        <f t="shared" ref="I491" si="402">J482-I482</f>
        <v>0</v>
      </c>
      <c r="J491" s="382">
        <f t="shared" si="372"/>
        <v>0</v>
      </c>
      <c r="K491" s="381" t="e">
        <f t="shared" ref="K491" si="403">L482-K482</f>
        <v>#REF!</v>
      </c>
      <c r="L491" s="206" t="e">
        <f t="shared" si="373"/>
        <v>#REF!</v>
      </c>
    </row>
    <row r="492" spans="1:12" s="115" customFormat="1" ht="13.5" thickBot="1">
      <c r="A492" s="189" t="s">
        <v>18</v>
      </c>
      <c r="B492" s="191">
        <f t="shared" si="370"/>
        <v>0</v>
      </c>
      <c r="C492" s="198">
        <f t="shared" si="371"/>
        <v>0</v>
      </c>
      <c r="D492" s="193" t="s">
        <v>103</v>
      </c>
      <c r="E492" s="191">
        <f t="shared" ref="E492" si="404">F483-E483</f>
        <v>-98.641402380697855</v>
      </c>
      <c r="F492" s="198">
        <f t="shared" ref="F492" si="405">E492/E483</f>
        <v>-4.0098131049064172E-2</v>
      </c>
      <c r="G492" s="191" t="e">
        <f t="shared" ref="G492" si="406">H483-G483</f>
        <v>#REF!</v>
      </c>
      <c r="H492" s="198" t="e">
        <f t="shared" ref="H492" si="407">G492/G483</f>
        <v>#REF!</v>
      </c>
      <c r="I492" s="191">
        <f t="shared" ref="I492" si="408">J483-I483</f>
        <v>-98.641402380697855</v>
      </c>
      <c r="J492" s="198">
        <f t="shared" si="372"/>
        <v>-4.0098131049064172E-2</v>
      </c>
      <c r="K492" s="191" t="e">
        <f t="shared" ref="K492" si="409">L483-K483</f>
        <v>#REF!</v>
      </c>
      <c r="L492" s="214" t="e">
        <f t="shared" si="373"/>
        <v>#REF!</v>
      </c>
    </row>
    <row r="493" spans="1:12" s="118" customFormat="1" ht="13.5" thickBot="1">
      <c r="A493" s="216" t="s">
        <v>19</v>
      </c>
      <c r="B493" s="186">
        <f>SUM(B486:B491)</f>
        <v>1468.0725878612927</v>
      </c>
      <c r="C493" s="217">
        <f t="shared" si="371"/>
        <v>6.0374343044529731E-2</v>
      </c>
      <c r="D493" s="162"/>
      <c r="E493" s="162"/>
      <c r="F493" s="162"/>
      <c r="G493" s="162"/>
      <c r="H493" s="162"/>
      <c r="I493" s="162"/>
      <c r="J493" s="162"/>
      <c r="K493" s="162"/>
      <c r="L493" s="162"/>
    </row>
    <row r="494" spans="1:12" s="118" customFormat="1"/>
    <row r="495" spans="1:12" s="118" customFormat="1">
      <c r="A495" s="124" t="s">
        <v>129</v>
      </c>
      <c r="B495" s="115"/>
      <c r="C495" s="115"/>
      <c r="D495" s="115"/>
      <c r="E495" s="115"/>
      <c r="F495" s="115"/>
      <c r="G495" s="115"/>
      <c r="H495" s="115"/>
      <c r="I495" s="115"/>
      <c r="J495" s="115"/>
      <c r="K495" s="115"/>
      <c r="L495" s="115"/>
    </row>
    <row r="496" spans="1:12" s="118" customFormat="1" ht="25.5">
      <c r="A496" s="369" t="s">
        <v>89</v>
      </c>
      <c r="B496" s="369" t="s">
        <v>9</v>
      </c>
      <c r="C496" s="369" t="s">
        <v>10</v>
      </c>
      <c r="D496" s="369" t="s">
        <v>91</v>
      </c>
      <c r="E496" s="369" t="s">
        <v>92</v>
      </c>
      <c r="F496" s="115"/>
      <c r="G496" s="115"/>
      <c r="H496" s="115"/>
      <c r="I496" s="115"/>
      <c r="J496" s="115"/>
      <c r="K496" s="115"/>
      <c r="L496" s="115"/>
    </row>
    <row r="497" spans="1:12" s="118" customFormat="1">
      <c r="A497" s="370" t="s">
        <v>12</v>
      </c>
      <c r="B497" s="385">
        <f>C465</f>
        <v>9991023.0399999991</v>
      </c>
      <c r="C497" s="385">
        <v>9991023.0399999991</v>
      </c>
      <c r="D497" s="372">
        <f>C497-B497</f>
        <v>0</v>
      </c>
      <c r="E497" s="373">
        <f>D497/B497</f>
        <v>0</v>
      </c>
      <c r="F497" s="115"/>
      <c r="G497" s="115"/>
      <c r="H497" s="115"/>
      <c r="I497" s="115"/>
      <c r="J497" s="115"/>
      <c r="K497" s="115"/>
      <c r="L497" s="115"/>
    </row>
    <row r="498" spans="1:12" s="118" customFormat="1">
      <c r="A498" s="370" t="s">
        <v>13</v>
      </c>
      <c r="B498" s="385">
        <f t="shared" ref="B498:B502" si="410">C466</f>
        <v>1038448.76</v>
      </c>
      <c r="C498" s="385">
        <v>1038448.76</v>
      </c>
      <c r="D498" s="372">
        <f t="shared" ref="D498:D503" si="411">C498-B498</f>
        <v>0</v>
      </c>
      <c r="E498" s="373">
        <f t="shared" ref="E498:E502" si="412">D498/B498</f>
        <v>0</v>
      </c>
      <c r="F498" s="115"/>
      <c r="G498" s="115"/>
      <c r="H498" s="115"/>
      <c r="I498" s="115"/>
      <c r="J498" s="115"/>
      <c r="K498" s="115"/>
      <c r="L498" s="115"/>
    </row>
    <row r="499" spans="1:12" s="118" customFormat="1">
      <c r="A499" s="370" t="s">
        <v>14</v>
      </c>
      <c r="B499" s="385">
        <f t="shared" si="410"/>
        <v>914305.17</v>
      </c>
      <c r="C499" s="385">
        <v>914305.17</v>
      </c>
      <c r="D499" s="372">
        <f t="shared" si="411"/>
        <v>0</v>
      </c>
      <c r="E499" s="373">
        <f t="shared" si="412"/>
        <v>0</v>
      </c>
      <c r="F499" s="115"/>
      <c r="G499" s="115"/>
      <c r="H499" s="115"/>
      <c r="I499" s="115"/>
      <c r="J499" s="115"/>
      <c r="K499" s="115"/>
      <c r="L499" s="115"/>
    </row>
    <row r="500" spans="1:12" s="118" customFormat="1">
      <c r="A500" s="370" t="s">
        <v>15</v>
      </c>
      <c r="B500" s="385">
        <f t="shared" si="410"/>
        <v>43959.77</v>
      </c>
      <c r="C500" s="386">
        <v>43959.77</v>
      </c>
      <c r="D500" s="372">
        <f t="shared" si="411"/>
        <v>0</v>
      </c>
      <c r="E500" s="373">
        <f t="shared" si="412"/>
        <v>0</v>
      </c>
      <c r="F500" s="115"/>
      <c r="G500" s="115"/>
      <c r="H500" s="115"/>
      <c r="I500" s="115"/>
      <c r="J500" s="115"/>
      <c r="K500" s="115"/>
      <c r="L500" s="115"/>
    </row>
    <row r="501" spans="1:12" s="118" customFormat="1">
      <c r="A501" s="370" t="s">
        <v>16</v>
      </c>
      <c r="B501" s="385">
        <f t="shared" si="410"/>
        <v>261517.76</v>
      </c>
      <c r="C501" s="386">
        <v>261517.76</v>
      </c>
      <c r="D501" s="372">
        <f t="shared" si="411"/>
        <v>0</v>
      </c>
      <c r="E501" s="373">
        <f t="shared" si="412"/>
        <v>0</v>
      </c>
      <c r="F501" s="115"/>
      <c r="G501" s="115"/>
      <c r="H501" s="115"/>
      <c r="I501" s="115"/>
      <c r="J501" s="115"/>
      <c r="K501" s="115"/>
      <c r="L501" s="115"/>
    </row>
    <row r="502" spans="1:12" s="118" customFormat="1" ht="13.5" thickBot="1">
      <c r="A502" s="215" t="s">
        <v>17</v>
      </c>
      <c r="B502" s="222">
        <f t="shared" si="410"/>
        <v>21025.51</v>
      </c>
      <c r="C502" s="222">
        <v>21025.51</v>
      </c>
      <c r="D502" s="210">
        <f t="shared" si="411"/>
        <v>0</v>
      </c>
      <c r="E502" s="212">
        <f t="shared" si="412"/>
        <v>0</v>
      </c>
      <c r="F502" s="115"/>
      <c r="G502" s="115"/>
      <c r="H502" s="115"/>
      <c r="I502" s="115"/>
      <c r="J502" s="115"/>
      <c r="K502" s="115"/>
      <c r="L502" s="115"/>
    </row>
    <row r="503" spans="1:12" s="118" customFormat="1">
      <c r="A503" s="211" t="s">
        <v>19</v>
      </c>
      <c r="B503" s="223">
        <f>SUM(B497:B502)</f>
        <v>12270280.009999998</v>
      </c>
      <c r="C503" s="223">
        <f>SUM(C497:C502)</f>
        <v>12270280.009999998</v>
      </c>
      <c r="D503" s="195">
        <f t="shared" si="411"/>
        <v>0</v>
      </c>
      <c r="E503" s="192">
        <f>D503/B503</f>
        <v>0</v>
      </c>
      <c r="F503" s="115"/>
      <c r="G503" s="115"/>
      <c r="H503" s="115"/>
      <c r="I503" s="115"/>
      <c r="J503" s="115"/>
      <c r="K503" s="115"/>
      <c r="L503" s="115"/>
    </row>
    <row r="504" spans="1:12" s="118" customFormat="1">
      <c r="A504" s="115"/>
      <c r="B504" s="115"/>
      <c r="C504" s="115"/>
      <c r="D504" s="115"/>
      <c r="E504" s="115"/>
      <c r="F504" s="115"/>
      <c r="G504" s="115"/>
      <c r="H504" s="115"/>
      <c r="I504" s="115"/>
      <c r="J504" s="115"/>
      <c r="K504" s="115"/>
      <c r="L504" s="115"/>
    </row>
    <row r="505" spans="1:12" s="118" customFormat="1">
      <c r="A505" s="190" t="s">
        <v>130</v>
      </c>
      <c r="B505" s="162"/>
      <c r="C505" s="162"/>
      <c r="D505" s="162"/>
      <c r="E505" s="162"/>
      <c r="F505" s="162"/>
      <c r="G505" s="162"/>
      <c r="H505" s="224"/>
      <c r="I505"/>
      <c r="J505"/>
      <c r="K505"/>
      <c r="L505"/>
    </row>
    <row r="506" spans="1:12" s="118" customFormat="1" ht="13.5" thickBot="1">
      <c r="A506" s="190"/>
      <c r="B506" s="162"/>
      <c r="C506" s="162"/>
      <c r="D506" s="162"/>
      <c r="E506" s="162"/>
      <c r="F506" s="162"/>
      <c r="G506" s="162"/>
      <c r="H506" s="162"/>
      <c r="I506"/>
      <c r="J506"/>
      <c r="K506"/>
      <c r="L506"/>
    </row>
    <row r="507" spans="1:12" s="118" customFormat="1" ht="42.75" customHeight="1">
      <c r="A507" s="279" t="s">
        <v>95</v>
      </c>
      <c r="B507" s="281" t="s">
        <v>96</v>
      </c>
      <c r="C507" s="281"/>
      <c r="D507" s="281" t="s">
        <v>97</v>
      </c>
      <c r="E507" s="282" t="s">
        <v>99</v>
      </c>
      <c r="F507" s="282"/>
      <c r="G507" s="282" t="s">
        <v>101</v>
      </c>
      <c r="H507" s="283"/>
      <c r="I507"/>
      <c r="J507"/>
    </row>
    <row r="508" spans="1:12" s="118" customFormat="1">
      <c r="A508" s="280"/>
      <c r="B508" s="343" t="s">
        <v>9</v>
      </c>
      <c r="C508" s="343" t="s">
        <v>10</v>
      </c>
      <c r="D508" s="374"/>
      <c r="E508" s="343" t="s">
        <v>9</v>
      </c>
      <c r="F508" s="343" t="s">
        <v>10</v>
      </c>
      <c r="G508" s="343" t="s">
        <v>9</v>
      </c>
      <c r="H508" s="343" t="s">
        <v>10</v>
      </c>
      <c r="I508"/>
      <c r="J508"/>
    </row>
    <row r="509" spans="1:12" s="118" customFormat="1">
      <c r="A509" s="209" t="s">
        <v>12</v>
      </c>
      <c r="B509" s="372">
        <f>C477</f>
        <v>19908.463839301028</v>
      </c>
      <c r="C509" s="372">
        <f>$J$236</f>
        <v>20636.220268069355</v>
      </c>
      <c r="D509" s="375" t="s">
        <v>102</v>
      </c>
      <c r="E509" s="372">
        <f>F477</f>
        <v>184240234.88300711</v>
      </c>
      <c r="F509" s="372">
        <f>$J$237</f>
        <v>192531906.87263227</v>
      </c>
      <c r="G509" s="372">
        <f t="shared" ref="G509:H515" si="413">E509/B509</f>
        <v>9254.3672063386912</v>
      </c>
      <c r="H509" s="372">
        <f t="shared" si="413"/>
        <v>9329.8047981460513</v>
      </c>
      <c r="I509"/>
      <c r="J509"/>
    </row>
    <row r="510" spans="1:12" s="118" customFormat="1">
      <c r="A510" s="209" t="s">
        <v>13</v>
      </c>
      <c r="B510" s="372">
        <f t="shared" ref="B510:B515" si="414">C478</f>
        <v>1275.7732893284576</v>
      </c>
      <c r="C510" s="372">
        <f>$J$240</f>
        <v>1314.0818521795097</v>
      </c>
      <c r="D510" s="375" t="s">
        <v>102</v>
      </c>
      <c r="E510" s="372">
        <f t="shared" ref="E510:E515" si="415">F478</f>
        <v>41213244.488030672</v>
      </c>
      <c r="F510" s="372">
        <f>$J$241</f>
        <v>42796824.645696916</v>
      </c>
      <c r="G510" s="372">
        <f t="shared" si="413"/>
        <v>32304.520585882878</v>
      </c>
      <c r="H510" s="372">
        <f t="shared" si="413"/>
        <v>32567.853041052931</v>
      </c>
      <c r="I510"/>
      <c r="J510"/>
    </row>
    <row r="511" spans="1:12" s="118" customFormat="1">
      <c r="A511" s="209" t="s">
        <v>14</v>
      </c>
      <c r="B511" s="372">
        <f t="shared" si="414"/>
        <v>85.120889744039346</v>
      </c>
      <c r="C511" s="372">
        <f>$J$244</f>
        <v>87.089175994942835</v>
      </c>
      <c r="D511" s="375" t="s">
        <v>103</v>
      </c>
      <c r="E511" s="372">
        <f t="shared" si="415"/>
        <v>150464.78230440686</v>
      </c>
      <c r="F511" s="377">
        <f>$J$246</f>
        <v>154922.83417065753</v>
      </c>
      <c r="G511" s="372">
        <f t="shared" si="413"/>
        <v>1767.65988650798</v>
      </c>
      <c r="H511" s="372">
        <f t="shared" si="413"/>
        <v>1778.8988401917331</v>
      </c>
      <c r="I511"/>
      <c r="J511"/>
    </row>
    <row r="512" spans="1:12" s="118" customFormat="1">
      <c r="A512" s="209" t="s">
        <v>15</v>
      </c>
      <c r="B512" s="372">
        <f t="shared" si="414"/>
        <v>150.7618654442806</v>
      </c>
      <c r="C512" s="372">
        <f>$J$249</f>
        <v>149.12906411168251</v>
      </c>
      <c r="D512" s="375" t="s">
        <v>103</v>
      </c>
      <c r="E512" s="372">
        <f t="shared" si="415"/>
        <v>270.15196180093244</v>
      </c>
      <c r="F512" s="377">
        <f>$J$251</f>
        <v>267.22612586800165</v>
      </c>
      <c r="G512" s="372">
        <f t="shared" si="413"/>
        <v>1.7919117742727633</v>
      </c>
      <c r="H512" s="372">
        <f t="shared" si="413"/>
        <v>1.791911774272763</v>
      </c>
      <c r="I512"/>
      <c r="J512"/>
    </row>
    <row r="513" spans="1:12" s="118" customFormat="1">
      <c r="A513" s="209" t="s">
        <v>16</v>
      </c>
      <c r="B513" s="372">
        <f t="shared" si="414"/>
        <v>4286.7530595146491</v>
      </c>
      <c r="C513" s="372">
        <f>$J$254</f>
        <v>4460.1153969840689</v>
      </c>
      <c r="D513" s="375" t="s">
        <v>103</v>
      </c>
      <c r="E513" s="372">
        <f t="shared" si="415"/>
        <v>2569.8883400869522</v>
      </c>
      <c r="F513" s="377">
        <f>$J$256</f>
        <v>2673.8182477554205</v>
      </c>
      <c r="G513" s="372">
        <f t="shared" si="413"/>
        <v>0.5994953066827502</v>
      </c>
      <c r="H513" s="372">
        <f t="shared" si="413"/>
        <v>0.5994953066827502</v>
      </c>
      <c r="I513"/>
      <c r="J513"/>
    </row>
    <row r="514" spans="1:12" s="118" customFormat="1">
      <c r="A514" s="209" t="s">
        <v>17</v>
      </c>
      <c r="B514" s="372">
        <f t="shared" si="414"/>
        <v>76.366311195505986</v>
      </c>
      <c r="C514" s="372">
        <f>$J$259</f>
        <v>75.443622648698025</v>
      </c>
      <c r="D514" s="375" t="s">
        <v>102</v>
      </c>
      <c r="E514" s="372">
        <f t="shared" si="415"/>
        <v>472316.05600091303</v>
      </c>
      <c r="F514" s="377">
        <f>$J$260</f>
        <v>466609.34307314234</v>
      </c>
      <c r="G514" s="372">
        <f t="shared" si="413"/>
        <v>6184.874568469505</v>
      </c>
      <c r="H514" s="372">
        <f t="shared" si="413"/>
        <v>6184.874568469505</v>
      </c>
      <c r="I514"/>
      <c r="J514"/>
    </row>
    <row r="515" spans="1:12" s="118" customFormat="1" ht="13.5" thickBot="1">
      <c r="A515" s="189" t="s">
        <v>18</v>
      </c>
      <c r="B515" s="210">
        <f t="shared" si="414"/>
        <v>1</v>
      </c>
      <c r="C515" s="210">
        <f>$J$263</f>
        <v>1</v>
      </c>
      <c r="D515" s="193" t="s">
        <v>103</v>
      </c>
      <c r="E515" s="210">
        <f t="shared" si="415"/>
        <v>2361.3585976193021</v>
      </c>
      <c r="F515" s="204">
        <f>$J$265</f>
        <v>2361.3585976193021</v>
      </c>
      <c r="G515" s="210">
        <f t="shared" si="413"/>
        <v>2361.3585976193021</v>
      </c>
      <c r="H515" s="210">
        <f t="shared" si="413"/>
        <v>2361.3585976193021</v>
      </c>
      <c r="I515"/>
      <c r="J515"/>
    </row>
    <row r="516" spans="1:12" s="118" customFormat="1" ht="13.5" thickBot="1">
      <c r="A516" s="197" t="s">
        <v>19</v>
      </c>
      <c r="B516" s="188">
        <f>SUM(B509:B515)</f>
        <v>25784.239254527965</v>
      </c>
      <c r="C516" s="188">
        <f>SUM(C509:C515)</f>
        <v>26723.079379988256</v>
      </c>
      <c r="D516" s="196"/>
      <c r="E516" s="196"/>
      <c r="F516" s="196"/>
      <c r="G516" s="196"/>
      <c r="H516" s="196"/>
      <c r="I516"/>
      <c r="J516"/>
    </row>
    <row r="517" spans="1:12" s="118" customFormat="1">
      <c r="A517" s="218" t="s">
        <v>104</v>
      </c>
      <c r="B517" s="200" t="s">
        <v>105</v>
      </c>
      <c r="C517" s="200" t="s">
        <v>106</v>
      </c>
      <c r="D517" s="219"/>
      <c r="E517" s="200" t="s">
        <v>98</v>
      </c>
      <c r="F517" s="200" t="s">
        <v>106</v>
      </c>
      <c r="G517" s="200" t="s">
        <v>107</v>
      </c>
      <c r="H517" s="200" t="s">
        <v>106</v>
      </c>
      <c r="I517"/>
      <c r="J517"/>
    </row>
    <row r="518" spans="1:12" s="118" customFormat="1">
      <c r="A518" s="209" t="s">
        <v>12</v>
      </c>
      <c r="B518" s="381">
        <f t="shared" ref="B518:B524" si="416">C509-B509</f>
        <v>727.75642876832717</v>
      </c>
      <c r="C518" s="382">
        <f t="shared" ref="C518:C525" si="417">B518/B509</f>
        <v>3.6555127238479999E-2</v>
      </c>
      <c r="D518" s="375" t="s">
        <v>102</v>
      </c>
      <c r="E518" s="381">
        <f>F509-E509</f>
        <v>8291671.9896251559</v>
      </c>
      <c r="F518" s="382">
        <f>E518/E509</f>
        <v>4.5004675525356246E-2</v>
      </c>
      <c r="G518" s="381">
        <f>H509-G509</f>
        <v>75.43759180736015</v>
      </c>
      <c r="H518" s="382">
        <f t="shared" ref="H518:H524" si="418">G518/G509</f>
        <v>8.1515667279433088E-3</v>
      </c>
      <c r="I518"/>
      <c r="J518"/>
    </row>
    <row r="519" spans="1:12" s="118" customFormat="1">
      <c r="A519" s="209" t="s">
        <v>13</v>
      </c>
      <c r="B519" s="381">
        <f t="shared" si="416"/>
        <v>38.308562851052102</v>
      </c>
      <c r="C519" s="382">
        <f t="shared" si="417"/>
        <v>3.0027719792767402E-2</v>
      </c>
      <c r="D519" s="375" t="s">
        <v>102</v>
      </c>
      <c r="E519" s="381">
        <f t="shared" ref="E519" si="419">F510-E510</f>
        <v>1583580.1576662436</v>
      </c>
      <c r="F519" s="382">
        <f t="shared" ref="F519" si="420">E519/E510</f>
        <v>3.8424059482289823E-2</v>
      </c>
      <c r="G519" s="381">
        <f t="shared" ref="G519" si="421">H510-G510</f>
        <v>263.33245517005344</v>
      </c>
      <c r="H519" s="382">
        <f t="shared" si="418"/>
        <v>8.1515667279436453E-3</v>
      </c>
      <c r="I519"/>
      <c r="J519"/>
    </row>
    <row r="520" spans="1:12" s="118" customFormat="1">
      <c r="A520" s="209" t="s">
        <v>14</v>
      </c>
      <c r="B520" s="381">
        <f t="shared" si="416"/>
        <v>1.9682862509034891</v>
      </c>
      <c r="C520" s="382">
        <f t="shared" si="417"/>
        <v>2.312342195696233E-2</v>
      </c>
      <c r="D520" s="375" t="s">
        <v>103</v>
      </c>
      <c r="E520" s="381">
        <f t="shared" ref="E520" si="422">F511-E511</f>
        <v>4458.0518662506656</v>
      </c>
      <c r="F520" s="382">
        <f t="shared" ref="F520" si="423">E520/E511</f>
        <v>2.9628540300091849E-2</v>
      </c>
      <c r="G520" s="381">
        <f t="shared" ref="G520" si="424">H511-G511</f>
        <v>11.238953683753152</v>
      </c>
      <c r="H520" s="382">
        <f t="shared" si="418"/>
        <v>6.3580973746910985E-3</v>
      </c>
      <c r="I520"/>
      <c r="J520"/>
    </row>
    <row r="521" spans="1:12" s="118" customFormat="1">
      <c r="A521" s="209" t="s">
        <v>15</v>
      </c>
      <c r="B521" s="381">
        <f t="shared" si="416"/>
        <v>-1.6328013325980919</v>
      </c>
      <c r="C521" s="382">
        <f t="shared" si="417"/>
        <v>-1.0830333836652821E-2</v>
      </c>
      <c r="D521" s="375" t="s">
        <v>103</v>
      </c>
      <c r="E521" s="381">
        <f t="shared" ref="E521" si="425">F512-E512</f>
        <v>-2.925835932930795</v>
      </c>
      <c r="F521" s="382">
        <f t="shared" ref="F521" si="426">E521/E512</f>
        <v>-1.083033383665288E-2</v>
      </c>
      <c r="G521" s="381">
        <f t="shared" ref="G521" si="427">H512-G512</f>
        <v>0</v>
      </c>
      <c r="H521" s="382">
        <f t="shared" si="418"/>
        <v>0</v>
      </c>
      <c r="I521"/>
      <c r="J521"/>
    </row>
    <row r="522" spans="1:12" s="118" customFormat="1">
      <c r="A522" s="209" t="s">
        <v>16</v>
      </c>
      <c r="B522" s="381">
        <f t="shared" si="416"/>
        <v>173.3623374694198</v>
      </c>
      <c r="C522" s="382">
        <f t="shared" si="417"/>
        <v>4.044140986489389E-2</v>
      </c>
      <c r="D522" s="375" t="s">
        <v>103</v>
      </c>
      <c r="E522" s="381">
        <f t="shared" ref="E522" si="428">F513-E513</f>
        <v>103.92990766846833</v>
      </c>
      <c r="F522" s="382">
        <f t="shared" ref="F522" si="429">E522/E513</f>
        <v>4.0441409864893918E-2</v>
      </c>
      <c r="G522" s="381">
        <f t="shared" ref="G522" si="430">H513-G513</f>
        <v>0</v>
      </c>
      <c r="H522" s="382">
        <f t="shared" si="418"/>
        <v>0</v>
      </c>
      <c r="I522"/>
      <c r="J522"/>
    </row>
    <row r="523" spans="1:12" s="118" customFormat="1">
      <c r="A523" s="209" t="s">
        <v>17</v>
      </c>
      <c r="B523" s="381">
        <f t="shared" si="416"/>
        <v>-0.92268854680796153</v>
      </c>
      <c r="C523" s="382">
        <f t="shared" si="417"/>
        <v>-1.2082402991101396E-2</v>
      </c>
      <c r="D523" s="375" t="s">
        <v>102</v>
      </c>
      <c r="E523" s="381">
        <f t="shared" ref="E523" si="431">F514-E514</f>
        <v>-5706.7129277706845</v>
      </c>
      <c r="F523" s="382">
        <f t="shared" ref="F523" si="432">E523/E514</f>
        <v>-1.2082402991101478E-2</v>
      </c>
      <c r="G523" s="381">
        <f t="shared" ref="G523" si="433">H514-G514</f>
        <v>0</v>
      </c>
      <c r="H523" s="382">
        <f t="shared" si="418"/>
        <v>0</v>
      </c>
      <c r="I523"/>
      <c r="J523"/>
    </row>
    <row r="524" spans="1:12" s="118" customFormat="1" ht="13.5" thickBot="1">
      <c r="A524" s="189" t="s">
        <v>18</v>
      </c>
      <c r="B524" s="191">
        <f t="shared" si="416"/>
        <v>0</v>
      </c>
      <c r="C524" s="198">
        <f t="shared" si="417"/>
        <v>0</v>
      </c>
      <c r="D524" s="193" t="s">
        <v>103</v>
      </c>
      <c r="E524" s="191">
        <f t="shared" ref="E524" si="434">F515-E515</f>
        <v>0</v>
      </c>
      <c r="F524" s="198">
        <f t="shared" ref="F524" si="435">E524/E515</f>
        <v>0</v>
      </c>
      <c r="G524" s="191">
        <f t="shared" ref="G524" si="436">H515-G515</f>
        <v>0</v>
      </c>
      <c r="H524" s="198">
        <f t="shared" si="418"/>
        <v>0</v>
      </c>
      <c r="I524"/>
      <c r="J524"/>
    </row>
    <row r="525" spans="1:12" s="118" customFormat="1" ht="13.5" thickBot="1">
      <c r="A525" s="216" t="s">
        <v>19</v>
      </c>
      <c r="B525" s="186">
        <f>SUM(B518:B523)</f>
        <v>938.84012546029646</v>
      </c>
      <c r="C525" s="217">
        <f t="shared" si="417"/>
        <v>3.6411395201253687E-2</v>
      </c>
      <c r="D525" s="162"/>
      <c r="E525" s="162"/>
      <c r="F525" s="162"/>
      <c r="G525" s="162"/>
      <c r="H525" s="162"/>
      <c r="I525" s="115"/>
      <c r="J525" s="115"/>
      <c r="K525" s="115"/>
      <c r="L525" s="115"/>
    </row>
    <row r="526" spans="1:12" s="118" customFormat="1"/>
    <row r="527" spans="1:12" s="118" customFormat="1"/>
    <row r="528" spans="1:12" s="118" customFormat="1"/>
    <row r="529" s="118" customFormat="1"/>
    <row r="530" s="118" customFormat="1"/>
    <row r="531" s="118" customFormat="1"/>
    <row r="532" s="118" customFormat="1"/>
    <row r="533" s="118" customFormat="1"/>
    <row r="534" s="118" customFormat="1"/>
    <row r="535" s="118" customFormat="1"/>
    <row r="536" s="118" customFormat="1"/>
    <row r="537" s="118" customFormat="1"/>
    <row r="538" s="118" customFormat="1"/>
    <row r="539" s="118" customFormat="1"/>
    <row r="540" s="118" customFormat="1"/>
    <row r="541" s="118" customFormat="1"/>
    <row r="542" s="118" customFormat="1"/>
    <row r="543" s="118" customFormat="1"/>
    <row r="544" s="118" customFormat="1"/>
    <row r="545" s="118" customFormat="1"/>
    <row r="546" s="118" customFormat="1"/>
    <row r="547" s="118" customFormat="1"/>
    <row r="548" s="118" customFormat="1"/>
    <row r="549" s="118" customFormat="1"/>
    <row r="550" s="118" customFormat="1"/>
    <row r="551" s="118" customFormat="1"/>
    <row r="552" s="118" customFormat="1"/>
    <row r="553" s="118" customFormat="1"/>
    <row r="554" s="118" customFormat="1"/>
    <row r="555" s="118" customFormat="1"/>
    <row r="556" s="118" customFormat="1"/>
    <row r="557" s="118" customFormat="1"/>
    <row r="558" s="118" customFormat="1"/>
    <row r="559" s="118" customFormat="1"/>
    <row r="560" s="118" customFormat="1"/>
    <row r="561" s="118" customFormat="1"/>
    <row r="562" s="118" customFormat="1"/>
    <row r="563" s="118" customFormat="1"/>
    <row r="564" s="118" customFormat="1"/>
    <row r="565" s="118" customFormat="1"/>
    <row r="566" s="118" customFormat="1"/>
    <row r="567" s="118" customFormat="1"/>
    <row r="568" s="118" customFormat="1"/>
    <row r="569" s="118" customFormat="1"/>
    <row r="570" s="118" customFormat="1"/>
    <row r="571" s="118" customFormat="1"/>
    <row r="572" s="118" customFormat="1"/>
    <row r="573" s="118" customFormat="1"/>
    <row r="574" s="118" customFormat="1"/>
    <row r="575" s="118" customFormat="1"/>
    <row r="576" s="118" customFormat="1"/>
    <row r="577" s="118" customFormat="1"/>
    <row r="578" s="118" customFormat="1"/>
    <row r="579" s="118" customFormat="1"/>
    <row r="580" s="118" customFormat="1"/>
    <row r="581" s="118" customFormat="1"/>
    <row r="582" s="118" customFormat="1"/>
    <row r="583" s="118" customFormat="1"/>
    <row r="584" s="118" customFormat="1"/>
    <row r="585" s="118" customFormat="1"/>
    <row r="586" s="118" customFormat="1"/>
    <row r="587" s="118" customFormat="1"/>
    <row r="588" s="118" customFormat="1"/>
    <row r="589" s="118" customFormat="1"/>
    <row r="590" s="118" customFormat="1"/>
    <row r="591" s="118" customFormat="1"/>
    <row r="592" s="118" customFormat="1"/>
    <row r="593" s="118" customFormat="1"/>
    <row r="594" s="118" customFormat="1"/>
    <row r="595" s="118" customFormat="1"/>
    <row r="596" s="118" customFormat="1"/>
    <row r="597" s="118" customFormat="1"/>
    <row r="598" s="118" customFormat="1"/>
    <row r="599" s="118" customFormat="1"/>
    <row r="600" s="118" customFormat="1"/>
    <row r="601" s="118" customFormat="1"/>
    <row r="602" s="118" customFormat="1"/>
    <row r="603" s="118" customFormat="1"/>
    <row r="604" s="118" customFormat="1"/>
    <row r="605" s="118" customFormat="1"/>
    <row r="606" s="118" customFormat="1"/>
    <row r="607" s="118" customFormat="1"/>
    <row r="608" s="118" customFormat="1"/>
    <row r="609" s="118" customFormat="1"/>
    <row r="610" s="118" customFormat="1"/>
    <row r="611" s="118" customFormat="1"/>
    <row r="612" s="118" customFormat="1"/>
    <row r="613" s="118" customFormat="1"/>
    <row r="614" s="118" customFormat="1"/>
    <row r="615" s="118" customFormat="1"/>
    <row r="616" s="118" customFormat="1"/>
    <row r="617" s="118" customFormat="1"/>
    <row r="618" s="118" customFormat="1"/>
    <row r="619" s="118" customFormat="1"/>
    <row r="620" s="118" customFormat="1"/>
    <row r="621" s="118" customFormat="1"/>
    <row r="622" s="118" customFormat="1"/>
    <row r="623" s="118" customFormat="1"/>
    <row r="624" s="118" customFormat="1"/>
    <row r="625" s="118" customFormat="1"/>
    <row r="626" s="118" customFormat="1"/>
    <row r="627" s="118" customFormat="1"/>
    <row r="628" s="118" customFormat="1"/>
    <row r="629" s="118" customFormat="1"/>
    <row r="630" s="118" customFormat="1"/>
    <row r="631" s="118" customFormat="1"/>
    <row r="632" s="118" customFormat="1"/>
    <row r="633" s="118" customFormat="1"/>
    <row r="634" s="118" customFormat="1"/>
    <row r="635" s="118" customFormat="1"/>
    <row r="636" s="118" customFormat="1"/>
    <row r="637" s="118" customFormat="1"/>
    <row r="638" s="118" customFormat="1"/>
    <row r="639" s="118" customFormat="1"/>
  </sheetData>
  <mergeCells count="2819">
    <mergeCell ref="A475:A476"/>
    <mergeCell ref="B475:C475"/>
    <mergeCell ref="D475:D476"/>
    <mergeCell ref="E475:F475"/>
    <mergeCell ref="G475:H475"/>
    <mergeCell ref="I475:J475"/>
    <mergeCell ref="K475:L475"/>
    <mergeCell ref="A507:A508"/>
    <mergeCell ref="B507:C507"/>
    <mergeCell ref="D507:D508"/>
    <mergeCell ref="E507:F507"/>
    <mergeCell ref="G507:H507"/>
    <mergeCell ref="A411:A412"/>
    <mergeCell ref="B411:C411"/>
    <mergeCell ref="D411:D412"/>
    <mergeCell ref="E411:F411"/>
    <mergeCell ref="G411:H411"/>
    <mergeCell ref="I411:J411"/>
    <mergeCell ref="K411:L411"/>
    <mergeCell ref="A443:A444"/>
    <mergeCell ref="B443:C443"/>
    <mergeCell ref="D443:D444"/>
    <mergeCell ref="E443:F443"/>
    <mergeCell ref="G443:H443"/>
    <mergeCell ref="I443:J443"/>
    <mergeCell ref="K443:L443"/>
    <mergeCell ref="A347:A348"/>
    <mergeCell ref="B347:C347"/>
    <mergeCell ref="D347:D348"/>
    <mergeCell ref="E347:F347"/>
    <mergeCell ref="G347:H347"/>
    <mergeCell ref="I347:J347"/>
    <mergeCell ref="K347:L347"/>
    <mergeCell ref="A379:A380"/>
    <mergeCell ref="B379:C379"/>
    <mergeCell ref="D379:D380"/>
    <mergeCell ref="E379:F379"/>
    <mergeCell ref="G379:H379"/>
    <mergeCell ref="I379:J379"/>
    <mergeCell ref="K379:L379"/>
    <mergeCell ref="B285:C285"/>
    <mergeCell ref="D285:D286"/>
    <mergeCell ref="E285:F285"/>
    <mergeCell ref="G285:H285"/>
    <mergeCell ref="I285:J285"/>
    <mergeCell ref="K285:L285"/>
    <mergeCell ref="A285:A286"/>
    <mergeCell ref="A315:A316"/>
    <mergeCell ref="B315:C315"/>
    <mergeCell ref="D315:D316"/>
    <mergeCell ref="E315:F315"/>
    <mergeCell ref="G315:H315"/>
    <mergeCell ref="I315:J315"/>
    <mergeCell ref="K315:L315"/>
    <mergeCell ref="A262:J262"/>
    <mergeCell ref="A243:J243"/>
    <mergeCell ref="A248:J248"/>
    <mergeCell ref="A253:J253"/>
    <mergeCell ref="A258:J258"/>
    <mergeCell ref="A267:J267"/>
    <mergeCell ref="A217:F217"/>
    <mergeCell ref="A234:J234"/>
    <mergeCell ref="A235:J235"/>
    <mergeCell ref="A239:J239"/>
    <mergeCell ref="B181:H181"/>
    <mergeCell ref="A188:M188"/>
    <mergeCell ref="A201:E201"/>
    <mergeCell ref="XEH158:XEM158"/>
    <mergeCell ref="XEN158:XES158"/>
    <mergeCell ref="WVZ158:WWE158"/>
    <mergeCell ref="WWF158:WWK158"/>
    <mergeCell ref="WWL158:WWQ158"/>
    <mergeCell ref="WWR158:WWW158"/>
    <mergeCell ref="WWX158:WXC158"/>
    <mergeCell ref="WXD158:WXI158"/>
    <mergeCell ref="WUP158:WUU158"/>
    <mergeCell ref="WUV158:WVA158"/>
    <mergeCell ref="WVB158:WVG158"/>
    <mergeCell ref="WVH158:WVM158"/>
    <mergeCell ref="WVN158:WVS158"/>
    <mergeCell ref="WVT158:WVY158"/>
    <mergeCell ref="WTF158:WTK158"/>
    <mergeCell ref="WTL158:WTQ158"/>
    <mergeCell ref="WTR158:WTW158"/>
    <mergeCell ref="A226:J226"/>
    <mergeCell ref="WTX158:WUC158"/>
    <mergeCell ref="XET158:XEW158"/>
    <mergeCell ref="A164:H164"/>
    <mergeCell ref="XCX158:XDC158"/>
    <mergeCell ref="XDD158:XDI158"/>
    <mergeCell ref="XDJ158:XDO158"/>
    <mergeCell ref="XDP158:XDU158"/>
    <mergeCell ref="XDV158:XEA158"/>
    <mergeCell ref="XEB158:XEG158"/>
    <mergeCell ref="XBN158:XBS158"/>
    <mergeCell ref="XBT158:XBY158"/>
    <mergeCell ref="XBZ158:XCE158"/>
    <mergeCell ref="XCF158:XCK158"/>
    <mergeCell ref="XCL158:XCQ158"/>
    <mergeCell ref="XCR158:XCW158"/>
    <mergeCell ref="XAD158:XAI158"/>
    <mergeCell ref="XAJ158:XAO158"/>
    <mergeCell ref="XAP158:XAU158"/>
    <mergeCell ref="XAV158:XBA158"/>
    <mergeCell ref="XBB158:XBG158"/>
    <mergeCell ref="XBH158:XBM158"/>
    <mergeCell ref="WYT158:WYY158"/>
    <mergeCell ref="WYZ158:WZE158"/>
    <mergeCell ref="WZF158:WZK158"/>
    <mergeCell ref="WZL158:WZQ158"/>
    <mergeCell ref="WZR158:WZW158"/>
    <mergeCell ref="WZX158:XAC158"/>
    <mergeCell ref="WXJ158:WXO158"/>
    <mergeCell ref="WXP158:WXU158"/>
    <mergeCell ref="WXV158:WYA158"/>
    <mergeCell ref="WYB158:WYG158"/>
    <mergeCell ref="WYH158:WYM158"/>
    <mergeCell ref="WYN158:WYS158"/>
    <mergeCell ref="WUD158:WUI158"/>
    <mergeCell ref="WUJ158:WUO158"/>
    <mergeCell ref="WRV158:WSA158"/>
    <mergeCell ref="WSB158:WSG158"/>
    <mergeCell ref="WSH158:WSM158"/>
    <mergeCell ref="WSN158:WSS158"/>
    <mergeCell ref="WST158:WSY158"/>
    <mergeCell ref="WSZ158:WTE158"/>
    <mergeCell ref="WQL158:WQQ158"/>
    <mergeCell ref="WQR158:WQW158"/>
    <mergeCell ref="WQX158:WRC158"/>
    <mergeCell ref="WRD158:WRI158"/>
    <mergeCell ref="WRJ158:WRO158"/>
    <mergeCell ref="WRP158:WRU158"/>
    <mergeCell ref="WPB158:WPG158"/>
    <mergeCell ref="WPH158:WPM158"/>
    <mergeCell ref="WPN158:WPS158"/>
    <mergeCell ref="WPT158:WPY158"/>
    <mergeCell ref="WPZ158:WQE158"/>
    <mergeCell ref="WQF158:WQK158"/>
    <mergeCell ref="WNR158:WNW158"/>
    <mergeCell ref="WNX158:WOC158"/>
    <mergeCell ref="WOD158:WOI158"/>
    <mergeCell ref="WOJ158:WOO158"/>
    <mergeCell ref="WOP158:WOU158"/>
    <mergeCell ref="WOV158:WPA158"/>
    <mergeCell ref="WMH158:WMM158"/>
    <mergeCell ref="WMN158:WMS158"/>
    <mergeCell ref="WMT158:WMY158"/>
    <mergeCell ref="WMZ158:WNE158"/>
    <mergeCell ref="WNF158:WNK158"/>
    <mergeCell ref="WNL158:WNQ158"/>
    <mergeCell ref="WKX158:WLC158"/>
    <mergeCell ref="WLD158:WLI158"/>
    <mergeCell ref="WLJ158:WLO158"/>
    <mergeCell ref="WLP158:WLU158"/>
    <mergeCell ref="WLV158:WMA158"/>
    <mergeCell ref="WMB158:WMG158"/>
    <mergeCell ref="WJN158:WJS158"/>
    <mergeCell ref="WJT158:WJY158"/>
    <mergeCell ref="WJZ158:WKE158"/>
    <mergeCell ref="WKF158:WKK158"/>
    <mergeCell ref="WKL158:WKQ158"/>
    <mergeCell ref="WKR158:WKW158"/>
    <mergeCell ref="WID158:WII158"/>
    <mergeCell ref="WIJ158:WIO158"/>
    <mergeCell ref="WIP158:WIU158"/>
    <mergeCell ref="WIV158:WJA158"/>
    <mergeCell ref="WJB158:WJG158"/>
    <mergeCell ref="WJH158:WJM158"/>
    <mergeCell ref="WGT158:WGY158"/>
    <mergeCell ref="WGZ158:WHE158"/>
    <mergeCell ref="WHF158:WHK158"/>
    <mergeCell ref="WHL158:WHQ158"/>
    <mergeCell ref="WHR158:WHW158"/>
    <mergeCell ref="WHX158:WIC158"/>
    <mergeCell ref="WFJ158:WFO158"/>
    <mergeCell ref="WFP158:WFU158"/>
    <mergeCell ref="WFV158:WGA158"/>
    <mergeCell ref="WGB158:WGG158"/>
    <mergeCell ref="WGH158:WGM158"/>
    <mergeCell ref="WGN158:WGS158"/>
    <mergeCell ref="WDZ158:WEE158"/>
    <mergeCell ref="WEF158:WEK158"/>
    <mergeCell ref="WEL158:WEQ158"/>
    <mergeCell ref="WER158:WEW158"/>
    <mergeCell ref="WEX158:WFC158"/>
    <mergeCell ref="WFD158:WFI158"/>
    <mergeCell ref="WCP158:WCU158"/>
    <mergeCell ref="WCV158:WDA158"/>
    <mergeCell ref="WDB158:WDG158"/>
    <mergeCell ref="WDH158:WDM158"/>
    <mergeCell ref="WDN158:WDS158"/>
    <mergeCell ref="WDT158:WDY158"/>
    <mergeCell ref="WBF158:WBK158"/>
    <mergeCell ref="WBL158:WBQ158"/>
    <mergeCell ref="WBR158:WBW158"/>
    <mergeCell ref="WBX158:WCC158"/>
    <mergeCell ref="WCD158:WCI158"/>
    <mergeCell ref="WCJ158:WCO158"/>
    <mergeCell ref="VZV158:WAA158"/>
    <mergeCell ref="WAB158:WAG158"/>
    <mergeCell ref="WAH158:WAM158"/>
    <mergeCell ref="WAN158:WAS158"/>
    <mergeCell ref="WAT158:WAY158"/>
    <mergeCell ref="WAZ158:WBE158"/>
    <mergeCell ref="VYL158:VYQ158"/>
    <mergeCell ref="VYR158:VYW158"/>
    <mergeCell ref="VYX158:VZC158"/>
    <mergeCell ref="VZD158:VZI158"/>
    <mergeCell ref="VZJ158:VZO158"/>
    <mergeCell ref="VZP158:VZU158"/>
    <mergeCell ref="VXB158:VXG158"/>
    <mergeCell ref="VXH158:VXM158"/>
    <mergeCell ref="VXN158:VXS158"/>
    <mergeCell ref="VXT158:VXY158"/>
    <mergeCell ref="VXZ158:VYE158"/>
    <mergeCell ref="VYF158:VYK158"/>
    <mergeCell ref="VVR158:VVW158"/>
    <mergeCell ref="VVX158:VWC158"/>
    <mergeCell ref="VWD158:VWI158"/>
    <mergeCell ref="VWJ158:VWO158"/>
    <mergeCell ref="VWP158:VWU158"/>
    <mergeCell ref="VWV158:VXA158"/>
    <mergeCell ref="VUH158:VUM158"/>
    <mergeCell ref="VUN158:VUS158"/>
    <mergeCell ref="VUT158:VUY158"/>
    <mergeCell ref="VUZ158:VVE158"/>
    <mergeCell ref="VVF158:VVK158"/>
    <mergeCell ref="VVL158:VVQ158"/>
    <mergeCell ref="VSX158:VTC158"/>
    <mergeCell ref="VTD158:VTI158"/>
    <mergeCell ref="VTJ158:VTO158"/>
    <mergeCell ref="VTP158:VTU158"/>
    <mergeCell ref="VTV158:VUA158"/>
    <mergeCell ref="VUB158:VUG158"/>
    <mergeCell ref="VRN158:VRS158"/>
    <mergeCell ref="VRT158:VRY158"/>
    <mergeCell ref="VRZ158:VSE158"/>
    <mergeCell ref="VSF158:VSK158"/>
    <mergeCell ref="VSL158:VSQ158"/>
    <mergeCell ref="VSR158:VSW158"/>
    <mergeCell ref="VQD158:VQI158"/>
    <mergeCell ref="VQJ158:VQO158"/>
    <mergeCell ref="VQP158:VQU158"/>
    <mergeCell ref="VQV158:VRA158"/>
    <mergeCell ref="VRB158:VRG158"/>
    <mergeCell ref="VRH158:VRM158"/>
    <mergeCell ref="VOT158:VOY158"/>
    <mergeCell ref="VOZ158:VPE158"/>
    <mergeCell ref="VPF158:VPK158"/>
    <mergeCell ref="VPL158:VPQ158"/>
    <mergeCell ref="VPR158:VPW158"/>
    <mergeCell ref="VPX158:VQC158"/>
    <mergeCell ref="VNJ158:VNO158"/>
    <mergeCell ref="VNP158:VNU158"/>
    <mergeCell ref="VNV158:VOA158"/>
    <mergeCell ref="VOB158:VOG158"/>
    <mergeCell ref="VOH158:VOM158"/>
    <mergeCell ref="VON158:VOS158"/>
    <mergeCell ref="VLZ158:VME158"/>
    <mergeCell ref="VMF158:VMK158"/>
    <mergeCell ref="VML158:VMQ158"/>
    <mergeCell ref="VMR158:VMW158"/>
    <mergeCell ref="VMX158:VNC158"/>
    <mergeCell ref="VND158:VNI158"/>
    <mergeCell ref="VKP158:VKU158"/>
    <mergeCell ref="VKV158:VLA158"/>
    <mergeCell ref="VLB158:VLG158"/>
    <mergeCell ref="VLH158:VLM158"/>
    <mergeCell ref="VLN158:VLS158"/>
    <mergeCell ref="VLT158:VLY158"/>
    <mergeCell ref="VJF158:VJK158"/>
    <mergeCell ref="VJL158:VJQ158"/>
    <mergeCell ref="VJR158:VJW158"/>
    <mergeCell ref="VJX158:VKC158"/>
    <mergeCell ref="VKD158:VKI158"/>
    <mergeCell ref="VKJ158:VKO158"/>
    <mergeCell ref="VHV158:VIA158"/>
    <mergeCell ref="VIB158:VIG158"/>
    <mergeCell ref="VIH158:VIM158"/>
    <mergeCell ref="VIN158:VIS158"/>
    <mergeCell ref="VIT158:VIY158"/>
    <mergeCell ref="VIZ158:VJE158"/>
    <mergeCell ref="VGL158:VGQ158"/>
    <mergeCell ref="VGR158:VGW158"/>
    <mergeCell ref="VGX158:VHC158"/>
    <mergeCell ref="VHD158:VHI158"/>
    <mergeCell ref="VHJ158:VHO158"/>
    <mergeCell ref="VHP158:VHU158"/>
    <mergeCell ref="VFB158:VFG158"/>
    <mergeCell ref="VFH158:VFM158"/>
    <mergeCell ref="VFN158:VFS158"/>
    <mergeCell ref="VFT158:VFY158"/>
    <mergeCell ref="VFZ158:VGE158"/>
    <mergeCell ref="VGF158:VGK158"/>
    <mergeCell ref="VDR158:VDW158"/>
    <mergeCell ref="VDX158:VEC158"/>
    <mergeCell ref="VED158:VEI158"/>
    <mergeCell ref="VEJ158:VEO158"/>
    <mergeCell ref="VEP158:VEU158"/>
    <mergeCell ref="VEV158:VFA158"/>
    <mergeCell ref="VCH158:VCM158"/>
    <mergeCell ref="VCN158:VCS158"/>
    <mergeCell ref="VCT158:VCY158"/>
    <mergeCell ref="VCZ158:VDE158"/>
    <mergeCell ref="VDF158:VDK158"/>
    <mergeCell ref="VDL158:VDQ158"/>
    <mergeCell ref="VAX158:VBC158"/>
    <mergeCell ref="VBD158:VBI158"/>
    <mergeCell ref="VBJ158:VBO158"/>
    <mergeCell ref="VBP158:VBU158"/>
    <mergeCell ref="VBV158:VCA158"/>
    <mergeCell ref="VCB158:VCG158"/>
    <mergeCell ref="UZN158:UZS158"/>
    <mergeCell ref="UZT158:UZY158"/>
    <mergeCell ref="UZZ158:VAE158"/>
    <mergeCell ref="VAF158:VAK158"/>
    <mergeCell ref="VAL158:VAQ158"/>
    <mergeCell ref="VAR158:VAW158"/>
    <mergeCell ref="UYD158:UYI158"/>
    <mergeCell ref="UYJ158:UYO158"/>
    <mergeCell ref="UYP158:UYU158"/>
    <mergeCell ref="UYV158:UZA158"/>
    <mergeCell ref="UZB158:UZG158"/>
    <mergeCell ref="UZH158:UZM158"/>
    <mergeCell ref="UWT158:UWY158"/>
    <mergeCell ref="UWZ158:UXE158"/>
    <mergeCell ref="UXF158:UXK158"/>
    <mergeCell ref="UXL158:UXQ158"/>
    <mergeCell ref="UXR158:UXW158"/>
    <mergeCell ref="UXX158:UYC158"/>
    <mergeCell ref="UVJ158:UVO158"/>
    <mergeCell ref="UVP158:UVU158"/>
    <mergeCell ref="UVV158:UWA158"/>
    <mergeCell ref="UWB158:UWG158"/>
    <mergeCell ref="UWH158:UWM158"/>
    <mergeCell ref="UWN158:UWS158"/>
    <mergeCell ref="UTZ158:UUE158"/>
    <mergeCell ref="UUF158:UUK158"/>
    <mergeCell ref="UUL158:UUQ158"/>
    <mergeCell ref="UUR158:UUW158"/>
    <mergeCell ref="UUX158:UVC158"/>
    <mergeCell ref="UVD158:UVI158"/>
    <mergeCell ref="USP158:USU158"/>
    <mergeCell ref="USV158:UTA158"/>
    <mergeCell ref="UTB158:UTG158"/>
    <mergeCell ref="UTH158:UTM158"/>
    <mergeCell ref="UTN158:UTS158"/>
    <mergeCell ref="UTT158:UTY158"/>
    <mergeCell ref="URF158:URK158"/>
    <mergeCell ref="URL158:URQ158"/>
    <mergeCell ref="URR158:URW158"/>
    <mergeCell ref="URX158:USC158"/>
    <mergeCell ref="USD158:USI158"/>
    <mergeCell ref="USJ158:USO158"/>
    <mergeCell ref="UPV158:UQA158"/>
    <mergeCell ref="UQB158:UQG158"/>
    <mergeCell ref="UQH158:UQM158"/>
    <mergeCell ref="UQN158:UQS158"/>
    <mergeCell ref="UQT158:UQY158"/>
    <mergeCell ref="UQZ158:URE158"/>
    <mergeCell ref="UOL158:UOQ158"/>
    <mergeCell ref="UOR158:UOW158"/>
    <mergeCell ref="UOX158:UPC158"/>
    <mergeCell ref="UPD158:UPI158"/>
    <mergeCell ref="UPJ158:UPO158"/>
    <mergeCell ref="UPP158:UPU158"/>
    <mergeCell ref="UNB158:UNG158"/>
    <mergeCell ref="UNH158:UNM158"/>
    <mergeCell ref="UNN158:UNS158"/>
    <mergeCell ref="UNT158:UNY158"/>
    <mergeCell ref="UNZ158:UOE158"/>
    <mergeCell ref="UOF158:UOK158"/>
    <mergeCell ref="ULR158:ULW158"/>
    <mergeCell ref="ULX158:UMC158"/>
    <mergeCell ref="UMD158:UMI158"/>
    <mergeCell ref="UMJ158:UMO158"/>
    <mergeCell ref="UMP158:UMU158"/>
    <mergeCell ref="UMV158:UNA158"/>
    <mergeCell ref="UKH158:UKM158"/>
    <mergeCell ref="UKN158:UKS158"/>
    <mergeCell ref="UKT158:UKY158"/>
    <mergeCell ref="UKZ158:ULE158"/>
    <mergeCell ref="ULF158:ULK158"/>
    <mergeCell ref="ULL158:ULQ158"/>
    <mergeCell ref="UIX158:UJC158"/>
    <mergeCell ref="UJD158:UJI158"/>
    <mergeCell ref="UJJ158:UJO158"/>
    <mergeCell ref="UJP158:UJU158"/>
    <mergeCell ref="UJV158:UKA158"/>
    <mergeCell ref="UKB158:UKG158"/>
    <mergeCell ref="UHN158:UHS158"/>
    <mergeCell ref="UHT158:UHY158"/>
    <mergeCell ref="UHZ158:UIE158"/>
    <mergeCell ref="UIF158:UIK158"/>
    <mergeCell ref="UIL158:UIQ158"/>
    <mergeCell ref="UIR158:UIW158"/>
    <mergeCell ref="UGD158:UGI158"/>
    <mergeCell ref="UGJ158:UGO158"/>
    <mergeCell ref="UGP158:UGU158"/>
    <mergeCell ref="UGV158:UHA158"/>
    <mergeCell ref="UHB158:UHG158"/>
    <mergeCell ref="UHH158:UHM158"/>
    <mergeCell ref="UET158:UEY158"/>
    <mergeCell ref="UEZ158:UFE158"/>
    <mergeCell ref="UFF158:UFK158"/>
    <mergeCell ref="UFL158:UFQ158"/>
    <mergeCell ref="UFR158:UFW158"/>
    <mergeCell ref="UFX158:UGC158"/>
    <mergeCell ref="UDJ158:UDO158"/>
    <mergeCell ref="UDP158:UDU158"/>
    <mergeCell ref="UDV158:UEA158"/>
    <mergeCell ref="UEB158:UEG158"/>
    <mergeCell ref="UEH158:UEM158"/>
    <mergeCell ref="UEN158:UES158"/>
    <mergeCell ref="UBZ158:UCE158"/>
    <mergeCell ref="UCF158:UCK158"/>
    <mergeCell ref="UCL158:UCQ158"/>
    <mergeCell ref="UCR158:UCW158"/>
    <mergeCell ref="UCX158:UDC158"/>
    <mergeCell ref="UDD158:UDI158"/>
    <mergeCell ref="UAP158:UAU158"/>
    <mergeCell ref="UAV158:UBA158"/>
    <mergeCell ref="UBB158:UBG158"/>
    <mergeCell ref="UBH158:UBM158"/>
    <mergeCell ref="UBN158:UBS158"/>
    <mergeCell ref="UBT158:UBY158"/>
    <mergeCell ref="TZF158:TZK158"/>
    <mergeCell ref="TZL158:TZQ158"/>
    <mergeCell ref="TZR158:TZW158"/>
    <mergeCell ref="TZX158:UAC158"/>
    <mergeCell ref="UAD158:UAI158"/>
    <mergeCell ref="UAJ158:UAO158"/>
    <mergeCell ref="TXV158:TYA158"/>
    <mergeCell ref="TYB158:TYG158"/>
    <mergeCell ref="TYH158:TYM158"/>
    <mergeCell ref="TYN158:TYS158"/>
    <mergeCell ref="TYT158:TYY158"/>
    <mergeCell ref="TYZ158:TZE158"/>
    <mergeCell ref="TWL158:TWQ158"/>
    <mergeCell ref="TWR158:TWW158"/>
    <mergeCell ref="TWX158:TXC158"/>
    <mergeCell ref="TXD158:TXI158"/>
    <mergeCell ref="TXJ158:TXO158"/>
    <mergeCell ref="TXP158:TXU158"/>
    <mergeCell ref="TVB158:TVG158"/>
    <mergeCell ref="TVH158:TVM158"/>
    <mergeCell ref="TVN158:TVS158"/>
    <mergeCell ref="TVT158:TVY158"/>
    <mergeCell ref="TVZ158:TWE158"/>
    <mergeCell ref="TWF158:TWK158"/>
    <mergeCell ref="TTR158:TTW158"/>
    <mergeCell ref="TTX158:TUC158"/>
    <mergeCell ref="TUD158:TUI158"/>
    <mergeCell ref="TUJ158:TUO158"/>
    <mergeCell ref="TUP158:TUU158"/>
    <mergeCell ref="TUV158:TVA158"/>
    <mergeCell ref="TSH158:TSM158"/>
    <mergeCell ref="TSN158:TSS158"/>
    <mergeCell ref="TST158:TSY158"/>
    <mergeCell ref="TSZ158:TTE158"/>
    <mergeCell ref="TTF158:TTK158"/>
    <mergeCell ref="TTL158:TTQ158"/>
    <mergeCell ref="TQX158:TRC158"/>
    <mergeCell ref="TRD158:TRI158"/>
    <mergeCell ref="TRJ158:TRO158"/>
    <mergeCell ref="TRP158:TRU158"/>
    <mergeCell ref="TRV158:TSA158"/>
    <mergeCell ref="TSB158:TSG158"/>
    <mergeCell ref="TPN158:TPS158"/>
    <mergeCell ref="TPT158:TPY158"/>
    <mergeCell ref="TPZ158:TQE158"/>
    <mergeCell ref="TQF158:TQK158"/>
    <mergeCell ref="TQL158:TQQ158"/>
    <mergeCell ref="TQR158:TQW158"/>
    <mergeCell ref="TOD158:TOI158"/>
    <mergeCell ref="TOJ158:TOO158"/>
    <mergeCell ref="TOP158:TOU158"/>
    <mergeCell ref="TOV158:TPA158"/>
    <mergeCell ref="TPB158:TPG158"/>
    <mergeCell ref="TPH158:TPM158"/>
    <mergeCell ref="TMT158:TMY158"/>
    <mergeCell ref="TMZ158:TNE158"/>
    <mergeCell ref="TNF158:TNK158"/>
    <mergeCell ref="TNL158:TNQ158"/>
    <mergeCell ref="TNR158:TNW158"/>
    <mergeCell ref="TNX158:TOC158"/>
    <mergeCell ref="TLJ158:TLO158"/>
    <mergeCell ref="TLP158:TLU158"/>
    <mergeCell ref="TLV158:TMA158"/>
    <mergeCell ref="TMB158:TMG158"/>
    <mergeCell ref="TMH158:TMM158"/>
    <mergeCell ref="TMN158:TMS158"/>
    <mergeCell ref="TJZ158:TKE158"/>
    <mergeCell ref="TKF158:TKK158"/>
    <mergeCell ref="TKL158:TKQ158"/>
    <mergeCell ref="TKR158:TKW158"/>
    <mergeCell ref="TKX158:TLC158"/>
    <mergeCell ref="TLD158:TLI158"/>
    <mergeCell ref="TIP158:TIU158"/>
    <mergeCell ref="TIV158:TJA158"/>
    <mergeCell ref="TJB158:TJG158"/>
    <mergeCell ref="TJH158:TJM158"/>
    <mergeCell ref="TJN158:TJS158"/>
    <mergeCell ref="TJT158:TJY158"/>
    <mergeCell ref="THF158:THK158"/>
    <mergeCell ref="THL158:THQ158"/>
    <mergeCell ref="THR158:THW158"/>
    <mergeCell ref="THX158:TIC158"/>
    <mergeCell ref="TID158:TII158"/>
    <mergeCell ref="TIJ158:TIO158"/>
    <mergeCell ref="TFV158:TGA158"/>
    <mergeCell ref="TGB158:TGG158"/>
    <mergeCell ref="TGH158:TGM158"/>
    <mergeCell ref="TGN158:TGS158"/>
    <mergeCell ref="TGT158:TGY158"/>
    <mergeCell ref="TGZ158:THE158"/>
    <mergeCell ref="TEL158:TEQ158"/>
    <mergeCell ref="TER158:TEW158"/>
    <mergeCell ref="TEX158:TFC158"/>
    <mergeCell ref="TFD158:TFI158"/>
    <mergeCell ref="TFJ158:TFO158"/>
    <mergeCell ref="TFP158:TFU158"/>
    <mergeCell ref="TDB158:TDG158"/>
    <mergeCell ref="TDH158:TDM158"/>
    <mergeCell ref="TDN158:TDS158"/>
    <mergeCell ref="TDT158:TDY158"/>
    <mergeCell ref="TDZ158:TEE158"/>
    <mergeCell ref="TEF158:TEK158"/>
    <mergeCell ref="TBR158:TBW158"/>
    <mergeCell ref="TBX158:TCC158"/>
    <mergeCell ref="TCD158:TCI158"/>
    <mergeCell ref="TCJ158:TCO158"/>
    <mergeCell ref="TCP158:TCU158"/>
    <mergeCell ref="TCV158:TDA158"/>
    <mergeCell ref="TAH158:TAM158"/>
    <mergeCell ref="TAN158:TAS158"/>
    <mergeCell ref="TAT158:TAY158"/>
    <mergeCell ref="TAZ158:TBE158"/>
    <mergeCell ref="TBF158:TBK158"/>
    <mergeCell ref="TBL158:TBQ158"/>
    <mergeCell ref="SYX158:SZC158"/>
    <mergeCell ref="SZD158:SZI158"/>
    <mergeCell ref="SZJ158:SZO158"/>
    <mergeCell ref="SZP158:SZU158"/>
    <mergeCell ref="SZV158:TAA158"/>
    <mergeCell ref="TAB158:TAG158"/>
    <mergeCell ref="SXN158:SXS158"/>
    <mergeCell ref="SXT158:SXY158"/>
    <mergeCell ref="SXZ158:SYE158"/>
    <mergeCell ref="SYF158:SYK158"/>
    <mergeCell ref="SYL158:SYQ158"/>
    <mergeCell ref="SYR158:SYW158"/>
    <mergeCell ref="SWD158:SWI158"/>
    <mergeCell ref="SWJ158:SWO158"/>
    <mergeCell ref="SWP158:SWU158"/>
    <mergeCell ref="SWV158:SXA158"/>
    <mergeCell ref="SXB158:SXG158"/>
    <mergeCell ref="SXH158:SXM158"/>
    <mergeCell ref="SUT158:SUY158"/>
    <mergeCell ref="SUZ158:SVE158"/>
    <mergeCell ref="SVF158:SVK158"/>
    <mergeCell ref="SVL158:SVQ158"/>
    <mergeCell ref="SVR158:SVW158"/>
    <mergeCell ref="SVX158:SWC158"/>
    <mergeCell ref="STJ158:STO158"/>
    <mergeCell ref="STP158:STU158"/>
    <mergeCell ref="STV158:SUA158"/>
    <mergeCell ref="SUB158:SUG158"/>
    <mergeCell ref="SUH158:SUM158"/>
    <mergeCell ref="SUN158:SUS158"/>
    <mergeCell ref="SRZ158:SSE158"/>
    <mergeCell ref="SSF158:SSK158"/>
    <mergeCell ref="SSL158:SSQ158"/>
    <mergeCell ref="SSR158:SSW158"/>
    <mergeCell ref="SSX158:STC158"/>
    <mergeCell ref="STD158:STI158"/>
    <mergeCell ref="SQP158:SQU158"/>
    <mergeCell ref="SQV158:SRA158"/>
    <mergeCell ref="SRB158:SRG158"/>
    <mergeCell ref="SRH158:SRM158"/>
    <mergeCell ref="SRN158:SRS158"/>
    <mergeCell ref="SRT158:SRY158"/>
    <mergeCell ref="SPF158:SPK158"/>
    <mergeCell ref="SPL158:SPQ158"/>
    <mergeCell ref="SPR158:SPW158"/>
    <mergeCell ref="SPX158:SQC158"/>
    <mergeCell ref="SQD158:SQI158"/>
    <mergeCell ref="SQJ158:SQO158"/>
    <mergeCell ref="SNV158:SOA158"/>
    <mergeCell ref="SOB158:SOG158"/>
    <mergeCell ref="SOH158:SOM158"/>
    <mergeCell ref="SON158:SOS158"/>
    <mergeCell ref="SOT158:SOY158"/>
    <mergeCell ref="SOZ158:SPE158"/>
    <mergeCell ref="SML158:SMQ158"/>
    <mergeCell ref="SMR158:SMW158"/>
    <mergeCell ref="SMX158:SNC158"/>
    <mergeCell ref="SND158:SNI158"/>
    <mergeCell ref="SNJ158:SNO158"/>
    <mergeCell ref="SNP158:SNU158"/>
    <mergeCell ref="SLB158:SLG158"/>
    <mergeCell ref="SLH158:SLM158"/>
    <mergeCell ref="SLN158:SLS158"/>
    <mergeCell ref="SLT158:SLY158"/>
    <mergeCell ref="SLZ158:SME158"/>
    <mergeCell ref="SMF158:SMK158"/>
    <mergeCell ref="SJR158:SJW158"/>
    <mergeCell ref="SJX158:SKC158"/>
    <mergeCell ref="SKD158:SKI158"/>
    <mergeCell ref="SKJ158:SKO158"/>
    <mergeCell ref="SKP158:SKU158"/>
    <mergeCell ref="SKV158:SLA158"/>
    <mergeCell ref="SIH158:SIM158"/>
    <mergeCell ref="SIN158:SIS158"/>
    <mergeCell ref="SIT158:SIY158"/>
    <mergeCell ref="SIZ158:SJE158"/>
    <mergeCell ref="SJF158:SJK158"/>
    <mergeCell ref="SJL158:SJQ158"/>
    <mergeCell ref="SGX158:SHC158"/>
    <mergeCell ref="SHD158:SHI158"/>
    <mergeCell ref="SHJ158:SHO158"/>
    <mergeCell ref="SHP158:SHU158"/>
    <mergeCell ref="SHV158:SIA158"/>
    <mergeCell ref="SIB158:SIG158"/>
    <mergeCell ref="SFN158:SFS158"/>
    <mergeCell ref="SFT158:SFY158"/>
    <mergeCell ref="SFZ158:SGE158"/>
    <mergeCell ref="SGF158:SGK158"/>
    <mergeCell ref="SGL158:SGQ158"/>
    <mergeCell ref="SGR158:SGW158"/>
    <mergeCell ref="SED158:SEI158"/>
    <mergeCell ref="SEJ158:SEO158"/>
    <mergeCell ref="SEP158:SEU158"/>
    <mergeCell ref="SEV158:SFA158"/>
    <mergeCell ref="SFB158:SFG158"/>
    <mergeCell ref="SFH158:SFM158"/>
    <mergeCell ref="SCT158:SCY158"/>
    <mergeCell ref="SCZ158:SDE158"/>
    <mergeCell ref="SDF158:SDK158"/>
    <mergeCell ref="SDL158:SDQ158"/>
    <mergeCell ref="SDR158:SDW158"/>
    <mergeCell ref="SDX158:SEC158"/>
    <mergeCell ref="SBJ158:SBO158"/>
    <mergeCell ref="SBP158:SBU158"/>
    <mergeCell ref="SBV158:SCA158"/>
    <mergeCell ref="SCB158:SCG158"/>
    <mergeCell ref="SCH158:SCM158"/>
    <mergeCell ref="SCN158:SCS158"/>
    <mergeCell ref="RZZ158:SAE158"/>
    <mergeCell ref="SAF158:SAK158"/>
    <mergeCell ref="SAL158:SAQ158"/>
    <mergeCell ref="SAR158:SAW158"/>
    <mergeCell ref="SAX158:SBC158"/>
    <mergeCell ref="SBD158:SBI158"/>
    <mergeCell ref="RYP158:RYU158"/>
    <mergeCell ref="RYV158:RZA158"/>
    <mergeCell ref="RZB158:RZG158"/>
    <mergeCell ref="RZH158:RZM158"/>
    <mergeCell ref="RZN158:RZS158"/>
    <mergeCell ref="RZT158:RZY158"/>
    <mergeCell ref="RXF158:RXK158"/>
    <mergeCell ref="RXL158:RXQ158"/>
    <mergeCell ref="RXR158:RXW158"/>
    <mergeCell ref="RXX158:RYC158"/>
    <mergeCell ref="RYD158:RYI158"/>
    <mergeCell ref="RYJ158:RYO158"/>
    <mergeCell ref="RVV158:RWA158"/>
    <mergeCell ref="RWB158:RWG158"/>
    <mergeCell ref="RWH158:RWM158"/>
    <mergeCell ref="RWN158:RWS158"/>
    <mergeCell ref="RWT158:RWY158"/>
    <mergeCell ref="RWZ158:RXE158"/>
    <mergeCell ref="RUL158:RUQ158"/>
    <mergeCell ref="RUR158:RUW158"/>
    <mergeCell ref="RUX158:RVC158"/>
    <mergeCell ref="RVD158:RVI158"/>
    <mergeCell ref="RVJ158:RVO158"/>
    <mergeCell ref="RVP158:RVU158"/>
    <mergeCell ref="RTB158:RTG158"/>
    <mergeCell ref="RTH158:RTM158"/>
    <mergeCell ref="RTN158:RTS158"/>
    <mergeCell ref="RTT158:RTY158"/>
    <mergeCell ref="RTZ158:RUE158"/>
    <mergeCell ref="RUF158:RUK158"/>
    <mergeCell ref="RRR158:RRW158"/>
    <mergeCell ref="RRX158:RSC158"/>
    <mergeCell ref="RSD158:RSI158"/>
    <mergeCell ref="RSJ158:RSO158"/>
    <mergeCell ref="RSP158:RSU158"/>
    <mergeCell ref="RSV158:RTA158"/>
    <mergeCell ref="RQH158:RQM158"/>
    <mergeCell ref="RQN158:RQS158"/>
    <mergeCell ref="RQT158:RQY158"/>
    <mergeCell ref="RQZ158:RRE158"/>
    <mergeCell ref="RRF158:RRK158"/>
    <mergeCell ref="RRL158:RRQ158"/>
    <mergeCell ref="ROX158:RPC158"/>
    <mergeCell ref="RPD158:RPI158"/>
    <mergeCell ref="RPJ158:RPO158"/>
    <mergeCell ref="RPP158:RPU158"/>
    <mergeCell ref="RPV158:RQA158"/>
    <mergeCell ref="RQB158:RQG158"/>
    <mergeCell ref="RNN158:RNS158"/>
    <mergeCell ref="RNT158:RNY158"/>
    <mergeCell ref="RNZ158:ROE158"/>
    <mergeCell ref="ROF158:ROK158"/>
    <mergeCell ref="ROL158:ROQ158"/>
    <mergeCell ref="ROR158:ROW158"/>
    <mergeCell ref="RMD158:RMI158"/>
    <mergeCell ref="RMJ158:RMO158"/>
    <mergeCell ref="RMP158:RMU158"/>
    <mergeCell ref="RMV158:RNA158"/>
    <mergeCell ref="RNB158:RNG158"/>
    <mergeCell ref="RNH158:RNM158"/>
    <mergeCell ref="RKT158:RKY158"/>
    <mergeCell ref="RKZ158:RLE158"/>
    <mergeCell ref="RLF158:RLK158"/>
    <mergeCell ref="RLL158:RLQ158"/>
    <mergeCell ref="RLR158:RLW158"/>
    <mergeCell ref="RLX158:RMC158"/>
    <mergeCell ref="RJJ158:RJO158"/>
    <mergeCell ref="RJP158:RJU158"/>
    <mergeCell ref="RJV158:RKA158"/>
    <mergeCell ref="RKB158:RKG158"/>
    <mergeCell ref="RKH158:RKM158"/>
    <mergeCell ref="RKN158:RKS158"/>
    <mergeCell ref="RHZ158:RIE158"/>
    <mergeCell ref="RIF158:RIK158"/>
    <mergeCell ref="RIL158:RIQ158"/>
    <mergeCell ref="RIR158:RIW158"/>
    <mergeCell ref="RIX158:RJC158"/>
    <mergeCell ref="RJD158:RJI158"/>
    <mergeCell ref="RGP158:RGU158"/>
    <mergeCell ref="RGV158:RHA158"/>
    <mergeCell ref="RHB158:RHG158"/>
    <mergeCell ref="RHH158:RHM158"/>
    <mergeCell ref="RHN158:RHS158"/>
    <mergeCell ref="RHT158:RHY158"/>
    <mergeCell ref="RFF158:RFK158"/>
    <mergeCell ref="RFL158:RFQ158"/>
    <mergeCell ref="RFR158:RFW158"/>
    <mergeCell ref="RFX158:RGC158"/>
    <mergeCell ref="RGD158:RGI158"/>
    <mergeCell ref="RGJ158:RGO158"/>
    <mergeCell ref="RDV158:REA158"/>
    <mergeCell ref="REB158:REG158"/>
    <mergeCell ref="REH158:REM158"/>
    <mergeCell ref="REN158:RES158"/>
    <mergeCell ref="RET158:REY158"/>
    <mergeCell ref="REZ158:RFE158"/>
    <mergeCell ref="RCL158:RCQ158"/>
    <mergeCell ref="RCR158:RCW158"/>
    <mergeCell ref="RCX158:RDC158"/>
    <mergeCell ref="RDD158:RDI158"/>
    <mergeCell ref="RDJ158:RDO158"/>
    <mergeCell ref="RDP158:RDU158"/>
    <mergeCell ref="RBB158:RBG158"/>
    <mergeCell ref="RBH158:RBM158"/>
    <mergeCell ref="RBN158:RBS158"/>
    <mergeCell ref="RBT158:RBY158"/>
    <mergeCell ref="RBZ158:RCE158"/>
    <mergeCell ref="RCF158:RCK158"/>
    <mergeCell ref="QZR158:QZW158"/>
    <mergeCell ref="QZX158:RAC158"/>
    <mergeCell ref="RAD158:RAI158"/>
    <mergeCell ref="RAJ158:RAO158"/>
    <mergeCell ref="RAP158:RAU158"/>
    <mergeCell ref="RAV158:RBA158"/>
    <mergeCell ref="QYH158:QYM158"/>
    <mergeCell ref="QYN158:QYS158"/>
    <mergeCell ref="QYT158:QYY158"/>
    <mergeCell ref="QYZ158:QZE158"/>
    <mergeCell ref="QZF158:QZK158"/>
    <mergeCell ref="QZL158:QZQ158"/>
    <mergeCell ref="QWX158:QXC158"/>
    <mergeCell ref="QXD158:QXI158"/>
    <mergeCell ref="QXJ158:QXO158"/>
    <mergeCell ref="QXP158:QXU158"/>
    <mergeCell ref="QXV158:QYA158"/>
    <mergeCell ref="QYB158:QYG158"/>
    <mergeCell ref="QVN158:QVS158"/>
    <mergeCell ref="QVT158:QVY158"/>
    <mergeCell ref="QVZ158:QWE158"/>
    <mergeCell ref="QWF158:QWK158"/>
    <mergeCell ref="QWL158:QWQ158"/>
    <mergeCell ref="QWR158:QWW158"/>
    <mergeCell ref="QUD158:QUI158"/>
    <mergeCell ref="QUJ158:QUO158"/>
    <mergeCell ref="QUP158:QUU158"/>
    <mergeCell ref="QUV158:QVA158"/>
    <mergeCell ref="QVB158:QVG158"/>
    <mergeCell ref="QVH158:QVM158"/>
    <mergeCell ref="QST158:QSY158"/>
    <mergeCell ref="QSZ158:QTE158"/>
    <mergeCell ref="QTF158:QTK158"/>
    <mergeCell ref="QTL158:QTQ158"/>
    <mergeCell ref="QTR158:QTW158"/>
    <mergeCell ref="QTX158:QUC158"/>
    <mergeCell ref="QRJ158:QRO158"/>
    <mergeCell ref="QRP158:QRU158"/>
    <mergeCell ref="QRV158:QSA158"/>
    <mergeCell ref="QSB158:QSG158"/>
    <mergeCell ref="QSH158:QSM158"/>
    <mergeCell ref="QSN158:QSS158"/>
    <mergeCell ref="QPZ158:QQE158"/>
    <mergeCell ref="QQF158:QQK158"/>
    <mergeCell ref="QQL158:QQQ158"/>
    <mergeCell ref="QQR158:QQW158"/>
    <mergeCell ref="QQX158:QRC158"/>
    <mergeCell ref="QRD158:QRI158"/>
    <mergeCell ref="QOP158:QOU158"/>
    <mergeCell ref="QOV158:QPA158"/>
    <mergeCell ref="QPB158:QPG158"/>
    <mergeCell ref="QPH158:QPM158"/>
    <mergeCell ref="QPN158:QPS158"/>
    <mergeCell ref="QPT158:QPY158"/>
    <mergeCell ref="QNF158:QNK158"/>
    <mergeCell ref="QNL158:QNQ158"/>
    <mergeCell ref="QNR158:QNW158"/>
    <mergeCell ref="QNX158:QOC158"/>
    <mergeCell ref="QOD158:QOI158"/>
    <mergeCell ref="QOJ158:QOO158"/>
    <mergeCell ref="QLV158:QMA158"/>
    <mergeCell ref="QMB158:QMG158"/>
    <mergeCell ref="QMH158:QMM158"/>
    <mergeCell ref="QMN158:QMS158"/>
    <mergeCell ref="QMT158:QMY158"/>
    <mergeCell ref="QMZ158:QNE158"/>
    <mergeCell ref="QKL158:QKQ158"/>
    <mergeCell ref="QKR158:QKW158"/>
    <mergeCell ref="QKX158:QLC158"/>
    <mergeCell ref="QLD158:QLI158"/>
    <mergeCell ref="QLJ158:QLO158"/>
    <mergeCell ref="QLP158:QLU158"/>
    <mergeCell ref="QJB158:QJG158"/>
    <mergeCell ref="QJH158:QJM158"/>
    <mergeCell ref="QJN158:QJS158"/>
    <mergeCell ref="QJT158:QJY158"/>
    <mergeCell ref="QJZ158:QKE158"/>
    <mergeCell ref="QKF158:QKK158"/>
    <mergeCell ref="QHR158:QHW158"/>
    <mergeCell ref="QHX158:QIC158"/>
    <mergeCell ref="QID158:QII158"/>
    <mergeCell ref="QIJ158:QIO158"/>
    <mergeCell ref="QIP158:QIU158"/>
    <mergeCell ref="QIV158:QJA158"/>
    <mergeCell ref="QGH158:QGM158"/>
    <mergeCell ref="QGN158:QGS158"/>
    <mergeCell ref="QGT158:QGY158"/>
    <mergeCell ref="QGZ158:QHE158"/>
    <mergeCell ref="QHF158:QHK158"/>
    <mergeCell ref="QHL158:QHQ158"/>
    <mergeCell ref="QEX158:QFC158"/>
    <mergeCell ref="QFD158:QFI158"/>
    <mergeCell ref="QFJ158:QFO158"/>
    <mergeCell ref="QFP158:QFU158"/>
    <mergeCell ref="QFV158:QGA158"/>
    <mergeCell ref="QGB158:QGG158"/>
    <mergeCell ref="QDN158:QDS158"/>
    <mergeCell ref="QDT158:QDY158"/>
    <mergeCell ref="QDZ158:QEE158"/>
    <mergeCell ref="QEF158:QEK158"/>
    <mergeCell ref="QEL158:QEQ158"/>
    <mergeCell ref="QER158:QEW158"/>
    <mergeCell ref="QCD158:QCI158"/>
    <mergeCell ref="QCJ158:QCO158"/>
    <mergeCell ref="QCP158:QCU158"/>
    <mergeCell ref="QCV158:QDA158"/>
    <mergeCell ref="QDB158:QDG158"/>
    <mergeCell ref="QDH158:QDM158"/>
    <mergeCell ref="QAT158:QAY158"/>
    <mergeCell ref="QAZ158:QBE158"/>
    <mergeCell ref="QBF158:QBK158"/>
    <mergeCell ref="QBL158:QBQ158"/>
    <mergeCell ref="QBR158:QBW158"/>
    <mergeCell ref="QBX158:QCC158"/>
    <mergeCell ref="PZJ158:PZO158"/>
    <mergeCell ref="PZP158:PZU158"/>
    <mergeCell ref="PZV158:QAA158"/>
    <mergeCell ref="QAB158:QAG158"/>
    <mergeCell ref="QAH158:QAM158"/>
    <mergeCell ref="QAN158:QAS158"/>
    <mergeCell ref="PXZ158:PYE158"/>
    <mergeCell ref="PYF158:PYK158"/>
    <mergeCell ref="PYL158:PYQ158"/>
    <mergeCell ref="PYR158:PYW158"/>
    <mergeCell ref="PYX158:PZC158"/>
    <mergeCell ref="PZD158:PZI158"/>
    <mergeCell ref="PWP158:PWU158"/>
    <mergeCell ref="PWV158:PXA158"/>
    <mergeCell ref="PXB158:PXG158"/>
    <mergeCell ref="PXH158:PXM158"/>
    <mergeCell ref="PXN158:PXS158"/>
    <mergeCell ref="PXT158:PXY158"/>
    <mergeCell ref="PVF158:PVK158"/>
    <mergeCell ref="PVL158:PVQ158"/>
    <mergeCell ref="PVR158:PVW158"/>
    <mergeCell ref="PVX158:PWC158"/>
    <mergeCell ref="PWD158:PWI158"/>
    <mergeCell ref="PWJ158:PWO158"/>
    <mergeCell ref="PTV158:PUA158"/>
    <mergeCell ref="PUB158:PUG158"/>
    <mergeCell ref="PUH158:PUM158"/>
    <mergeCell ref="PUN158:PUS158"/>
    <mergeCell ref="PUT158:PUY158"/>
    <mergeCell ref="PUZ158:PVE158"/>
    <mergeCell ref="PSL158:PSQ158"/>
    <mergeCell ref="PSR158:PSW158"/>
    <mergeCell ref="PSX158:PTC158"/>
    <mergeCell ref="PTD158:PTI158"/>
    <mergeCell ref="PTJ158:PTO158"/>
    <mergeCell ref="PTP158:PTU158"/>
    <mergeCell ref="PRB158:PRG158"/>
    <mergeCell ref="PRH158:PRM158"/>
    <mergeCell ref="PRN158:PRS158"/>
    <mergeCell ref="PRT158:PRY158"/>
    <mergeCell ref="PRZ158:PSE158"/>
    <mergeCell ref="PSF158:PSK158"/>
    <mergeCell ref="PPR158:PPW158"/>
    <mergeCell ref="PPX158:PQC158"/>
    <mergeCell ref="PQD158:PQI158"/>
    <mergeCell ref="PQJ158:PQO158"/>
    <mergeCell ref="PQP158:PQU158"/>
    <mergeCell ref="PQV158:PRA158"/>
    <mergeCell ref="POH158:POM158"/>
    <mergeCell ref="PON158:POS158"/>
    <mergeCell ref="POT158:POY158"/>
    <mergeCell ref="POZ158:PPE158"/>
    <mergeCell ref="PPF158:PPK158"/>
    <mergeCell ref="PPL158:PPQ158"/>
    <mergeCell ref="PMX158:PNC158"/>
    <mergeCell ref="PND158:PNI158"/>
    <mergeCell ref="PNJ158:PNO158"/>
    <mergeCell ref="PNP158:PNU158"/>
    <mergeCell ref="PNV158:POA158"/>
    <mergeCell ref="POB158:POG158"/>
    <mergeCell ref="PLN158:PLS158"/>
    <mergeCell ref="PLT158:PLY158"/>
    <mergeCell ref="PLZ158:PME158"/>
    <mergeCell ref="PMF158:PMK158"/>
    <mergeCell ref="PML158:PMQ158"/>
    <mergeCell ref="PMR158:PMW158"/>
    <mergeCell ref="PKD158:PKI158"/>
    <mergeCell ref="PKJ158:PKO158"/>
    <mergeCell ref="PKP158:PKU158"/>
    <mergeCell ref="PKV158:PLA158"/>
    <mergeCell ref="PLB158:PLG158"/>
    <mergeCell ref="PLH158:PLM158"/>
    <mergeCell ref="PIT158:PIY158"/>
    <mergeCell ref="PIZ158:PJE158"/>
    <mergeCell ref="PJF158:PJK158"/>
    <mergeCell ref="PJL158:PJQ158"/>
    <mergeCell ref="PJR158:PJW158"/>
    <mergeCell ref="PJX158:PKC158"/>
    <mergeCell ref="PHJ158:PHO158"/>
    <mergeCell ref="PHP158:PHU158"/>
    <mergeCell ref="PHV158:PIA158"/>
    <mergeCell ref="PIB158:PIG158"/>
    <mergeCell ref="PIH158:PIM158"/>
    <mergeCell ref="PIN158:PIS158"/>
    <mergeCell ref="PFZ158:PGE158"/>
    <mergeCell ref="PGF158:PGK158"/>
    <mergeCell ref="PGL158:PGQ158"/>
    <mergeCell ref="PGR158:PGW158"/>
    <mergeCell ref="PGX158:PHC158"/>
    <mergeCell ref="PHD158:PHI158"/>
    <mergeCell ref="PEP158:PEU158"/>
    <mergeCell ref="PEV158:PFA158"/>
    <mergeCell ref="PFB158:PFG158"/>
    <mergeCell ref="PFH158:PFM158"/>
    <mergeCell ref="PFN158:PFS158"/>
    <mergeCell ref="PFT158:PFY158"/>
    <mergeCell ref="PDF158:PDK158"/>
    <mergeCell ref="PDL158:PDQ158"/>
    <mergeCell ref="PDR158:PDW158"/>
    <mergeCell ref="PDX158:PEC158"/>
    <mergeCell ref="PED158:PEI158"/>
    <mergeCell ref="PEJ158:PEO158"/>
    <mergeCell ref="PBV158:PCA158"/>
    <mergeCell ref="PCB158:PCG158"/>
    <mergeCell ref="PCH158:PCM158"/>
    <mergeCell ref="PCN158:PCS158"/>
    <mergeCell ref="PCT158:PCY158"/>
    <mergeCell ref="PCZ158:PDE158"/>
    <mergeCell ref="PAL158:PAQ158"/>
    <mergeCell ref="PAR158:PAW158"/>
    <mergeCell ref="PAX158:PBC158"/>
    <mergeCell ref="PBD158:PBI158"/>
    <mergeCell ref="PBJ158:PBO158"/>
    <mergeCell ref="PBP158:PBU158"/>
    <mergeCell ref="OZB158:OZG158"/>
    <mergeCell ref="OZH158:OZM158"/>
    <mergeCell ref="OZN158:OZS158"/>
    <mergeCell ref="OZT158:OZY158"/>
    <mergeCell ref="OZZ158:PAE158"/>
    <mergeCell ref="PAF158:PAK158"/>
    <mergeCell ref="OXR158:OXW158"/>
    <mergeCell ref="OXX158:OYC158"/>
    <mergeCell ref="OYD158:OYI158"/>
    <mergeCell ref="OYJ158:OYO158"/>
    <mergeCell ref="OYP158:OYU158"/>
    <mergeCell ref="OYV158:OZA158"/>
    <mergeCell ref="OWH158:OWM158"/>
    <mergeCell ref="OWN158:OWS158"/>
    <mergeCell ref="OWT158:OWY158"/>
    <mergeCell ref="OWZ158:OXE158"/>
    <mergeCell ref="OXF158:OXK158"/>
    <mergeCell ref="OXL158:OXQ158"/>
    <mergeCell ref="OUX158:OVC158"/>
    <mergeCell ref="OVD158:OVI158"/>
    <mergeCell ref="OVJ158:OVO158"/>
    <mergeCell ref="OVP158:OVU158"/>
    <mergeCell ref="OVV158:OWA158"/>
    <mergeCell ref="OWB158:OWG158"/>
    <mergeCell ref="OTN158:OTS158"/>
    <mergeCell ref="OTT158:OTY158"/>
    <mergeCell ref="OTZ158:OUE158"/>
    <mergeCell ref="OUF158:OUK158"/>
    <mergeCell ref="OUL158:OUQ158"/>
    <mergeCell ref="OUR158:OUW158"/>
    <mergeCell ref="OSD158:OSI158"/>
    <mergeCell ref="OSJ158:OSO158"/>
    <mergeCell ref="OSP158:OSU158"/>
    <mergeCell ref="OSV158:OTA158"/>
    <mergeCell ref="OTB158:OTG158"/>
    <mergeCell ref="OTH158:OTM158"/>
    <mergeCell ref="OQT158:OQY158"/>
    <mergeCell ref="OQZ158:ORE158"/>
    <mergeCell ref="ORF158:ORK158"/>
    <mergeCell ref="ORL158:ORQ158"/>
    <mergeCell ref="ORR158:ORW158"/>
    <mergeCell ref="ORX158:OSC158"/>
    <mergeCell ref="OPJ158:OPO158"/>
    <mergeCell ref="OPP158:OPU158"/>
    <mergeCell ref="OPV158:OQA158"/>
    <mergeCell ref="OQB158:OQG158"/>
    <mergeCell ref="OQH158:OQM158"/>
    <mergeCell ref="OQN158:OQS158"/>
    <mergeCell ref="ONZ158:OOE158"/>
    <mergeCell ref="OOF158:OOK158"/>
    <mergeCell ref="OOL158:OOQ158"/>
    <mergeCell ref="OOR158:OOW158"/>
    <mergeCell ref="OOX158:OPC158"/>
    <mergeCell ref="OPD158:OPI158"/>
    <mergeCell ref="OMP158:OMU158"/>
    <mergeCell ref="OMV158:ONA158"/>
    <mergeCell ref="ONB158:ONG158"/>
    <mergeCell ref="ONH158:ONM158"/>
    <mergeCell ref="ONN158:ONS158"/>
    <mergeCell ref="ONT158:ONY158"/>
    <mergeCell ref="OLF158:OLK158"/>
    <mergeCell ref="OLL158:OLQ158"/>
    <mergeCell ref="OLR158:OLW158"/>
    <mergeCell ref="OLX158:OMC158"/>
    <mergeCell ref="OMD158:OMI158"/>
    <mergeCell ref="OMJ158:OMO158"/>
    <mergeCell ref="OJV158:OKA158"/>
    <mergeCell ref="OKB158:OKG158"/>
    <mergeCell ref="OKH158:OKM158"/>
    <mergeCell ref="OKN158:OKS158"/>
    <mergeCell ref="OKT158:OKY158"/>
    <mergeCell ref="OKZ158:OLE158"/>
    <mergeCell ref="OIL158:OIQ158"/>
    <mergeCell ref="OIR158:OIW158"/>
    <mergeCell ref="OIX158:OJC158"/>
    <mergeCell ref="OJD158:OJI158"/>
    <mergeCell ref="OJJ158:OJO158"/>
    <mergeCell ref="OJP158:OJU158"/>
    <mergeCell ref="OHB158:OHG158"/>
    <mergeCell ref="OHH158:OHM158"/>
    <mergeCell ref="OHN158:OHS158"/>
    <mergeCell ref="OHT158:OHY158"/>
    <mergeCell ref="OHZ158:OIE158"/>
    <mergeCell ref="OIF158:OIK158"/>
    <mergeCell ref="OFR158:OFW158"/>
    <mergeCell ref="OFX158:OGC158"/>
    <mergeCell ref="OGD158:OGI158"/>
    <mergeCell ref="OGJ158:OGO158"/>
    <mergeCell ref="OGP158:OGU158"/>
    <mergeCell ref="OGV158:OHA158"/>
    <mergeCell ref="OEH158:OEM158"/>
    <mergeCell ref="OEN158:OES158"/>
    <mergeCell ref="OET158:OEY158"/>
    <mergeCell ref="OEZ158:OFE158"/>
    <mergeCell ref="OFF158:OFK158"/>
    <mergeCell ref="OFL158:OFQ158"/>
    <mergeCell ref="OCX158:ODC158"/>
    <mergeCell ref="ODD158:ODI158"/>
    <mergeCell ref="ODJ158:ODO158"/>
    <mergeCell ref="ODP158:ODU158"/>
    <mergeCell ref="ODV158:OEA158"/>
    <mergeCell ref="OEB158:OEG158"/>
    <mergeCell ref="OBN158:OBS158"/>
    <mergeCell ref="OBT158:OBY158"/>
    <mergeCell ref="OBZ158:OCE158"/>
    <mergeCell ref="OCF158:OCK158"/>
    <mergeCell ref="OCL158:OCQ158"/>
    <mergeCell ref="OCR158:OCW158"/>
    <mergeCell ref="OAD158:OAI158"/>
    <mergeCell ref="OAJ158:OAO158"/>
    <mergeCell ref="OAP158:OAU158"/>
    <mergeCell ref="OAV158:OBA158"/>
    <mergeCell ref="OBB158:OBG158"/>
    <mergeCell ref="OBH158:OBM158"/>
    <mergeCell ref="NYT158:NYY158"/>
    <mergeCell ref="NYZ158:NZE158"/>
    <mergeCell ref="NZF158:NZK158"/>
    <mergeCell ref="NZL158:NZQ158"/>
    <mergeCell ref="NZR158:NZW158"/>
    <mergeCell ref="NZX158:OAC158"/>
    <mergeCell ref="NXJ158:NXO158"/>
    <mergeCell ref="NXP158:NXU158"/>
    <mergeCell ref="NXV158:NYA158"/>
    <mergeCell ref="NYB158:NYG158"/>
    <mergeCell ref="NYH158:NYM158"/>
    <mergeCell ref="NYN158:NYS158"/>
    <mergeCell ref="NVZ158:NWE158"/>
    <mergeCell ref="NWF158:NWK158"/>
    <mergeCell ref="NWL158:NWQ158"/>
    <mergeCell ref="NWR158:NWW158"/>
    <mergeCell ref="NWX158:NXC158"/>
    <mergeCell ref="NXD158:NXI158"/>
    <mergeCell ref="NUP158:NUU158"/>
    <mergeCell ref="NUV158:NVA158"/>
    <mergeCell ref="NVB158:NVG158"/>
    <mergeCell ref="NVH158:NVM158"/>
    <mergeCell ref="NVN158:NVS158"/>
    <mergeCell ref="NVT158:NVY158"/>
    <mergeCell ref="NTF158:NTK158"/>
    <mergeCell ref="NTL158:NTQ158"/>
    <mergeCell ref="NTR158:NTW158"/>
    <mergeCell ref="NTX158:NUC158"/>
    <mergeCell ref="NUD158:NUI158"/>
    <mergeCell ref="NUJ158:NUO158"/>
    <mergeCell ref="NRV158:NSA158"/>
    <mergeCell ref="NSB158:NSG158"/>
    <mergeCell ref="NSH158:NSM158"/>
    <mergeCell ref="NSN158:NSS158"/>
    <mergeCell ref="NST158:NSY158"/>
    <mergeCell ref="NSZ158:NTE158"/>
    <mergeCell ref="NQL158:NQQ158"/>
    <mergeCell ref="NQR158:NQW158"/>
    <mergeCell ref="NQX158:NRC158"/>
    <mergeCell ref="NRD158:NRI158"/>
    <mergeCell ref="NRJ158:NRO158"/>
    <mergeCell ref="NRP158:NRU158"/>
    <mergeCell ref="NPB158:NPG158"/>
    <mergeCell ref="NPH158:NPM158"/>
    <mergeCell ref="NPN158:NPS158"/>
    <mergeCell ref="NPT158:NPY158"/>
    <mergeCell ref="NPZ158:NQE158"/>
    <mergeCell ref="NQF158:NQK158"/>
    <mergeCell ref="NNR158:NNW158"/>
    <mergeCell ref="NNX158:NOC158"/>
    <mergeCell ref="NOD158:NOI158"/>
    <mergeCell ref="NOJ158:NOO158"/>
    <mergeCell ref="NOP158:NOU158"/>
    <mergeCell ref="NOV158:NPA158"/>
    <mergeCell ref="NMH158:NMM158"/>
    <mergeCell ref="NMN158:NMS158"/>
    <mergeCell ref="NMT158:NMY158"/>
    <mergeCell ref="NMZ158:NNE158"/>
    <mergeCell ref="NNF158:NNK158"/>
    <mergeCell ref="NNL158:NNQ158"/>
    <mergeCell ref="NKX158:NLC158"/>
    <mergeCell ref="NLD158:NLI158"/>
    <mergeCell ref="NLJ158:NLO158"/>
    <mergeCell ref="NLP158:NLU158"/>
    <mergeCell ref="NLV158:NMA158"/>
    <mergeCell ref="NMB158:NMG158"/>
    <mergeCell ref="NJN158:NJS158"/>
    <mergeCell ref="NJT158:NJY158"/>
    <mergeCell ref="NJZ158:NKE158"/>
    <mergeCell ref="NKF158:NKK158"/>
    <mergeCell ref="NKL158:NKQ158"/>
    <mergeCell ref="NKR158:NKW158"/>
    <mergeCell ref="NID158:NII158"/>
    <mergeCell ref="NIJ158:NIO158"/>
    <mergeCell ref="NIP158:NIU158"/>
    <mergeCell ref="NIV158:NJA158"/>
    <mergeCell ref="NJB158:NJG158"/>
    <mergeCell ref="NJH158:NJM158"/>
    <mergeCell ref="NGT158:NGY158"/>
    <mergeCell ref="NGZ158:NHE158"/>
    <mergeCell ref="NHF158:NHK158"/>
    <mergeCell ref="NHL158:NHQ158"/>
    <mergeCell ref="NHR158:NHW158"/>
    <mergeCell ref="NHX158:NIC158"/>
    <mergeCell ref="NFJ158:NFO158"/>
    <mergeCell ref="NFP158:NFU158"/>
    <mergeCell ref="NFV158:NGA158"/>
    <mergeCell ref="NGB158:NGG158"/>
    <mergeCell ref="NGH158:NGM158"/>
    <mergeCell ref="NGN158:NGS158"/>
    <mergeCell ref="NDZ158:NEE158"/>
    <mergeCell ref="NEF158:NEK158"/>
    <mergeCell ref="NEL158:NEQ158"/>
    <mergeCell ref="NER158:NEW158"/>
    <mergeCell ref="NEX158:NFC158"/>
    <mergeCell ref="NFD158:NFI158"/>
    <mergeCell ref="NCP158:NCU158"/>
    <mergeCell ref="NCV158:NDA158"/>
    <mergeCell ref="NDB158:NDG158"/>
    <mergeCell ref="NDH158:NDM158"/>
    <mergeCell ref="NDN158:NDS158"/>
    <mergeCell ref="NDT158:NDY158"/>
    <mergeCell ref="NBF158:NBK158"/>
    <mergeCell ref="NBL158:NBQ158"/>
    <mergeCell ref="NBR158:NBW158"/>
    <mergeCell ref="NBX158:NCC158"/>
    <mergeCell ref="NCD158:NCI158"/>
    <mergeCell ref="NCJ158:NCO158"/>
    <mergeCell ref="MZV158:NAA158"/>
    <mergeCell ref="NAB158:NAG158"/>
    <mergeCell ref="NAH158:NAM158"/>
    <mergeCell ref="NAN158:NAS158"/>
    <mergeCell ref="NAT158:NAY158"/>
    <mergeCell ref="NAZ158:NBE158"/>
    <mergeCell ref="MYL158:MYQ158"/>
    <mergeCell ref="MYR158:MYW158"/>
    <mergeCell ref="MYX158:MZC158"/>
    <mergeCell ref="MZD158:MZI158"/>
    <mergeCell ref="MZJ158:MZO158"/>
    <mergeCell ref="MZP158:MZU158"/>
    <mergeCell ref="MXB158:MXG158"/>
    <mergeCell ref="MXH158:MXM158"/>
    <mergeCell ref="MXN158:MXS158"/>
    <mergeCell ref="MXT158:MXY158"/>
    <mergeCell ref="MXZ158:MYE158"/>
    <mergeCell ref="MYF158:MYK158"/>
    <mergeCell ref="MVR158:MVW158"/>
    <mergeCell ref="MVX158:MWC158"/>
    <mergeCell ref="MWD158:MWI158"/>
    <mergeCell ref="MWJ158:MWO158"/>
    <mergeCell ref="MWP158:MWU158"/>
    <mergeCell ref="MWV158:MXA158"/>
    <mergeCell ref="MUH158:MUM158"/>
    <mergeCell ref="MUN158:MUS158"/>
    <mergeCell ref="MUT158:MUY158"/>
    <mergeCell ref="MUZ158:MVE158"/>
    <mergeCell ref="MVF158:MVK158"/>
    <mergeCell ref="MVL158:MVQ158"/>
    <mergeCell ref="MSX158:MTC158"/>
    <mergeCell ref="MTD158:MTI158"/>
    <mergeCell ref="MTJ158:MTO158"/>
    <mergeCell ref="MTP158:MTU158"/>
    <mergeCell ref="MTV158:MUA158"/>
    <mergeCell ref="MUB158:MUG158"/>
    <mergeCell ref="MRN158:MRS158"/>
    <mergeCell ref="MRT158:MRY158"/>
    <mergeCell ref="MRZ158:MSE158"/>
    <mergeCell ref="MSF158:MSK158"/>
    <mergeCell ref="MSL158:MSQ158"/>
    <mergeCell ref="MSR158:MSW158"/>
    <mergeCell ref="MQD158:MQI158"/>
    <mergeCell ref="MQJ158:MQO158"/>
    <mergeCell ref="MQP158:MQU158"/>
    <mergeCell ref="MQV158:MRA158"/>
    <mergeCell ref="MRB158:MRG158"/>
    <mergeCell ref="MRH158:MRM158"/>
    <mergeCell ref="MOT158:MOY158"/>
    <mergeCell ref="MOZ158:MPE158"/>
    <mergeCell ref="MPF158:MPK158"/>
    <mergeCell ref="MPL158:MPQ158"/>
    <mergeCell ref="MPR158:MPW158"/>
    <mergeCell ref="MPX158:MQC158"/>
    <mergeCell ref="MNJ158:MNO158"/>
    <mergeCell ref="MNP158:MNU158"/>
    <mergeCell ref="MNV158:MOA158"/>
    <mergeCell ref="MOB158:MOG158"/>
    <mergeCell ref="MOH158:MOM158"/>
    <mergeCell ref="MON158:MOS158"/>
    <mergeCell ref="MLZ158:MME158"/>
    <mergeCell ref="MMF158:MMK158"/>
    <mergeCell ref="MML158:MMQ158"/>
    <mergeCell ref="MMR158:MMW158"/>
    <mergeCell ref="MMX158:MNC158"/>
    <mergeCell ref="MND158:MNI158"/>
    <mergeCell ref="MKP158:MKU158"/>
    <mergeCell ref="MKV158:MLA158"/>
    <mergeCell ref="MLB158:MLG158"/>
    <mergeCell ref="MLH158:MLM158"/>
    <mergeCell ref="MLN158:MLS158"/>
    <mergeCell ref="MLT158:MLY158"/>
    <mergeCell ref="MJF158:MJK158"/>
    <mergeCell ref="MJL158:MJQ158"/>
    <mergeCell ref="MJR158:MJW158"/>
    <mergeCell ref="MJX158:MKC158"/>
    <mergeCell ref="MKD158:MKI158"/>
    <mergeCell ref="MKJ158:MKO158"/>
    <mergeCell ref="MHV158:MIA158"/>
    <mergeCell ref="MIB158:MIG158"/>
    <mergeCell ref="MIH158:MIM158"/>
    <mergeCell ref="MIN158:MIS158"/>
    <mergeCell ref="MIT158:MIY158"/>
    <mergeCell ref="MIZ158:MJE158"/>
    <mergeCell ref="MGL158:MGQ158"/>
    <mergeCell ref="MGR158:MGW158"/>
    <mergeCell ref="MGX158:MHC158"/>
    <mergeCell ref="MHD158:MHI158"/>
    <mergeCell ref="MHJ158:MHO158"/>
    <mergeCell ref="MHP158:MHU158"/>
    <mergeCell ref="MFB158:MFG158"/>
    <mergeCell ref="MFH158:MFM158"/>
    <mergeCell ref="MFN158:MFS158"/>
    <mergeCell ref="MFT158:MFY158"/>
    <mergeCell ref="MFZ158:MGE158"/>
    <mergeCell ref="MGF158:MGK158"/>
    <mergeCell ref="MDR158:MDW158"/>
    <mergeCell ref="MDX158:MEC158"/>
    <mergeCell ref="MED158:MEI158"/>
    <mergeCell ref="MEJ158:MEO158"/>
    <mergeCell ref="MEP158:MEU158"/>
    <mergeCell ref="MEV158:MFA158"/>
    <mergeCell ref="MCH158:MCM158"/>
    <mergeCell ref="MCN158:MCS158"/>
    <mergeCell ref="MCT158:MCY158"/>
    <mergeCell ref="MCZ158:MDE158"/>
    <mergeCell ref="MDF158:MDK158"/>
    <mergeCell ref="MDL158:MDQ158"/>
    <mergeCell ref="MAX158:MBC158"/>
    <mergeCell ref="MBD158:MBI158"/>
    <mergeCell ref="MBJ158:MBO158"/>
    <mergeCell ref="MBP158:MBU158"/>
    <mergeCell ref="MBV158:MCA158"/>
    <mergeCell ref="MCB158:MCG158"/>
    <mergeCell ref="LZN158:LZS158"/>
    <mergeCell ref="LZT158:LZY158"/>
    <mergeCell ref="LZZ158:MAE158"/>
    <mergeCell ref="MAF158:MAK158"/>
    <mergeCell ref="MAL158:MAQ158"/>
    <mergeCell ref="MAR158:MAW158"/>
    <mergeCell ref="LYD158:LYI158"/>
    <mergeCell ref="LYJ158:LYO158"/>
    <mergeCell ref="LYP158:LYU158"/>
    <mergeCell ref="LYV158:LZA158"/>
    <mergeCell ref="LZB158:LZG158"/>
    <mergeCell ref="LZH158:LZM158"/>
    <mergeCell ref="LWT158:LWY158"/>
    <mergeCell ref="LWZ158:LXE158"/>
    <mergeCell ref="LXF158:LXK158"/>
    <mergeCell ref="LXL158:LXQ158"/>
    <mergeCell ref="LXR158:LXW158"/>
    <mergeCell ref="LXX158:LYC158"/>
    <mergeCell ref="LVJ158:LVO158"/>
    <mergeCell ref="LVP158:LVU158"/>
    <mergeCell ref="LVV158:LWA158"/>
    <mergeCell ref="LWB158:LWG158"/>
    <mergeCell ref="LWH158:LWM158"/>
    <mergeCell ref="LWN158:LWS158"/>
    <mergeCell ref="LTZ158:LUE158"/>
    <mergeCell ref="LUF158:LUK158"/>
    <mergeCell ref="LUL158:LUQ158"/>
    <mergeCell ref="LUR158:LUW158"/>
    <mergeCell ref="LUX158:LVC158"/>
    <mergeCell ref="LVD158:LVI158"/>
    <mergeCell ref="LSP158:LSU158"/>
    <mergeCell ref="LSV158:LTA158"/>
    <mergeCell ref="LTB158:LTG158"/>
    <mergeCell ref="LTH158:LTM158"/>
    <mergeCell ref="LTN158:LTS158"/>
    <mergeCell ref="LTT158:LTY158"/>
    <mergeCell ref="LRF158:LRK158"/>
    <mergeCell ref="LRL158:LRQ158"/>
    <mergeCell ref="LRR158:LRW158"/>
    <mergeCell ref="LRX158:LSC158"/>
    <mergeCell ref="LSD158:LSI158"/>
    <mergeCell ref="LSJ158:LSO158"/>
    <mergeCell ref="LPV158:LQA158"/>
    <mergeCell ref="LQB158:LQG158"/>
    <mergeCell ref="LQH158:LQM158"/>
    <mergeCell ref="LQN158:LQS158"/>
    <mergeCell ref="LQT158:LQY158"/>
    <mergeCell ref="LQZ158:LRE158"/>
    <mergeCell ref="LOL158:LOQ158"/>
    <mergeCell ref="LOR158:LOW158"/>
    <mergeCell ref="LOX158:LPC158"/>
    <mergeCell ref="LPD158:LPI158"/>
    <mergeCell ref="LPJ158:LPO158"/>
    <mergeCell ref="LPP158:LPU158"/>
    <mergeCell ref="LNB158:LNG158"/>
    <mergeCell ref="LNH158:LNM158"/>
    <mergeCell ref="LNN158:LNS158"/>
    <mergeCell ref="LNT158:LNY158"/>
    <mergeCell ref="LNZ158:LOE158"/>
    <mergeCell ref="LOF158:LOK158"/>
    <mergeCell ref="LLR158:LLW158"/>
    <mergeCell ref="LLX158:LMC158"/>
    <mergeCell ref="LMD158:LMI158"/>
    <mergeCell ref="LMJ158:LMO158"/>
    <mergeCell ref="LMP158:LMU158"/>
    <mergeCell ref="LMV158:LNA158"/>
    <mergeCell ref="LKH158:LKM158"/>
    <mergeCell ref="LKN158:LKS158"/>
    <mergeCell ref="LKT158:LKY158"/>
    <mergeCell ref="LKZ158:LLE158"/>
    <mergeCell ref="LLF158:LLK158"/>
    <mergeCell ref="LLL158:LLQ158"/>
    <mergeCell ref="LIX158:LJC158"/>
    <mergeCell ref="LJD158:LJI158"/>
    <mergeCell ref="LJJ158:LJO158"/>
    <mergeCell ref="LJP158:LJU158"/>
    <mergeCell ref="LJV158:LKA158"/>
    <mergeCell ref="LKB158:LKG158"/>
    <mergeCell ref="LHN158:LHS158"/>
    <mergeCell ref="LHT158:LHY158"/>
    <mergeCell ref="LHZ158:LIE158"/>
    <mergeCell ref="LIF158:LIK158"/>
    <mergeCell ref="LIL158:LIQ158"/>
    <mergeCell ref="LIR158:LIW158"/>
    <mergeCell ref="LGD158:LGI158"/>
    <mergeCell ref="LGJ158:LGO158"/>
    <mergeCell ref="LGP158:LGU158"/>
    <mergeCell ref="LGV158:LHA158"/>
    <mergeCell ref="LHB158:LHG158"/>
    <mergeCell ref="LHH158:LHM158"/>
    <mergeCell ref="LET158:LEY158"/>
    <mergeCell ref="LEZ158:LFE158"/>
    <mergeCell ref="LFF158:LFK158"/>
    <mergeCell ref="LFL158:LFQ158"/>
    <mergeCell ref="LFR158:LFW158"/>
    <mergeCell ref="LFX158:LGC158"/>
    <mergeCell ref="LDJ158:LDO158"/>
    <mergeCell ref="LDP158:LDU158"/>
    <mergeCell ref="LDV158:LEA158"/>
    <mergeCell ref="LEB158:LEG158"/>
    <mergeCell ref="LEH158:LEM158"/>
    <mergeCell ref="LEN158:LES158"/>
    <mergeCell ref="LBZ158:LCE158"/>
    <mergeCell ref="LCF158:LCK158"/>
    <mergeCell ref="LCL158:LCQ158"/>
    <mergeCell ref="LCR158:LCW158"/>
    <mergeCell ref="LCX158:LDC158"/>
    <mergeCell ref="LDD158:LDI158"/>
    <mergeCell ref="LAP158:LAU158"/>
    <mergeCell ref="LAV158:LBA158"/>
    <mergeCell ref="LBB158:LBG158"/>
    <mergeCell ref="LBH158:LBM158"/>
    <mergeCell ref="LBN158:LBS158"/>
    <mergeCell ref="LBT158:LBY158"/>
    <mergeCell ref="KZF158:KZK158"/>
    <mergeCell ref="KZL158:KZQ158"/>
    <mergeCell ref="KZR158:KZW158"/>
    <mergeCell ref="KZX158:LAC158"/>
    <mergeCell ref="LAD158:LAI158"/>
    <mergeCell ref="LAJ158:LAO158"/>
    <mergeCell ref="KXV158:KYA158"/>
    <mergeCell ref="KYB158:KYG158"/>
    <mergeCell ref="KYH158:KYM158"/>
    <mergeCell ref="KYN158:KYS158"/>
    <mergeCell ref="KYT158:KYY158"/>
    <mergeCell ref="KYZ158:KZE158"/>
    <mergeCell ref="KWL158:KWQ158"/>
    <mergeCell ref="KWR158:KWW158"/>
    <mergeCell ref="KWX158:KXC158"/>
    <mergeCell ref="KXD158:KXI158"/>
    <mergeCell ref="KXJ158:KXO158"/>
    <mergeCell ref="KXP158:KXU158"/>
    <mergeCell ref="KVB158:KVG158"/>
    <mergeCell ref="KVH158:KVM158"/>
    <mergeCell ref="KVN158:KVS158"/>
    <mergeCell ref="KVT158:KVY158"/>
    <mergeCell ref="KVZ158:KWE158"/>
    <mergeCell ref="KWF158:KWK158"/>
    <mergeCell ref="KTR158:KTW158"/>
    <mergeCell ref="KTX158:KUC158"/>
    <mergeCell ref="KUD158:KUI158"/>
    <mergeCell ref="KUJ158:KUO158"/>
    <mergeCell ref="KUP158:KUU158"/>
    <mergeCell ref="KUV158:KVA158"/>
    <mergeCell ref="KSH158:KSM158"/>
    <mergeCell ref="KSN158:KSS158"/>
    <mergeCell ref="KST158:KSY158"/>
    <mergeCell ref="KSZ158:KTE158"/>
    <mergeCell ref="KTF158:KTK158"/>
    <mergeCell ref="KTL158:KTQ158"/>
    <mergeCell ref="KQX158:KRC158"/>
    <mergeCell ref="KRD158:KRI158"/>
    <mergeCell ref="KRJ158:KRO158"/>
    <mergeCell ref="KRP158:KRU158"/>
    <mergeCell ref="KRV158:KSA158"/>
    <mergeCell ref="KSB158:KSG158"/>
    <mergeCell ref="KPN158:KPS158"/>
    <mergeCell ref="KPT158:KPY158"/>
    <mergeCell ref="KPZ158:KQE158"/>
    <mergeCell ref="KQF158:KQK158"/>
    <mergeCell ref="KQL158:KQQ158"/>
    <mergeCell ref="KQR158:KQW158"/>
    <mergeCell ref="KOD158:KOI158"/>
    <mergeCell ref="KOJ158:KOO158"/>
    <mergeCell ref="KOP158:KOU158"/>
    <mergeCell ref="KOV158:KPA158"/>
    <mergeCell ref="KPB158:KPG158"/>
    <mergeCell ref="KPH158:KPM158"/>
    <mergeCell ref="KMT158:KMY158"/>
    <mergeCell ref="KMZ158:KNE158"/>
    <mergeCell ref="KNF158:KNK158"/>
    <mergeCell ref="KNL158:KNQ158"/>
    <mergeCell ref="KNR158:KNW158"/>
    <mergeCell ref="KNX158:KOC158"/>
    <mergeCell ref="KLJ158:KLO158"/>
    <mergeCell ref="KLP158:KLU158"/>
    <mergeCell ref="KLV158:KMA158"/>
    <mergeCell ref="KMB158:KMG158"/>
    <mergeCell ref="KMH158:KMM158"/>
    <mergeCell ref="KMN158:KMS158"/>
    <mergeCell ref="KJZ158:KKE158"/>
    <mergeCell ref="KKF158:KKK158"/>
    <mergeCell ref="KKL158:KKQ158"/>
    <mergeCell ref="KKR158:KKW158"/>
    <mergeCell ref="KKX158:KLC158"/>
    <mergeCell ref="KLD158:KLI158"/>
    <mergeCell ref="KIP158:KIU158"/>
    <mergeCell ref="KIV158:KJA158"/>
    <mergeCell ref="KJB158:KJG158"/>
    <mergeCell ref="KJH158:KJM158"/>
    <mergeCell ref="KJN158:KJS158"/>
    <mergeCell ref="KJT158:KJY158"/>
    <mergeCell ref="KHF158:KHK158"/>
    <mergeCell ref="KHL158:KHQ158"/>
    <mergeCell ref="KHR158:KHW158"/>
    <mergeCell ref="KHX158:KIC158"/>
    <mergeCell ref="KID158:KII158"/>
    <mergeCell ref="KIJ158:KIO158"/>
    <mergeCell ref="KFV158:KGA158"/>
    <mergeCell ref="KGB158:KGG158"/>
    <mergeCell ref="KGH158:KGM158"/>
    <mergeCell ref="KGN158:KGS158"/>
    <mergeCell ref="KGT158:KGY158"/>
    <mergeCell ref="KGZ158:KHE158"/>
    <mergeCell ref="KEL158:KEQ158"/>
    <mergeCell ref="KER158:KEW158"/>
    <mergeCell ref="KEX158:KFC158"/>
    <mergeCell ref="KFD158:KFI158"/>
    <mergeCell ref="KFJ158:KFO158"/>
    <mergeCell ref="KFP158:KFU158"/>
    <mergeCell ref="KDB158:KDG158"/>
    <mergeCell ref="KDH158:KDM158"/>
    <mergeCell ref="KDN158:KDS158"/>
    <mergeCell ref="KDT158:KDY158"/>
    <mergeCell ref="KDZ158:KEE158"/>
    <mergeCell ref="KEF158:KEK158"/>
    <mergeCell ref="KBR158:KBW158"/>
    <mergeCell ref="KBX158:KCC158"/>
    <mergeCell ref="KCD158:KCI158"/>
    <mergeCell ref="KCJ158:KCO158"/>
    <mergeCell ref="KCP158:KCU158"/>
    <mergeCell ref="KCV158:KDA158"/>
    <mergeCell ref="KAH158:KAM158"/>
    <mergeCell ref="KAN158:KAS158"/>
    <mergeCell ref="KAT158:KAY158"/>
    <mergeCell ref="KAZ158:KBE158"/>
    <mergeCell ref="KBF158:KBK158"/>
    <mergeCell ref="KBL158:KBQ158"/>
    <mergeCell ref="JYX158:JZC158"/>
    <mergeCell ref="JZD158:JZI158"/>
    <mergeCell ref="JZJ158:JZO158"/>
    <mergeCell ref="JZP158:JZU158"/>
    <mergeCell ref="JZV158:KAA158"/>
    <mergeCell ref="KAB158:KAG158"/>
    <mergeCell ref="JXN158:JXS158"/>
    <mergeCell ref="JXT158:JXY158"/>
    <mergeCell ref="JXZ158:JYE158"/>
    <mergeCell ref="JYF158:JYK158"/>
    <mergeCell ref="JYL158:JYQ158"/>
    <mergeCell ref="JYR158:JYW158"/>
    <mergeCell ref="JWD158:JWI158"/>
    <mergeCell ref="JWJ158:JWO158"/>
    <mergeCell ref="JWP158:JWU158"/>
    <mergeCell ref="JWV158:JXA158"/>
    <mergeCell ref="JXB158:JXG158"/>
    <mergeCell ref="JXH158:JXM158"/>
    <mergeCell ref="JUT158:JUY158"/>
    <mergeCell ref="JUZ158:JVE158"/>
    <mergeCell ref="JVF158:JVK158"/>
    <mergeCell ref="JVL158:JVQ158"/>
    <mergeCell ref="JVR158:JVW158"/>
    <mergeCell ref="JVX158:JWC158"/>
    <mergeCell ref="JTJ158:JTO158"/>
    <mergeCell ref="JTP158:JTU158"/>
    <mergeCell ref="JTV158:JUA158"/>
    <mergeCell ref="JUB158:JUG158"/>
    <mergeCell ref="JUH158:JUM158"/>
    <mergeCell ref="JUN158:JUS158"/>
    <mergeCell ref="JRZ158:JSE158"/>
    <mergeCell ref="JSF158:JSK158"/>
    <mergeCell ref="JSL158:JSQ158"/>
    <mergeCell ref="JSR158:JSW158"/>
    <mergeCell ref="JSX158:JTC158"/>
    <mergeCell ref="JTD158:JTI158"/>
    <mergeCell ref="JQP158:JQU158"/>
    <mergeCell ref="JQV158:JRA158"/>
    <mergeCell ref="JRB158:JRG158"/>
    <mergeCell ref="JRH158:JRM158"/>
    <mergeCell ref="JRN158:JRS158"/>
    <mergeCell ref="JRT158:JRY158"/>
    <mergeCell ref="JPF158:JPK158"/>
    <mergeCell ref="JPL158:JPQ158"/>
    <mergeCell ref="JPR158:JPW158"/>
    <mergeCell ref="JPX158:JQC158"/>
    <mergeCell ref="JQD158:JQI158"/>
    <mergeCell ref="JQJ158:JQO158"/>
    <mergeCell ref="JNV158:JOA158"/>
    <mergeCell ref="JOB158:JOG158"/>
    <mergeCell ref="JOH158:JOM158"/>
    <mergeCell ref="JON158:JOS158"/>
    <mergeCell ref="JOT158:JOY158"/>
    <mergeCell ref="JOZ158:JPE158"/>
    <mergeCell ref="JML158:JMQ158"/>
    <mergeCell ref="JMR158:JMW158"/>
    <mergeCell ref="JMX158:JNC158"/>
    <mergeCell ref="JND158:JNI158"/>
    <mergeCell ref="JNJ158:JNO158"/>
    <mergeCell ref="JNP158:JNU158"/>
    <mergeCell ref="JLB158:JLG158"/>
    <mergeCell ref="JLH158:JLM158"/>
    <mergeCell ref="JLN158:JLS158"/>
    <mergeCell ref="JLT158:JLY158"/>
    <mergeCell ref="JLZ158:JME158"/>
    <mergeCell ref="JMF158:JMK158"/>
    <mergeCell ref="JJR158:JJW158"/>
    <mergeCell ref="JJX158:JKC158"/>
    <mergeCell ref="JKD158:JKI158"/>
    <mergeCell ref="JKJ158:JKO158"/>
    <mergeCell ref="JKP158:JKU158"/>
    <mergeCell ref="JKV158:JLA158"/>
    <mergeCell ref="JIH158:JIM158"/>
    <mergeCell ref="JIN158:JIS158"/>
    <mergeCell ref="JIT158:JIY158"/>
    <mergeCell ref="JIZ158:JJE158"/>
    <mergeCell ref="JJF158:JJK158"/>
    <mergeCell ref="JJL158:JJQ158"/>
    <mergeCell ref="JGX158:JHC158"/>
    <mergeCell ref="JHD158:JHI158"/>
    <mergeCell ref="JHJ158:JHO158"/>
    <mergeCell ref="JHP158:JHU158"/>
    <mergeCell ref="JHV158:JIA158"/>
    <mergeCell ref="JIB158:JIG158"/>
    <mergeCell ref="JFN158:JFS158"/>
    <mergeCell ref="JFT158:JFY158"/>
    <mergeCell ref="JFZ158:JGE158"/>
    <mergeCell ref="JGF158:JGK158"/>
    <mergeCell ref="JGL158:JGQ158"/>
    <mergeCell ref="JGR158:JGW158"/>
    <mergeCell ref="JED158:JEI158"/>
    <mergeCell ref="JEJ158:JEO158"/>
    <mergeCell ref="JEP158:JEU158"/>
    <mergeCell ref="JEV158:JFA158"/>
    <mergeCell ref="JFB158:JFG158"/>
    <mergeCell ref="JFH158:JFM158"/>
    <mergeCell ref="JCT158:JCY158"/>
    <mergeCell ref="JCZ158:JDE158"/>
    <mergeCell ref="JDF158:JDK158"/>
    <mergeCell ref="JDL158:JDQ158"/>
    <mergeCell ref="JDR158:JDW158"/>
    <mergeCell ref="JDX158:JEC158"/>
    <mergeCell ref="JBJ158:JBO158"/>
    <mergeCell ref="JBP158:JBU158"/>
    <mergeCell ref="JBV158:JCA158"/>
    <mergeCell ref="JCB158:JCG158"/>
    <mergeCell ref="JCH158:JCM158"/>
    <mergeCell ref="JCN158:JCS158"/>
    <mergeCell ref="IZZ158:JAE158"/>
    <mergeCell ref="JAF158:JAK158"/>
    <mergeCell ref="JAL158:JAQ158"/>
    <mergeCell ref="JAR158:JAW158"/>
    <mergeCell ref="JAX158:JBC158"/>
    <mergeCell ref="JBD158:JBI158"/>
    <mergeCell ref="IYP158:IYU158"/>
    <mergeCell ref="IYV158:IZA158"/>
    <mergeCell ref="IZB158:IZG158"/>
    <mergeCell ref="IZH158:IZM158"/>
    <mergeCell ref="IZN158:IZS158"/>
    <mergeCell ref="IZT158:IZY158"/>
    <mergeCell ref="IXF158:IXK158"/>
    <mergeCell ref="IXL158:IXQ158"/>
    <mergeCell ref="IXR158:IXW158"/>
    <mergeCell ref="IXX158:IYC158"/>
    <mergeCell ref="IYD158:IYI158"/>
    <mergeCell ref="IYJ158:IYO158"/>
    <mergeCell ref="IVV158:IWA158"/>
    <mergeCell ref="IWB158:IWG158"/>
    <mergeCell ref="IWH158:IWM158"/>
    <mergeCell ref="IWN158:IWS158"/>
    <mergeCell ref="IWT158:IWY158"/>
    <mergeCell ref="IWZ158:IXE158"/>
    <mergeCell ref="IUL158:IUQ158"/>
    <mergeCell ref="IUR158:IUW158"/>
    <mergeCell ref="IUX158:IVC158"/>
    <mergeCell ref="IVD158:IVI158"/>
    <mergeCell ref="IVJ158:IVO158"/>
    <mergeCell ref="IVP158:IVU158"/>
    <mergeCell ref="ITB158:ITG158"/>
    <mergeCell ref="ITH158:ITM158"/>
    <mergeCell ref="ITN158:ITS158"/>
    <mergeCell ref="ITT158:ITY158"/>
    <mergeCell ref="ITZ158:IUE158"/>
    <mergeCell ref="IUF158:IUK158"/>
    <mergeCell ref="IRR158:IRW158"/>
    <mergeCell ref="IRX158:ISC158"/>
    <mergeCell ref="ISD158:ISI158"/>
    <mergeCell ref="ISJ158:ISO158"/>
    <mergeCell ref="ISP158:ISU158"/>
    <mergeCell ref="ISV158:ITA158"/>
    <mergeCell ref="IQH158:IQM158"/>
    <mergeCell ref="IQN158:IQS158"/>
    <mergeCell ref="IQT158:IQY158"/>
    <mergeCell ref="IQZ158:IRE158"/>
    <mergeCell ref="IRF158:IRK158"/>
    <mergeCell ref="IRL158:IRQ158"/>
    <mergeCell ref="IOX158:IPC158"/>
    <mergeCell ref="IPD158:IPI158"/>
    <mergeCell ref="IPJ158:IPO158"/>
    <mergeCell ref="IPP158:IPU158"/>
    <mergeCell ref="IPV158:IQA158"/>
    <mergeCell ref="IQB158:IQG158"/>
    <mergeCell ref="INN158:INS158"/>
    <mergeCell ref="INT158:INY158"/>
    <mergeCell ref="INZ158:IOE158"/>
    <mergeCell ref="IOF158:IOK158"/>
    <mergeCell ref="IOL158:IOQ158"/>
    <mergeCell ref="IOR158:IOW158"/>
    <mergeCell ref="IMD158:IMI158"/>
    <mergeCell ref="IMJ158:IMO158"/>
    <mergeCell ref="IMP158:IMU158"/>
    <mergeCell ref="IMV158:INA158"/>
    <mergeCell ref="INB158:ING158"/>
    <mergeCell ref="INH158:INM158"/>
    <mergeCell ref="IKT158:IKY158"/>
    <mergeCell ref="IKZ158:ILE158"/>
    <mergeCell ref="ILF158:ILK158"/>
    <mergeCell ref="ILL158:ILQ158"/>
    <mergeCell ref="ILR158:ILW158"/>
    <mergeCell ref="ILX158:IMC158"/>
    <mergeCell ref="IJJ158:IJO158"/>
    <mergeCell ref="IJP158:IJU158"/>
    <mergeCell ref="IJV158:IKA158"/>
    <mergeCell ref="IKB158:IKG158"/>
    <mergeCell ref="IKH158:IKM158"/>
    <mergeCell ref="IKN158:IKS158"/>
    <mergeCell ref="IHZ158:IIE158"/>
    <mergeCell ref="IIF158:IIK158"/>
    <mergeCell ref="IIL158:IIQ158"/>
    <mergeCell ref="IIR158:IIW158"/>
    <mergeCell ref="IIX158:IJC158"/>
    <mergeCell ref="IJD158:IJI158"/>
    <mergeCell ref="IGP158:IGU158"/>
    <mergeCell ref="IGV158:IHA158"/>
    <mergeCell ref="IHB158:IHG158"/>
    <mergeCell ref="IHH158:IHM158"/>
    <mergeCell ref="IHN158:IHS158"/>
    <mergeCell ref="IHT158:IHY158"/>
    <mergeCell ref="IFF158:IFK158"/>
    <mergeCell ref="IFL158:IFQ158"/>
    <mergeCell ref="IFR158:IFW158"/>
    <mergeCell ref="IFX158:IGC158"/>
    <mergeCell ref="IGD158:IGI158"/>
    <mergeCell ref="IGJ158:IGO158"/>
    <mergeCell ref="IDV158:IEA158"/>
    <mergeCell ref="IEB158:IEG158"/>
    <mergeCell ref="IEH158:IEM158"/>
    <mergeCell ref="IEN158:IES158"/>
    <mergeCell ref="IET158:IEY158"/>
    <mergeCell ref="IEZ158:IFE158"/>
    <mergeCell ref="ICL158:ICQ158"/>
    <mergeCell ref="ICR158:ICW158"/>
    <mergeCell ref="ICX158:IDC158"/>
    <mergeCell ref="IDD158:IDI158"/>
    <mergeCell ref="IDJ158:IDO158"/>
    <mergeCell ref="IDP158:IDU158"/>
    <mergeCell ref="IBB158:IBG158"/>
    <mergeCell ref="IBH158:IBM158"/>
    <mergeCell ref="IBN158:IBS158"/>
    <mergeCell ref="IBT158:IBY158"/>
    <mergeCell ref="IBZ158:ICE158"/>
    <mergeCell ref="ICF158:ICK158"/>
    <mergeCell ref="HZR158:HZW158"/>
    <mergeCell ref="HZX158:IAC158"/>
    <mergeCell ref="IAD158:IAI158"/>
    <mergeCell ref="IAJ158:IAO158"/>
    <mergeCell ref="IAP158:IAU158"/>
    <mergeCell ref="IAV158:IBA158"/>
    <mergeCell ref="HYH158:HYM158"/>
    <mergeCell ref="HYN158:HYS158"/>
    <mergeCell ref="HYT158:HYY158"/>
    <mergeCell ref="HYZ158:HZE158"/>
    <mergeCell ref="HZF158:HZK158"/>
    <mergeCell ref="HZL158:HZQ158"/>
    <mergeCell ref="HWX158:HXC158"/>
    <mergeCell ref="HXD158:HXI158"/>
    <mergeCell ref="HXJ158:HXO158"/>
    <mergeCell ref="HXP158:HXU158"/>
    <mergeCell ref="HXV158:HYA158"/>
    <mergeCell ref="HYB158:HYG158"/>
    <mergeCell ref="HVN158:HVS158"/>
    <mergeCell ref="HVT158:HVY158"/>
    <mergeCell ref="HVZ158:HWE158"/>
    <mergeCell ref="HWF158:HWK158"/>
    <mergeCell ref="HWL158:HWQ158"/>
    <mergeCell ref="HWR158:HWW158"/>
    <mergeCell ref="HUD158:HUI158"/>
    <mergeCell ref="HUJ158:HUO158"/>
    <mergeCell ref="HUP158:HUU158"/>
    <mergeCell ref="HUV158:HVA158"/>
    <mergeCell ref="HVB158:HVG158"/>
    <mergeCell ref="HVH158:HVM158"/>
    <mergeCell ref="HST158:HSY158"/>
    <mergeCell ref="HSZ158:HTE158"/>
    <mergeCell ref="HTF158:HTK158"/>
    <mergeCell ref="HTL158:HTQ158"/>
    <mergeCell ref="HTR158:HTW158"/>
    <mergeCell ref="HTX158:HUC158"/>
    <mergeCell ref="HRJ158:HRO158"/>
    <mergeCell ref="HRP158:HRU158"/>
    <mergeCell ref="HRV158:HSA158"/>
    <mergeCell ref="HSB158:HSG158"/>
    <mergeCell ref="HSH158:HSM158"/>
    <mergeCell ref="HSN158:HSS158"/>
    <mergeCell ref="HPZ158:HQE158"/>
    <mergeCell ref="HQF158:HQK158"/>
    <mergeCell ref="HQL158:HQQ158"/>
    <mergeCell ref="HQR158:HQW158"/>
    <mergeCell ref="HQX158:HRC158"/>
    <mergeCell ref="HRD158:HRI158"/>
    <mergeCell ref="HOP158:HOU158"/>
    <mergeCell ref="HOV158:HPA158"/>
    <mergeCell ref="HPB158:HPG158"/>
    <mergeCell ref="HPH158:HPM158"/>
    <mergeCell ref="HPN158:HPS158"/>
    <mergeCell ref="HPT158:HPY158"/>
    <mergeCell ref="HNF158:HNK158"/>
    <mergeCell ref="HNL158:HNQ158"/>
    <mergeCell ref="HNR158:HNW158"/>
    <mergeCell ref="HNX158:HOC158"/>
    <mergeCell ref="HOD158:HOI158"/>
    <mergeCell ref="HOJ158:HOO158"/>
    <mergeCell ref="HLV158:HMA158"/>
    <mergeCell ref="HMB158:HMG158"/>
    <mergeCell ref="HMH158:HMM158"/>
    <mergeCell ref="HMN158:HMS158"/>
    <mergeCell ref="HMT158:HMY158"/>
    <mergeCell ref="HMZ158:HNE158"/>
    <mergeCell ref="HKL158:HKQ158"/>
    <mergeCell ref="HKR158:HKW158"/>
    <mergeCell ref="HKX158:HLC158"/>
    <mergeCell ref="HLD158:HLI158"/>
    <mergeCell ref="HLJ158:HLO158"/>
    <mergeCell ref="HLP158:HLU158"/>
    <mergeCell ref="HJB158:HJG158"/>
    <mergeCell ref="HJH158:HJM158"/>
    <mergeCell ref="HJN158:HJS158"/>
    <mergeCell ref="HJT158:HJY158"/>
    <mergeCell ref="HJZ158:HKE158"/>
    <mergeCell ref="HKF158:HKK158"/>
    <mergeCell ref="HHR158:HHW158"/>
    <mergeCell ref="HHX158:HIC158"/>
    <mergeCell ref="HID158:HII158"/>
    <mergeCell ref="HIJ158:HIO158"/>
    <mergeCell ref="HIP158:HIU158"/>
    <mergeCell ref="HIV158:HJA158"/>
    <mergeCell ref="HGH158:HGM158"/>
    <mergeCell ref="HGN158:HGS158"/>
    <mergeCell ref="HGT158:HGY158"/>
    <mergeCell ref="HGZ158:HHE158"/>
    <mergeCell ref="HHF158:HHK158"/>
    <mergeCell ref="HHL158:HHQ158"/>
    <mergeCell ref="HEX158:HFC158"/>
    <mergeCell ref="HFD158:HFI158"/>
    <mergeCell ref="HFJ158:HFO158"/>
    <mergeCell ref="HFP158:HFU158"/>
    <mergeCell ref="HFV158:HGA158"/>
    <mergeCell ref="HGB158:HGG158"/>
    <mergeCell ref="HDN158:HDS158"/>
    <mergeCell ref="HDT158:HDY158"/>
    <mergeCell ref="HDZ158:HEE158"/>
    <mergeCell ref="HEF158:HEK158"/>
    <mergeCell ref="HEL158:HEQ158"/>
    <mergeCell ref="HER158:HEW158"/>
    <mergeCell ref="HCD158:HCI158"/>
    <mergeCell ref="HCJ158:HCO158"/>
    <mergeCell ref="HCP158:HCU158"/>
    <mergeCell ref="HCV158:HDA158"/>
    <mergeCell ref="HDB158:HDG158"/>
    <mergeCell ref="HDH158:HDM158"/>
    <mergeCell ref="HAT158:HAY158"/>
    <mergeCell ref="HAZ158:HBE158"/>
    <mergeCell ref="HBF158:HBK158"/>
    <mergeCell ref="HBL158:HBQ158"/>
    <mergeCell ref="HBR158:HBW158"/>
    <mergeCell ref="HBX158:HCC158"/>
    <mergeCell ref="GZJ158:GZO158"/>
    <mergeCell ref="GZP158:GZU158"/>
    <mergeCell ref="GZV158:HAA158"/>
    <mergeCell ref="HAB158:HAG158"/>
    <mergeCell ref="HAH158:HAM158"/>
    <mergeCell ref="HAN158:HAS158"/>
    <mergeCell ref="GXZ158:GYE158"/>
    <mergeCell ref="GYF158:GYK158"/>
    <mergeCell ref="GYL158:GYQ158"/>
    <mergeCell ref="GYR158:GYW158"/>
    <mergeCell ref="GYX158:GZC158"/>
    <mergeCell ref="GZD158:GZI158"/>
    <mergeCell ref="GWP158:GWU158"/>
    <mergeCell ref="GWV158:GXA158"/>
    <mergeCell ref="GXB158:GXG158"/>
    <mergeCell ref="GXH158:GXM158"/>
    <mergeCell ref="GXN158:GXS158"/>
    <mergeCell ref="GXT158:GXY158"/>
    <mergeCell ref="GVF158:GVK158"/>
    <mergeCell ref="GVL158:GVQ158"/>
    <mergeCell ref="GVR158:GVW158"/>
    <mergeCell ref="GVX158:GWC158"/>
    <mergeCell ref="GWD158:GWI158"/>
    <mergeCell ref="GWJ158:GWO158"/>
    <mergeCell ref="GTV158:GUA158"/>
    <mergeCell ref="GUB158:GUG158"/>
    <mergeCell ref="GUH158:GUM158"/>
    <mergeCell ref="GUN158:GUS158"/>
    <mergeCell ref="GUT158:GUY158"/>
    <mergeCell ref="GUZ158:GVE158"/>
    <mergeCell ref="GSL158:GSQ158"/>
    <mergeCell ref="GSR158:GSW158"/>
    <mergeCell ref="GSX158:GTC158"/>
    <mergeCell ref="GTD158:GTI158"/>
    <mergeCell ref="GTJ158:GTO158"/>
    <mergeCell ref="GTP158:GTU158"/>
    <mergeCell ref="GRB158:GRG158"/>
    <mergeCell ref="GRH158:GRM158"/>
    <mergeCell ref="GRN158:GRS158"/>
    <mergeCell ref="GRT158:GRY158"/>
    <mergeCell ref="GRZ158:GSE158"/>
    <mergeCell ref="GSF158:GSK158"/>
    <mergeCell ref="GPR158:GPW158"/>
    <mergeCell ref="GPX158:GQC158"/>
    <mergeCell ref="GQD158:GQI158"/>
    <mergeCell ref="GQJ158:GQO158"/>
    <mergeCell ref="GQP158:GQU158"/>
    <mergeCell ref="GQV158:GRA158"/>
    <mergeCell ref="GOH158:GOM158"/>
    <mergeCell ref="GON158:GOS158"/>
    <mergeCell ref="GOT158:GOY158"/>
    <mergeCell ref="GOZ158:GPE158"/>
    <mergeCell ref="GPF158:GPK158"/>
    <mergeCell ref="GPL158:GPQ158"/>
    <mergeCell ref="GMX158:GNC158"/>
    <mergeCell ref="GND158:GNI158"/>
    <mergeCell ref="GNJ158:GNO158"/>
    <mergeCell ref="GNP158:GNU158"/>
    <mergeCell ref="GNV158:GOA158"/>
    <mergeCell ref="GOB158:GOG158"/>
    <mergeCell ref="GLN158:GLS158"/>
    <mergeCell ref="GLT158:GLY158"/>
    <mergeCell ref="GLZ158:GME158"/>
    <mergeCell ref="GMF158:GMK158"/>
    <mergeCell ref="GML158:GMQ158"/>
    <mergeCell ref="GMR158:GMW158"/>
    <mergeCell ref="GKD158:GKI158"/>
    <mergeCell ref="GKJ158:GKO158"/>
    <mergeCell ref="GKP158:GKU158"/>
    <mergeCell ref="GKV158:GLA158"/>
    <mergeCell ref="GLB158:GLG158"/>
    <mergeCell ref="GLH158:GLM158"/>
    <mergeCell ref="GIT158:GIY158"/>
    <mergeCell ref="GIZ158:GJE158"/>
    <mergeCell ref="GJF158:GJK158"/>
    <mergeCell ref="GJL158:GJQ158"/>
    <mergeCell ref="GJR158:GJW158"/>
    <mergeCell ref="GJX158:GKC158"/>
    <mergeCell ref="GHJ158:GHO158"/>
    <mergeCell ref="GHP158:GHU158"/>
    <mergeCell ref="GHV158:GIA158"/>
    <mergeCell ref="GIB158:GIG158"/>
    <mergeCell ref="GIH158:GIM158"/>
    <mergeCell ref="GIN158:GIS158"/>
    <mergeCell ref="GFZ158:GGE158"/>
    <mergeCell ref="GGF158:GGK158"/>
    <mergeCell ref="GGL158:GGQ158"/>
    <mergeCell ref="GGR158:GGW158"/>
    <mergeCell ref="GGX158:GHC158"/>
    <mergeCell ref="GHD158:GHI158"/>
    <mergeCell ref="GEP158:GEU158"/>
    <mergeCell ref="GEV158:GFA158"/>
    <mergeCell ref="GFB158:GFG158"/>
    <mergeCell ref="GFH158:GFM158"/>
    <mergeCell ref="GFN158:GFS158"/>
    <mergeCell ref="GFT158:GFY158"/>
    <mergeCell ref="GDF158:GDK158"/>
    <mergeCell ref="GDL158:GDQ158"/>
    <mergeCell ref="GDR158:GDW158"/>
    <mergeCell ref="GDX158:GEC158"/>
    <mergeCell ref="GED158:GEI158"/>
    <mergeCell ref="GEJ158:GEO158"/>
    <mergeCell ref="GBV158:GCA158"/>
    <mergeCell ref="GCB158:GCG158"/>
    <mergeCell ref="GCH158:GCM158"/>
    <mergeCell ref="GCN158:GCS158"/>
    <mergeCell ref="GCT158:GCY158"/>
    <mergeCell ref="GCZ158:GDE158"/>
    <mergeCell ref="GAL158:GAQ158"/>
    <mergeCell ref="GAR158:GAW158"/>
    <mergeCell ref="GAX158:GBC158"/>
    <mergeCell ref="GBD158:GBI158"/>
    <mergeCell ref="GBJ158:GBO158"/>
    <mergeCell ref="GBP158:GBU158"/>
    <mergeCell ref="FZB158:FZG158"/>
    <mergeCell ref="FZH158:FZM158"/>
    <mergeCell ref="FZN158:FZS158"/>
    <mergeCell ref="FZT158:FZY158"/>
    <mergeCell ref="FZZ158:GAE158"/>
    <mergeCell ref="GAF158:GAK158"/>
    <mergeCell ref="FXR158:FXW158"/>
    <mergeCell ref="FXX158:FYC158"/>
    <mergeCell ref="FYD158:FYI158"/>
    <mergeCell ref="FYJ158:FYO158"/>
    <mergeCell ref="FYP158:FYU158"/>
    <mergeCell ref="FYV158:FZA158"/>
    <mergeCell ref="FWH158:FWM158"/>
    <mergeCell ref="FWN158:FWS158"/>
    <mergeCell ref="FWT158:FWY158"/>
    <mergeCell ref="FWZ158:FXE158"/>
    <mergeCell ref="FXF158:FXK158"/>
    <mergeCell ref="FXL158:FXQ158"/>
    <mergeCell ref="FUX158:FVC158"/>
    <mergeCell ref="FVD158:FVI158"/>
    <mergeCell ref="FVJ158:FVO158"/>
    <mergeCell ref="FVP158:FVU158"/>
    <mergeCell ref="FVV158:FWA158"/>
    <mergeCell ref="FWB158:FWG158"/>
    <mergeCell ref="FTN158:FTS158"/>
    <mergeCell ref="FTT158:FTY158"/>
    <mergeCell ref="FTZ158:FUE158"/>
    <mergeCell ref="FUF158:FUK158"/>
    <mergeCell ref="FUL158:FUQ158"/>
    <mergeCell ref="FUR158:FUW158"/>
    <mergeCell ref="FSD158:FSI158"/>
    <mergeCell ref="FSJ158:FSO158"/>
    <mergeCell ref="FSP158:FSU158"/>
    <mergeCell ref="FSV158:FTA158"/>
    <mergeCell ref="FTB158:FTG158"/>
    <mergeCell ref="FTH158:FTM158"/>
    <mergeCell ref="FQT158:FQY158"/>
    <mergeCell ref="FQZ158:FRE158"/>
    <mergeCell ref="FRF158:FRK158"/>
    <mergeCell ref="FRL158:FRQ158"/>
    <mergeCell ref="FRR158:FRW158"/>
    <mergeCell ref="FRX158:FSC158"/>
    <mergeCell ref="FPJ158:FPO158"/>
    <mergeCell ref="FPP158:FPU158"/>
    <mergeCell ref="FPV158:FQA158"/>
    <mergeCell ref="FQB158:FQG158"/>
    <mergeCell ref="FQH158:FQM158"/>
    <mergeCell ref="FQN158:FQS158"/>
    <mergeCell ref="FNZ158:FOE158"/>
    <mergeCell ref="FOF158:FOK158"/>
    <mergeCell ref="FOL158:FOQ158"/>
    <mergeCell ref="FOR158:FOW158"/>
    <mergeCell ref="FOX158:FPC158"/>
    <mergeCell ref="FPD158:FPI158"/>
    <mergeCell ref="FMP158:FMU158"/>
    <mergeCell ref="FMV158:FNA158"/>
    <mergeCell ref="FNB158:FNG158"/>
    <mergeCell ref="FNH158:FNM158"/>
    <mergeCell ref="FNN158:FNS158"/>
    <mergeCell ref="FNT158:FNY158"/>
    <mergeCell ref="FLF158:FLK158"/>
    <mergeCell ref="FLL158:FLQ158"/>
    <mergeCell ref="FLR158:FLW158"/>
    <mergeCell ref="FLX158:FMC158"/>
    <mergeCell ref="FMD158:FMI158"/>
    <mergeCell ref="FMJ158:FMO158"/>
    <mergeCell ref="FJV158:FKA158"/>
    <mergeCell ref="FKB158:FKG158"/>
    <mergeCell ref="FKH158:FKM158"/>
    <mergeCell ref="FKN158:FKS158"/>
    <mergeCell ref="FKT158:FKY158"/>
    <mergeCell ref="FKZ158:FLE158"/>
    <mergeCell ref="FIL158:FIQ158"/>
    <mergeCell ref="FIR158:FIW158"/>
    <mergeCell ref="FIX158:FJC158"/>
    <mergeCell ref="FJD158:FJI158"/>
    <mergeCell ref="FJJ158:FJO158"/>
    <mergeCell ref="FJP158:FJU158"/>
    <mergeCell ref="FHB158:FHG158"/>
    <mergeCell ref="FHH158:FHM158"/>
    <mergeCell ref="FHN158:FHS158"/>
    <mergeCell ref="FHT158:FHY158"/>
    <mergeCell ref="FHZ158:FIE158"/>
    <mergeCell ref="FIF158:FIK158"/>
    <mergeCell ref="FFR158:FFW158"/>
    <mergeCell ref="FFX158:FGC158"/>
    <mergeCell ref="FGD158:FGI158"/>
    <mergeCell ref="FGJ158:FGO158"/>
    <mergeCell ref="FGP158:FGU158"/>
    <mergeCell ref="FGV158:FHA158"/>
    <mergeCell ref="FEH158:FEM158"/>
    <mergeCell ref="FEN158:FES158"/>
    <mergeCell ref="FET158:FEY158"/>
    <mergeCell ref="FEZ158:FFE158"/>
    <mergeCell ref="FFF158:FFK158"/>
    <mergeCell ref="FFL158:FFQ158"/>
    <mergeCell ref="FCX158:FDC158"/>
    <mergeCell ref="FDD158:FDI158"/>
    <mergeCell ref="FDJ158:FDO158"/>
    <mergeCell ref="FDP158:FDU158"/>
    <mergeCell ref="FDV158:FEA158"/>
    <mergeCell ref="FEB158:FEG158"/>
    <mergeCell ref="FBN158:FBS158"/>
    <mergeCell ref="FBT158:FBY158"/>
    <mergeCell ref="FBZ158:FCE158"/>
    <mergeCell ref="FCF158:FCK158"/>
    <mergeCell ref="FCL158:FCQ158"/>
    <mergeCell ref="FCR158:FCW158"/>
    <mergeCell ref="FAD158:FAI158"/>
    <mergeCell ref="FAJ158:FAO158"/>
    <mergeCell ref="FAP158:FAU158"/>
    <mergeCell ref="FAV158:FBA158"/>
    <mergeCell ref="FBB158:FBG158"/>
    <mergeCell ref="FBH158:FBM158"/>
    <mergeCell ref="EYT158:EYY158"/>
    <mergeCell ref="EYZ158:EZE158"/>
    <mergeCell ref="EZF158:EZK158"/>
    <mergeCell ref="EZL158:EZQ158"/>
    <mergeCell ref="EZR158:EZW158"/>
    <mergeCell ref="EZX158:FAC158"/>
    <mergeCell ref="EXJ158:EXO158"/>
    <mergeCell ref="EXP158:EXU158"/>
    <mergeCell ref="EXV158:EYA158"/>
    <mergeCell ref="EYB158:EYG158"/>
    <mergeCell ref="EYH158:EYM158"/>
    <mergeCell ref="EYN158:EYS158"/>
    <mergeCell ref="EVZ158:EWE158"/>
    <mergeCell ref="EWF158:EWK158"/>
    <mergeCell ref="EWL158:EWQ158"/>
    <mergeCell ref="EWR158:EWW158"/>
    <mergeCell ref="EWX158:EXC158"/>
    <mergeCell ref="EXD158:EXI158"/>
    <mergeCell ref="EUP158:EUU158"/>
    <mergeCell ref="EUV158:EVA158"/>
    <mergeCell ref="EVB158:EVG158"/>
    <mergeCell ref="EVH158:EVM158"/>
    <mergeCell ref="EVN158:EVS158"/>
    <mergeCell ref="EVT158:EVY158"/>
    <mergeCell ref="ETF158:ETK158"/>
    <mergeCell ref="ETL158:ETQ158"/>
    <mergeCell ref="ETR158:ETW158"/>
    <mergeCell ref="ETX158:EUC158"/>
    <mergeCell ref="EUD158:EUI158"/>
    <mergeCell ref="EUJ158:EUO158"/>
    <mergeCell ref="ERV158:ESA158"/>
    <mergeCell ref="ESB158:ESG158"/>
    <mergeCell ref="ESH158:ESM158"/>
    <mergeCell ref="ESN158:ESS158"/>
    <mergeCell ref="EST158:ESY158"/>
    <mergeCell ref="ESZ158:ETE158"/>
    <mergeCell ref="EQL158:EQQ158"/>
    <mergeCell ref="EQR158:EQW158"/>
    <mergeCell ref="EQX158:ERC158"/>
    <mergeCell ref="ERD158:ERI158"/>
    <mergeCell ref="ERJ158:ERO158"/>
    <mergeCell ref="ERP158:ERU158"/>
    <mergeCell ref="EPB158:EPG158"/>
    <mergeCell ref="EPH158:EPM158"/>
    <mergeCell ref="EPN158:EPS158"/>
    <mergeCell ref="EPT158:EPY158"/>
    <mergeCell ref="EPZ158:EQE158"/>
    <mergeCell ref="EQF158:EQK158"/>
    <mergeCell ref="ENR158:ENW158"/>
    <mergeCell ref="ENX158:EOC158"/>
    <mergeCell ref="EOD158:EOI158"/>
    <mergeCell ref="EOJ158:EOO158"/>
    <mergeCell ref="EOP158:EOU158"/>
    <mergeCell ref="EOV158:EPA158"/>
    <mergeCell ref="EMH158:EMM158"/>
    <mergeCell ref="EMN158:EMS158"/>
    <mergeCell ref="EMT158:EMY158"/>
    <mergeCell ref="EMZ158:ENE158"/>
    <mergeCell ref="ENF158:ENK158"/>
    <mergeCell ref="ENL158:ENQ158"/>
    <mergeCell ref="EKX158:ELC158"/>
    <mergeCell ref="ELD158:ELI158"/>
    <mergeCell ref="ELJ158:ELO158"/>
    <mergeCell ref="ELP158:ELU158"/>
    <mergeCell ref="ELV158:EMA158"/>
    <mergeCell ref="EMB158:EMG158"/>
    <mergeCell ref="EJN158:EJS158"/>
    <mergeCell ref="EJT158:EJY158"/>
    <mergeCell ref="EJZ158:EKE158"/>
    <mergeCell ref="EKF158:EKK158"/>
    <mergeCell ref="EKL158:EKQ158"/>
    <mergeCell ref="EKR158:EKW158"/>
    <mergeCell ref="EID158:EII158"/>
    <mergeCell ref="EIJ158:EIO158"/>
    <mergeCell ref="EIP158:EIU158"/>
    <mergeCell ref="EIV158:EJA158"/>
    <mergeCell ref="EJB158:EJG158"/>
    <mergeCell ref="EJH158:EJM158"/>
    <mergeCell ref="EGT158:EGY158"/>
    <mergeCell ref="EGZ158:EHE158"/>
    <mergeCell ref="EHF158:EHK158"/>
    <mergeCell ref="EHL158:EHQ158"/>
    <mergeCell ref="EHR158:EHW158"/>
    <mergeCell ref="EHX158:EIC158"/>
    <mergeCell ref="EFJ158:EFO158"/>
    <mergeCell ref="EFP158:EFU158"/>
    <mergeCell ref="EFV158:EGA158"/>
    <mergeCell ref="EGB158:EGG158"/>
    <mergeCell ref="EGH158:EGM158"/>
    <mergeCell ref="EGN158:EGS158"/>
    <mergeCell ref="EDZ158:EEE158"/>
    <mergeCell ref="EEF158:EEK158"/>
    <mergeCell ref="EEL158:EEQ158"/>
    <mergeCell ref="EER158:EEW158"/>
    <mergeCell ref="EEX158:EFC158"/>
    <mergeCell ref="EFD158:EFI158"/>
    <mergeCell ref="ECP158:ECU158"/>
    <mergeCell ref="ECV158:EDA158"/>
    <mergeCell ref="EDB158:EDG158"/>
    <mergeCell ref="EDH158:EDM158"/>
    <mergeCell ref="EDN158:EDS158"/>
    <mergeCell ref="EDT158:EDY158"/>
    <mergeCell ref="EBF158:EBK158"/>
    <mergeCell ref="EBL158:EBQ158"/>
    <mergeCell ref="EBR158:EBW158"/>
    <mergeCell ref="EBX158:ECC158"/>
    <mergeCell ref="ECD158:ECI158"/>
    <mergeCell ref="ECJ158:ECO158"/>
    <mergeCell ref="DZV158:EAA158"/>
    <mergeCell ref="EAB158:EAG158"/>
    <mergeCell ref="EAH158:EAM158"/>
    <mergeCell ref="EAN158:EAS158"/>
    <mergeCell ref="EAT158:EAY158"/>
    <mergeCell ref="EAZ158:EBE158"/>
    <mergeCell ref="DYL158:DYQ158"/>
    <mergeCell ref="DYR158:DYW158"/>
    <mergeCell ref="DYX158:DZC158"/>
    <mergeCell ref="DZD158:DZI158"/>
    <mergeCell ref="DZJ158:DZO158"/>
    <mergeCell ref="DZP158:DZU158"/>
    <mergeCell ref="DXB158:DXG158"/>
    <mergeCell ref="DXH158:DXM158"/>
    <mergeCell ref="DXN158:DXS158"/>
    <mergeCell ref="DXT158:DXY158"/>
    <mergeCell ref="DXZ158:DYE158"/>
    <mergeCell ref="DYF158:DYK158"/>
    <mergeCell ref="DVR158:DVW158"/>
    <mergeCell ref="DVX158:DWC158"/>
    <mergeCell ref="DWD158:DWI158"/>
    <mergeCell ref="DWJ158:DWO158"/>
    <mergeCell ref="DWP158:DWU158"/>
    <mergeCell ref="DWV158:DXA158"/>
    <mergeCell ref="DUH158:DUM158"/>
    <mergeCell ref="DUN158:DUS158"/>
    <mergeCell ref="DUT158:DUY158"/>
    <mergeCell ref="DUZ158:DVE158"/>
    <mergeCell ref="DVF158:DVK158"/>
    <mergeCell ref="DVL158:DVQ158"/>
    <mergeCell ref="DSX158:DTC158"/>
    <mergeCell ref="DTD158:DTI158"/>
    <mergeCell ref="DTJ158:DTO158"/>
    <mergeCell ref="DTP158:DTU158"/>
    <mergeCell ref="DTV158:DUA158"/>
    <mergeCell ref="DUB158:DUG158"/>
    <mergeCell ref="DRN158:DRS158"/>
    <mergeCell ref="DRT158:DRY158"/>
    <mergeCell ref="DRZ158:DSE158"/>
    <mergeCell ref="DSF158:DSK158"/>
    <mergeCell ref="DSL158:DSQ158"/>
    <mergeCell ref="DSR158:DSW158"/>
    <mergeCell ref="DQD158:DQI158"/>
    <mergeCell ref="DQJ158:DQO158"/>
    <mergeCell ref="DQP158:DQU158"/>
    <mergeCell ref="DQV158:DRA158"/>
    <mergeCell ref="DRB158:DRG158"/>
    <mergeCell ref="DRH158:DRM158"/>
    <mergeCell ref="DOT158:DOY158"/>
    <mergeCell ref="DOZ158:DPE158"/>
    <mergeCell ref="DPF158:DPK158"/>
    <mergeCell ref="DPL158:DPQ158"/>
    <mergeCell ref="DPR158:DPW158"/>
    <mergeCell ref="DPX158:DQC158"/>
    <mergeCell ref="DNJ158:DNO158"/>
    <mergeCell ref="DNP158:DNU158"/>
    <mergeCell ref="DNV158:DOA158"/>
    <mergeCell ref="DOB158:DOG158"/>
    <mergeCell ref="DOH158:DOM158"/>
    <mergeCell ref="DON158:DOS158"/>
    <mergeCell ref="DLZ158:DME158"/>
    <mergeCell ref="DMF158:DMK158"/>
    <mergeCell ref="DML158:DMQ158"/>
    <mergeCell ref="DMR158:DMW158"/>
    <mergeCell ref="DMX158:DNC158"/>
    <mergeCell ref="DND158:DNI158"/>
    <mergeCell ref="DKP158:DKU158"/>
    <mergeCell ref="DKV158:DLA158"/>
    <mergeCell ref="DLB158:DLG158"/>
    <mergeCell ref="DLH158:DLM158"/>
    <mergeCell ref="DLN158:DLS158"/>
    <mergeCell ref="DLT158:DLY158"/>
    <mergeCell ref="DJF158:DJK158"/>
    <mergeCell ref="DJL158:DJQ158"/>
    <mergeCell ref="DJR158:DJW158"/>
    <mergeCell ref="DJX158:DKC158"/>
    <mergeCell ref="DKD158:DKI158"/>
    <mergeCell ref="DKJ158:DKO158"/>
    <mergeCell ref="DHV158:DIA158"/>
    <mergeCell ref="DIB158:DIG158"/>
    <mergeCell ref="DIH158:DIM158"/>
    <mergeCell ref="DIN158:DIS158"/>
    <mergeCell ref="DIT158:DIY158"/>
    <mergeCell ref="DIZ158:DJE158"/>
    <mergeCell ref="DGL158:DGQ158"/>
    <mergeCell ref="DGR158:DGW158"/>
    <mergeCell ref="DGX158:DHC158"/>
    <mergeCell ref="DHD158:DHI158"/>
    <mergeCell ref="DHJ158:DHO158"/>
    <mergeCell ref="DHP158:DHU158"/>
    <mergeCell ref="DFB158:DFG158"/>
    <mergeCell ref="DFH158:DFM158"/>
    <mergeCell ref="DFN158:DFS158"/>
    <mergeCell ref="DFT158:DFY158"/>
    <mergeCell ref="DFZ158:DGE158"/>
    <mergeCell ref="DGF158:DGK158"/>
    <mergeCell ref="DDR158:DDW158"/>
    <mergeCell ref="DDX158:DEC158"/>
    <mergeCell ref="DED158:DEI158"/>
    <mergeCell ref="DEJ158:DEO158"/>
    <mergeCell ref="DEP158:DEU158"/>
    <mergeCell ref="DEV158:DFA158"/>
    <mergeCell ref="DCH158:DCM158"/>
    <mergeCell ref="DCN158:DCS158"/>
    <mergeCell ref="DCT158:DCY158"/>
    <mergeCell ref="DCZ158:DDE158"/>
    <mergeCell ref="DDF158:DDK158"/>
    <mergeCell ref="DDL158:DDQ158"/>
    <mergeCell ref="DAX158:DBC158"/>
    <mergeCell ref="DBD158:DBI158"/>
    <mergeCell ref="DBJ158:DBO158"/>
    <mergeCell ref="DBP158:DBU158"/>
    <mergeCell ref="DBV158:DCA158"/>
    <mergeCell ref="DCB158:DCG158"/>
    <mergeCell ref="CZN158:CZS158"/>
    <mergeCell ref="CZT158:CZY158"/>
    <mergeCell ref="CZZ158:DAE158"/>
    <mergeCell ref="DAF158:DAK158"/>
    <mergeCell ref="DAL158:DAQ158"/>
    <mergeCell ref="DAR158:DAW158"/>
    <mergeCell ref="CYD158:CYI158"/>
    <mergeCell ref="CYJ158:CYO158"/>
    <mergeCell ref="CYP158:CYU158"/>
    <mergeCell ref="CYV158:CZA158"/>
    <mergeCell ref="CZB158:CZG158"/>
    <mergeCell ref="CZH158:CZM158"/>
    <mergeCell ref="CWT158:CWY158"/>
    <mergeCell ref="CWZ158:CXE158"/>
    <mergeCell ref="CXF158:CXK158"/>
    <mergeCell ref="CXL158:CXQ158"/>
    <mergeCell ref="CXR158:CXW158"/>
    <mergeCell ref="CXX158:CYC158"/>
    <mergeCell ref="CVJ158:CVO158"/>
    <mergeCell ref="CVP158:CVU158"/>
    <mergeCell ref="CVV158:CWA158"/>
    <mergeCell ref="CWB158:CWG158"/>
    <mergeCell ref="CWH158:CWM158"/>
    <mergeCell ref="CWN158:CWS158"/>
    <mergeCell ref="CTZ158:CUE158"/>
    <mergeCell ref="CUF158:CUK158"/>
    <mergeCell ref="CUL158:CUQ158"/>
    <mergeCell ref="CUR158:CUW158"/>
    <mergeCell ref="CUX158:CVC158"/>
    <mergeCell ref="CVD158:CVI158"/>
    <mergeCell ref="CSP158:CSU158"/>
    <mergeCell ref="CSV158:CTA158"/>
    <mergeCell ref="CTB158:CTG158"/>
    <mergeCell ref="CTH158:CTM158"/>
    <mergeCell ref="CTN158:CTS158"/>
    <mergeCell ref="CTT158:CTY158"/>
    <mergeCell ref="CRF158:CRK158"/>
    <mergeCell ref="CRL158:CRQ158"/>
    <mergeCell ref="CRR158:CRW158"/>
    <mergeCell ref="CRX158:CSC158"/>
    <mergeCell ref="CSD158:CSI158"/>
    <mergeCell ref="CSJ158:CSO158"/>
    <mergeCell ref="CPV158:CQA158"/>
    <mergeCell ref="CQB158:CQG158"/>
    <mergeCell ref="CQH158:CQM158"/>
    <mergeCell ref="CQN158:CQS158"/>
    <mergeCell ref="CQT158:CQY158"/>
    <mergeCell ref="CQZ158:CRE158"/>
    <mergeCell ref="COL158:COQ158"/>
    <mergeCell ref="COR158:COW158"/>
    <mergeCell ref="COX158:CPC158"/>
    <mergeCell ref="CPD158:CPI158"/>
    <mergeCell ref="CPJ158:CPO158"/>
    <mergeCell ref="CPP158:CPU158"/>
    <mergeCell ref="CNB158:CNG158"/>
    <mergeCell ref="CNH158:CNM158"/>
    <mergeCell ref="CNN158:CNS158"/>
    <mergeCell ref="CNT158:CNY158"/>
    <mergeCell ref="CNZ158:COE158"/>
    <mergeCell ref="COF158:COK158"/>
    <mergeCell ref="CLR158:CLW158"/>
    <mergeCell ref="CLX158:CMC158"/>
    <mergeCell ref="CMD158:CMI158"/>
    <mergeCell ref="CMJ158:CMO158"/>
    <mergeCell ref="CMP158:CMU158"/>
    <mergeCell ref="CMV158:CNA158"/>
    <mergeCell ref="CKH158:CKM158"/>
    <mergeCell ref="CKN158:CKS158"/>
    <mergeCell ref="CKT158:CKY158"/>
    <mergeCell ref="CKZ158:CLE158"/>
    <mergeCell ref="CLF158:CLK158"/>
    <mergeCell ref="CLL158:CLQ158"/>
    <mergeCell ref="CIX158:CJC158"/>
    <mergeCell ref="CJD158:CJI158"/>
    <mergeCell ref="CJJ158:CJO158"/>
    <mergeCell ref="CJP158:CJU158"/>
    <mergeCell ref="CJV158:CKA158"/>
    <mergeCell ref="CKB158:CKG158"/>
    <mergeCell ref="CHN158:CHS158"/>
    <mergeCell ref="CHT158:CHY158"/>
    <mergeCell ref="CHZ158:CIE158"/>
    <mergeCell ref="CIF158:CIK158"/>
    <mergeCell ref="CIL158:CIQ158"/>
    <mergeCell ref="CIR158:CIW158"/>
    <mergeCell ref="CGD158:CGI158"/>
    <mergeCell ref="CGJ158:CGO158"/>
    <mergeCell ref="CGP158:CGU158"/>
    <mergeCell ref="CGV158:CHA158"/>
    <mergeCell ref="CHB158:CHG158"/>
    <mergeCell ref="CHH158:CHM158"/>
    <mergeCell ref="CET158:CEY158"/>
    <mergeCell ref="CEZ158:CFE158"/>
    <mergeCell ref="CFF158:CFK158"/>
    <mergeCell ref="CFL158:CFQ158"/>
    <mergeCell ref="CFR158:CFW158"/>
    <mergeCell ref="CFX158:CGC158"/>
    <mergeCell ref="CDJ158:CDO158"/>
    <mergeCell ref="CDP158:CDU158"/>
    <mergeCell ref="CDV158:CEA158"/>
    <mergeCell ref="CEB158:CEG158"/>
    <mergeCell ref="CEH158:CEM158"/>
    <mergeCell ref="CEN158:CES158"/>
    <mergeCell ref="CBZ158:CCE158"/>
    <mergeCell ref="CCF158:CCK158"/>
    <mergeCell ref="CCL158:CCQ158"/>
    <mergeCell ref="CCR158:CCW158"/>
    <mergeCell ref="CCX158:CDC158"/>
    <mergeCell ref="CDD158:CDI158"/>
    <mergeCell ref="CAP158:CAU158"/>
    <mergeCell ref="CAV158:CBA158"/>
    <mergeCell ref="CBB158:CBG158"/>
    <mergeCell ref="CBH158:CBM158"/>
    <mergeCell ref="CBN158:CBS158"/>
    <mergeCell ref="CBT158:CBY158"/>
    <mergeCell ref="BZF158:BZK158"/>
    <mergeCell ref="BZL158:BZQ158"/>
    <mergeCell ref="BZR158:BZW158"/>
    <mergeCell ref="BZX158:CAC158"/>
    <mergeCell ref="CAD158:CAI158"/>
    <mergeCell ref="CAJ158:CAO158"/>
    <mergeCell ref="BXV158:BYA158"/>
    <mergeCell ref="BYB158:BYG158"/>
    <mergeCell ref="BYH158:BYM158"/>
    <mergeCell ref="BYN158:BYS158"/>
    <mergeCell ref="BYT158:BYY158"/>
    <mergeCell ref="BYZ158:BZE158"/>
    <mergeCell ref="BWL158:BWQ158"/>
    <mergeCell ref="BWR158:BWW158"/>
    <mergeCell ref="BWX158:BXC158"/>
    <mergeCell ref="BXD158:BXI158"/>
    <mergeCell ref="BXJ158:BXO158"/>
    <mergeCell ref="BXP158:BXU158"/>
    <mergeCell ref="BVB158:BVG158"/>
    <mergeCell ref="BVH158:BVM158"/>
    <mergeCell ref="BVN158:BVS158"/>
    <mergeCell ref="BVT158:BVY158"/>
    <mergeCell ref="BVZ158:BWE158"/>
    <mergeCell ref="BWF158:BWK158"/>
    <mergeCell ref="BTR158:BTW158"/>
    <mergeCell ref="BTX158:BUC158"/>
    <mergeCell ref="BUD158:BUI158"/>
    <mergeCell ref="BUJ158:BUO158"/>
    <mergeCell ref="BUP158:BUU158"/>
    <mergeCell ref="BUV158:BVA158"/>
    <mergeCell ref="BSH158:BSM158"/>
    <mergeCell ref="BSN158:BSS158"/>
    <mergeCell ref="BST158:BSY158"/>
    <mergeCell ref="BSZ158:BTE158"/>
    <mergeCell ref="BTF158:BTK158"/>
    <mergeCell ref="BTL158:BTQ158"/>
    <mergeCell ref="BQX158:BRC158"/>
    <mergeCell ref="BRD158:BRI158"/>
    <mergeCell ref="BRJ158:BRO158"/>
    <mergeCell ref="BRP158:BRU158"/>
    <mergeCell ref="BRV158:BSA158"/>
    <mergeCell ref="BSB158:BSG158"/>
    <mergeCell ref="BPN158:BPS158"/>
    <mergeCell ref="BPT158:BPY158"/>
    <mergeCell ref="BPZ158:BQE158"/>
    <mergeCell ref="BQF158:BQK158"/>
    <mergeCell ref="BQL158:BQQ158"/>
    <mergeCell ref="BQR158:BQW158"/>
    <mergeCell ref="BOD158:BOI158"/>
    <mergeCell ref="BOJ158:BOO158"/>
    <mergeCell ref="BOP158:BOU158"/>
    <mergeCell ref="BOV158:BPA158"/>
    <mergeCell ref="BPB158:BPG158"/>
    <mergeCell ref="BPH158:BPM158"/>
    <mergeCell ref="BMT158:BMY158"/>
    <mergeCell ref="BMZ158:BNE158"/>
    <mergeCell ref="BNF158:BNK158"/>
    <mergeCell ref="BNL158:BNQ158"/>
    <mergeCell ref="BNR158:BNW158"/>
    <mergeCell ref="BNX158:BOC158"/>
    <mergeCell ref="BLJ158:BLO158"/>
    <mergeCell ref="BLP158:BLU158"/>
    <mergeCell ref="BLV158:BMA158"/>
    <mergeCell ref="BMB158:BMG158"/>
    <mergeCell ref="BMH158:BMM158"/>
    <mergeCell ref="BMN158:BMS158"/>
    <mergeCell ref="BJZ158:BKE158"/>
    <mergeCell ref="BKF158:BKK158"/>
    <mergeCell ref="BKL158:BKQ158"/>
    <mergeCell ref="BKR158:BKW158"/>
    <mergeCell ref="BKX158:BLC158"/>
    <mergeCell ref="BLD158:BLI158"/>
    <mergeCell ref="BIP158:BIU158"/>
    <mergeCell ref="BIV158:BJA158"/>
    <mergeCell ref="BJB158:BJG158"/>
    <mergeCell ref="BJH158:BJM158"/>
    <mergeCell ref="BJN158:BJS158"/>
    <mergeCell ref="BJT158:BJY158"/>
    <mergeCell ref="BHF158:BHK158"/>
    <mergeCell ref="BHL158:BHQ158"/>
    <mergeCell ref="BHR158:BHW158"/>
    <mergeCell ref="BHX158:BIC158"/>
    <mergeCell ref="BID158:BII158"/>
    <mergeCell ref="BIJ158:BIO158"/>
    <mergeCell ref="BFV158:BGA158"/>
    <mergeCell ref="BGB158:BGG158"/>
    <mergeCell ref="BGH158:BGM158"/>
    <mergeCell ref="BGN158:BGS158"/>
    <mergeCell ref="BGT158:BGY158"/>
    <mergeCell ref="BGZ158:BHE158"/>
    <mergeCell ref="BEL158:BEQ158"/>
    <mergeCell ref="BER158:BEW158"/>
    <mergeCell ref="BEX158:BFC158"/>
    <mergeCell ref="BFD158:BFI158"/>
    <mergeCell ref="BFJ158:BFO158"/>
    <mergeCell ref="BFP158:BFU158"/>
    <mergeCell ref="BDB158:BDG158"/>
    <mergeCell ref="BDH158:BDM158"/>
    <mergeCell ref="BDN158:BDS158"/>
    <mergeCell ref="BDT158:BDY158"/>
    <mergeCell ref="BDZ158:BEE158"/>
    <mergeCell ref="BEF158:BEK158"/>
    <mergeCell ref="BBR158:BBW158"/>
    <mergeCell ref="BBX158:BCC158"/>
    <mergeCell ref="BCD158:BCI158"/>
    <mergeCell ref="BCJ158:BCO158"/>
    <mergeCell ref="BCP158:BCU158"/>
    <mergeCell ref="BCV158:BDA158"/>
    <mergeCell ref="BAH158:BAM158"/>
    <mergeCell ref="BAN158:BAS158"/>
    <mergeCell ref="BAT158:BAY158"/>
    <mergeCell ref="BAZ158:BBE158"/>
    <mergeCell ref="BBF158:BBK158"/>
    <mergeCell ref="BBL158:BBQ158"/>
    <mergeCell ref="AYX158:AZC158"/>
    <mergeCell ref="AZD158:AZI158"/>
    <mergeCell ref="AZJ158:AZO158"/>
    <mergeCell ref="AZP158:AZU158"/>
    <mergeCell ref="AZV158:BAA158"/>
    <mergeCell ref="BAB158:BAG158"/>
    <mergeCell ref="AXN158:AXS158"/>
    <mergeCell ref="AXT158:AXY158"/>
    <mergeCell ref="AXZ158:AYE158"/>
    <mergeCell ref="AYF158:AYK158"/>
    <mergeCell ref="AYL158:AYQ158"/>
    <mergeCell ref="AYR158:AYW158"/>
    <mergeCell ref="AWD158:AWI158"/>
    <mergeCell ref="AWJ158:AWO158"/>
    <mergeCell ref="AWP158:AWU158"/>
    <mergeCell ref="AWV158:AXA158"/>
    <mergeCell ref="AXB158:AXG158"/>
    <mergeCell ref="AXH158:AXM158"/>
    <mergeCell ref="AUT158:AUY158"/>
    <mergeCell ref="AUZ158:AVE158"/>
    <mergeCell ref="AVF158:AVK158"/>
    <mergeCell ref="AVL158:AVQ158"/>
    <mergeCell ref="AVR158:AVW158"/>
    <mergeCell ref="AVX158:AWC158"/>
    <mergeCell ref="ATJ158:ATO158"/>
    <mergeCell ref="ATP158:ATU158"/>
    <mergeCell ref="ATV158:AUA158"/>
    <mergeCell ref="AUB158:AUG158"/>
    <mergeCell ref="AUH158:AUM158"/>
    <mergeCell ref="AUN158:AUS158"/>
    <mergeCell ref="ARZ158:ASE158"/>
    <mergeCell ref="ASF158:ASK158"/>
    <mergeCell ref="ASL158:ASQ158"/>
    <mergeCell ref="ASR158:ASW158"/>
    <mergeCell ref="ASX158:ATC158"/>
    <mergeCell ref="ATD158:ATI158"/>
    <mergeCell ref="AQP158:AQU158"/>
    <mergeCell ref="AQV158:ARA158"/>
    <mergeCell ref="ARB158:ARG158"/>
    <mergeCell ref="ARH158:ARM158"/>
    <mergeCell ref="ARN158:ARS158"/>
    <mergeCell ref="ART158:ARY158"/>
    <mergeCell ref="APF158:APK158"/>
    <mergeCell ref="APL158:APQ158"/>
    <mergeCell ref="APR158:APW158"/>
    <mergeCell ref="APX158:AQC158"/>
    <mergeCell ref="AQD158:AQI158"/>
    <mergeCell ref="AQJ158:AQO158"/>
    <mergeCell ref="ANV158:AOA158"/>
    <mergeCell ref="AOB158:AOG158"/>
    <mergeCell ref="AOH158:AOM158"/>
    <mergeCell ref="AON158:AOS158"/>
    <mergeCell ref="AOT158:AOY158"/>
    <mergeCell ref="AOZ158:APE158"/>
    <mergeCell ref="AML158:AMQ158"/>
    <mergeCell ref="AMR158:AMW158"/>
    <mergeCell ref="AMX158:ANC158"/>
    <mergeCell ref="AND158:ANI158"/>
    <mergeCell ref="ANJ158:ANO158"/>
    <mergeCell ref="ANP158:ANU158"/>
    <mergeCell ref="ALB158:ALG158"/>
    <mergeCell ref="ALH158:ALM158"/>
    <mergeCell ref="ALN158:ALS158"/>
    <mergeCell ref="ALT158:ALY158"/>
    <mergeCell ref="ALZ158:AME158"/>
    <mergeCell ref="AMF158:AMK158"/>
    <mergeCell ref="AJR158:AJW158"/>
    <mergeCell ref="AJX158:AKC158"/>
    <mergeCell ref="AKD158:AKI158"/>
    <mergeCell ref="AKJ158:AKO158"/>
    <mergeCell ref="AKP158:AKU158"/>
    <mergeCell ref="AKV158:ALA158"/>
    <mergeCell ref="AIH158:AIM158"/>
    <mergeCell ref="AIN158:AIS158"/>
    <mergeCell ref="AIT158:AIY158"/>
    <mergeCell ref="AIZ158:AJE158"/>
    <mergeCell ref="AJF158:AJK158"/>
    <mergeCell ref="AJL158:AJQ158"/>
    <mergeCell ref="AGX158:AHC158"/>
    <mergeCell ref="AHD158:AHI158"/>
    <mergeCell ref="AHJ158:AHO158"/>
    <mergeCell ref="AHP158:AHU158"/>
    <mergeCell ref="AHV158:AIA158"/>
    <mergeCell ref="AIB158:AIG158"/>
    <mergeCell ref="AFN158:AFS158"/>
    <mergeCell ref="AFT158:AFY158"/>
    <mergeCell ref="AFZ158:AGE158"/>
    <mergeCell ref="AGF158:AGK158"/>
    <mergeCell ref="AGL158:AGQ158"/>
    <mergeCell ref="AGR158:AGW158"/>
    <mergeCell ref="AED158:AEI158"/>
    <mergeCell ref="AEJ158:AEO158"/>
    <mergeCell ref="AEP158:AEU158"/>
    <mergeCell ref="AEV158:AFA158"/>
    <mergeCell ref="AFB158:AFG158"/>
    <mergeCell ref="AFH158:AFM158"/>
    <mergeCell ref="ACT158:ACY158"/>
    <mergeCell ref="ACZ158:ADE158"/>
    <mergeCell ref="ADF158:ADK158"/>
    <mergeCell ref="ADL158:ADQ158"/>
    <mergeCell ref="ADR158:ADW158"/>
    <mergeCell ref="ADX158:AEC158"/>
    <mergeCell ref="ABJ158:ABO158"/>
    <mergeCell ref="ABP158:ABU158"/>
    <mergeCell ref="ABV158:ACA158"/>
    <mergeCell ref="ACB158:ACG158"/>
    <mergeCell ref="ACH158:ACM158"/>
    <mergeCell ref="ACN158:ACS158"/>
    <mergeCell ref="ZZ158:AAE158"/>
    <mergeCell ref="AAF158:AAK158"/>
    <mergeCell ref="AAL158:AAQ158"/>
    <mergeCell ref="AAR158:AAW158"/>
    <mergeCell ref="AAX158:ABC158"/>
    <mergeCell ref="ABD158:ABI158"/>
    <mergeCell ref="YP158:YU158"/>
    <mergeCell ref="YV158:ZA158"/>
    <mergeCell ref="ZB158:ZG158"/>
    <mergeCell ref="ZH158:ZM158"/>
    <mergeCell ref="ZN158:ZS158"/>
    <mergeCell ref="ZT158:ZY158"/>
    <mergeCell ref="XF158:XK158"/>
    <mergeCell ref="XL158:XQ158"/>
    <mergeCell ref="XR158:XW158"/>
    <mergeCell ref="XX158:YC158"/>
    <mergeCell ref="YD158:YI158"/>
    <mergeCell ref="YJ158:YO158"/>
    <mergeCell ref="VV158:WA158"/>
    <mergeCell ref="WB158:WG158"/>
    <mergeCell ref="WH158:WM158"/>
    <mergeCell ref="WN158:WS158"/>
    <mergeCell ref="WT158:WY158"/>
    <mergeCell ref="WZ158:XE158"/>
    <mergeCell ref="UL158:UQ158"/>
    <mergeCell ref="UR158:UW158"/>
    <mergeCell ref="UX158:VC158"/>
    <mergeCell ref="VD158:VI158"/>
    <mergeCell ref="VJ158:VO158"/>
    <mergeCell ref="VP158:VU158"/>
    <mergeCell ref="TB158:TG158"/>
    <mergeCell ref="TH158:TM158"/>
    <mergeCell ref="TN158:TS158"/>
    <mergeCell ref="TT158:TY158"/>
    <mergeCell ref="TZ158:UE158"/>
    <mergeCell ref="UF158:UK158"/>
    <mergeCell ref="RR158:RW158"/>
    <mergeCell ref="RX158:SC158"/>
    <mergeCell ref="SD158:SI158"/>
    <mergeCell ref="SJ158:SO158"/>
    <mergeCell ref="SP158:SU158"/>
    <mergeCell ref="SV158:TA158"/>
    <mergeCell ref="QH158:QM158"/>
    <mergeCell ref="QN158:QS158"/>
    <mergeCell ref="QT158:QY158"/>
    <mergeCell ref="QZ158:RE158"/>
    <mergeCell ref="RF158:RK158"/>
    <mergeCell ref="RL158:RQ158"/>
    <mergeCell ref="OX158:PC158"/>
    <mergeCell ref="PD158:PI158"/>
    <mergeCell ref="PJ158:PO158"/>
    <mergeCell ref="PP158:PU158"/>
    <mergeCell ref="PV158:QA158"/>
    <mergeCell ref="QB158:QG158"/>
    <mergeCell ref="NN158:NS158"/>
    <mergeCell ref="NT158:NY158"/>
    <mergeCell ref="NZ158:OE158"/>
    <mergeCell ref="OF158:OK158"/>
    <mergeCell ref="OL158:OQ158"/>
    <mergeCell ref="OR158:OW158"/>
    <mergeCell ref="MD158:MI158"/>
    <mergeCell ref="MJ158:MO158"/>
    <mergeCell ref="MP158:MU158"/>
    <mergeCell ref="MV158:NA158"/>
    <mergeCell ref="NB158:NG158"/>
    <mergeCell ref="NH158:NM158"/>
    <mergeCell ref="KT158:KY158"/>
    <mergeCell ref="KZ158:LE158"/>
    <mergeCell ref="LF158:LK158"/>
    <mergeCell ref="LL158:LQ158"/>
    <mergeCell ref="LR158:LW158"/>
    <mergeCell ref="LX158:MC158"/>
    <mergeCell ref="JJ158:JO158"/>
    <mergeCell ref="JP158:JU158"/>
    <mergeCell ref="JV158:KA158"/>
    <mergeCell ref="KB158:KG158"/>
    <mergeCell ref="KH158:KM158"/>
    <mergeCell ref="KN158:KS158"/>
    <mergeCell ref="HZ158:IE158"/>
    <mergeCell ref="IF158:IK158"/>
    <mergeCell ref="IL158:IQ158"/>
    <mergeCell ref="IR158:IW158"/>
    <mergeCell ref="IX158:JC158"/>
    <mergeCell ref="JD158:JI158"/>
    <mergeCell ref="GP158:GU158"/>
    <mergeCell ref="GV158:HA158"/>
    <mergeCell ref="HB158:HG158"/>
    <mergeCell ref="HH158:HM158"/>
    <mergeCell ref="HN158:HS158"/>
    <mergeCell ref="HT158:HY158"/>
    <mergeCell ref="FF158:FK158"/>
    <mergeCell ref="FL158:FQ158"/>
    <mergeCell ref="FR158:FW158"/>
    <mergeCell ref="FX158:GC158"/>
    <mergeCell ref="GD158:GI158"/>
    <mergeCell ref="GJ158:GO158"/>
    <mergeCell ref="DV158:EA158"/>
    <mergeCell ref="EB158:EG158"/>
    <mergeCell ref="EH158:EM158"/>
    <mergeCell ref="EN158:ES158"/>
    <mergeCell ref="ET158:EY158"/>
    <mergeCell ref="EZ158:FE158"/>
    <mergeCell ref="CL158:CQ158"/>
    <mergeCell ref="CR158:CW158"/>
    <mergeCell ref="CX158:DC158"/>
    <mergeCell ref="DD158:DI158"/>
    <mergeCell ref="DJ158:DO158"/>
    <mergeCell ref="DP158:DU158"/>
    <mergeCell ref="BZ158:CE158"/>
    <mergeCell ref="CF158:CK158"/>
    <mergeCell ref="A158:I158"/>
    <mergeCell ref="AA158:AC158"/>
    <mergeCell ref="AD158:AI158"/>
    <mergeCell ref="AJ158:AO158"/>
    <mergeCell ref="AP158:AU158"/>
    <mergeCell ref="AV158:BA158"/>
    <mergeCell ref="A112:H112"/>
    <mergeCell ref="A114:G114"/>
    <mergeCell ref="A128:H128"/>
    <mergeCell ref="A143:F143"/>
    <mergeCell ref="A23:I23"/>
    <mergeCell ref="A34:I34"/>
    <mergeCell ref="A53:I53"/>
    <mergeCell ref="A69:I69"/>
    <mergeCell ref="A80:H80"/>
    <mergeCell ref="A97:B97"/>
    <mergeCell ref="A160:I160"/>
    <mergeCell ref="A171:H171"/>
    <mergeCell ref="A166:H166"/>
    <mergeCell ref="A177:I177"/>
    <mergeCell ref="B183:H183"/>
    <mergeCell ref="A190:I190"/>
    <mergeCell ref="A193:I193"/>
    <mergeCell ref="A196:I196"/>
    <mergeCell ref="A203:E203"/>
    <mergeCell ref="A219:F219"/>
    <mergeCell ref="A2:H2"/>
    <mergeCell ref="A4:G4"/>
    <mergeCell ref="A51:I51"/>
    <mergeCell ref="BB158:BG158"/>
    <mergeCell ref="BH158:BM158"/>
    <mergeCell ref="BN158:BS158"/>
    <mergeCell ref="BT158:BY158"/>
  </mergeCells>
  <phoneticPr fontId="15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9:F19 F295:F300 H295:H300 J295:J300 F326:F332 G295:G300 I295:I300 K295:K300 K326:K332 I326:I332 G326:G332 F358:F364 H358:H364 J358:J364 F454:F460 H454:H460 J454:J460 F518:F524 F486:F492 H486:H492 J486:J492 G454:G460 I454:I460 K454:K460 F422:F428 H422:H428 J422:J428 F390:F396 H390:H396 J390:J396 G358:G364 I358:I364 K358:K364 H326:H332 J326:J332 G390:G396 I390:I396 K390:K396 G422:G428 I422:I429 K422:K428 G486:G492 I486:I492 K486:K492 G518:G5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996AF-C035-4C8C-A8D1-A57E5B3DA071}">
  <sheetPr codeName="Sheet4">
    <tabColor rgb="FFFFFF00"/>
  </sheetPr>
  <dimension ref="A1:AE154"/>
  <sheetViews>
    <sheetView showGridLines="0" topLeftCell="A20" zoomScale="90" zoomScaleNormal="90" workbookViewId="0">
      <pane xSplit="2" ySplit="4" topLeftCell="C24" activePane="bottomRight" state="frozen"/>
      <selection pane="bottomRight" activeCell="J24" sqref="J24"/>
      <selection pane="bottomLeft" activeCell="A24" sqref="A24"/>
      <selection pane="topRight" activeCell="C20" sqref="C20"/>
    </sheetView>
  </sheetViews>
  <sheetFormatPr defaultRowHeight="12.75"/>
  <cols>
    <col min="1" max="3" width="14.5703125" style="52" customWidth="1"/>
    <col min="4" max="6" width="14.5703125" style="55" customWidth="1"/>
    <col min="7" max="8" width="14.5703125" style="52" customWidth="1"/>
    <col min="9" max="12" width="14" style="52" customWidth="1"/>
    <col min="13" max="13" width="14.5703125" style="53" bestFit="1" customWidth="1"/>
    <col min="14" max="14" width="12.140625" style="53" bestFit="1" customWidth="1"/>
    <col min="15" max="24" width="14" style="52" customWidth="1"/>
    <col min="25" max="26" width="13.28515625" style="52" customWidth="1"/>
    <col min="27" max="27" width="15.85546875" style="52" customWidth="1"/>
    <col min="28" max="31" width="14.85546875" style="52" customWidth="1"/>
    <col min="32" max="251" width="9.140625" style="52"/>
    <col min="252" max="252" width="31" style="52" customWidth="1"/>
    <col min="253" max="253" width="18.5703125" style="52" customWidth="1"/>
    <col min="254" max="254" width="3.85546875" style="52" customWidth="1"/>
    <col min="255" max="255" width="18.7109375" style="52" customWidth="1"/>
    <col min="256" max="264" width="14" style="52" customWidth="1"/>
    <col min="265" max="265" width="13" style="52" bestFit="1" customWidth="1"/>
    <col min="266" max="266" width="14.5703125" style="52" bestFit="1" customWidth="1"/>
    <col min="267" max="267" width="12.140625" style="52" bestFit="1" customWidth="1"/>
    <col min="268" max="278" width="14" style="52" customWidth="1"/>
    <col min="279" max="282" width="13.28515625" style="52" customWidth="1"/>
    <col min="283" max="507" width="9.140625" style="52"/>
    <col min="508" max="508" width="31" style="52" customWidth="1"/>
    <col min="509" max="509" width="18.5703125" style="52" customWidth="1"/>
    <col min="510" max="510" width="3.85546875" style="52" customWidth="1"/>
    <col min="511" max="511" width="18.7109375" style="52" customWidth="1"/>
    <col min="512" max="520" width="14" style="52" customWidth="1"/>
    <col min="521" max="521" width="13" style="52" bestFit="1" customWidth="1"/>
    <col min="522" max="522" width="14.5703125" style="52" bestFit="1" customWidth="1"/>
    <col min="523" max="523" width="12.140625" style="52" bestFit="1" customWidth="1"/>
    <col min="524" max="534" width="14" style="52" customWidth="1"/>
    <col min="535" max="538" width="13.28515625" style="52" customWidth="1"/>
    <col min="539" max="763" width="9.140625" style="52"/>
    <col min="764" max="764" width="31" style="52" customWidth="1"/>
    <col min="765" max="765" width="18.5703125" style="52" customWidth="1"/>
    <col min="766" max="766" width="3.85546875" style="52" customWidth="1"/>
    <col min="767" max="767" width="18.7109375" style="52" customWidth="1"/>
    <col min="768" max="776" width="14" style="52" customWidth="1"/>
    <col min="777" max="777" width="13" style="52" bestFit="1" customWidth="1"/>
    <col min="778" max="778" width="14.5703125" style="52" bestFit="1" customWidth="1"/>
    <col min="779" max="779" width="12.140625" style="52" bestFit="1" customWidth="1"/>
    <col min="780" max="790" width="14" style="52" customWidth="1"/>
    <col min="791" max="794" width="13.28515625" style="52" customWidth="1"/>
    <col min="795" max="1019" width="9.140625" style="52"/>
    <col min="1020" max="1020" width="31" style="52" customWidth="1"/>
    <col min="1021" max="1021" width="18.5703125" style="52" customWidth="1"/>
    <col min="1022" max="1022" width="3.85546875" style="52" customWidth="1"/>
    <col min="1023" max="1023" width="18.7109375" style="52" customWidth="1"/>
    <col min="1024" max="1032" width="14" style="52" customWidth="1"/>
    <col min="1033" max="1033" width="13" style="52" bestFit="1" customWidth="1"/>
    <col min="1034" max="1034" width="14.5703125" style="52" bestFit="1" customWidth="1"/>
    <col min="1035" max="1035" width="12.140625" style="52" bestFit="1" customWidth="1"/>
    <col min="1036" max="1046" width="14" style="52" customWidth="1"/>
    <col min="1047" max="1050" width="13.28515625" style="52" customWidth="1"/>
    <col min="1051" max="1275" width="9.140625" style="52"/>
    <col min="1276" max="1276" width="31" style="52" customWidth="1"/>
    <col min="1277" max="1277" width="18.5703125" style="52" customWidth="1"/>
    <col min="1278" max="1278" width="3.85546875" style="52" customWidth="1"/>
    <col min="1279" max="1279" width="18.7109375" style="52" customWidth="1"/>
    <col min="1280" max="1288" width="14" style="52" customWidth="1"/>
    <col min="1289" max="1289" width="13" style="52" bestFit="1" customWidth="1"/>
    <col min="1290" max="1290" width="14.5703125" style="52" bestFit="1" customWidth="1"/>
    <col min="1291" max="1291" width="12.140625" style="52" bestFit="1" customWidth="1"/>
    <col min="1292" max="1302" width="14" style="52" customWidth="1"/>
    <col min="1303" max="1306" width="13.28515625" style="52" customWidth="1"/>
    <col min="1307" max="1531" width="9.140625" style="52"/>
    <col min="1532" max="1532" width="31" style="52" customWidth="1"/>
    <col min="1533" max="1533" width="18.5703125" style="52" customWidth="1"/>
    <col min="1534" max="1534" width="3.85546875" style="52" customWidth="1"/>
    <col min="1535" max="1535" width="18.7109375" style="52" customWidth="1"/>
    <col min="1536" max="1544" width="14" style="52" customWidth="1"/>
    <col min="1545" max="1545" width="13" style="52" bestFit="1" customWidth="1"/>
    <col min="1546" max="1546" width="14.5703125" style="52" bestFit="1" customWidth="1"/>
    <col min="1547" max="1547" width="12.140625" style="52" bestFit="1" customWidth="1"/>
    <col min="1548" max="1558" width="14" style="52" customWidth="1"/>
    <col min="1559" max="1562" width="13.28515625" style="52" customWidth="1"/>
    <col min="1563" max="1787" width="9.140625" style="52"/>
    <col min="1788" max="1788" width="31" style="52" customWidth="1"/>
    <col min="1789" max="1789" width="18.5703125" style="52" customWidth="1"/>
    <col min="1790" max="1790" width="3.85546875" style="52" customWidth="1"/>
    <col min="1791" max="1791" width="18.7109375" style="52" customWidth="1"/>
    <col min="1792" max="1800" width="14" style="52" customWidth="1"/>
    <col min="1801" max="1801" width="13" style="52" bestFit="1" customWidth="1"/>
    <col min="1802" max="1802" width="14.5703125" style="52" bestFit="1" customWidth="1"/>
    <col min="1803" max="1803" width="12.140625" style="52" bestFit="1" customWidth="1"/>
    <col min="1804" max="1814" width="14" style="52" customWidth="1"/>
    <col min="1815" max="1818" width="13.28515625" style="52" customWidth="1"/>
    <col min="1819" max="2043" width="9.140625" style="52"/>
    <col min="2044" max="2044" width="31" style="52" customWidth="1"/>
    <col min="2045" max="2045" width="18.5703125" style="52" customWidth="1"/>
    <col min="2046" max="2046" width="3.85546875" style="52" customWidth="1"/>
    <col min="2047" max="2047" width="18.7109375" style="52" customWidth="1"/>
    <col min="2048" max="2056" width="14" style="52" customWidth="1"/>
    <col min="2057" max="2057" width="13" style="52" bestFit="1" customWidth="1"/>
    <col min="2058" max="2058" width="14.5703125" style="52" bestFit="1" customWidth="1"/>
    <col min="2059" max="2059" width="12.140625" style="52" bestFit="1" customWidth="1"/>
    <col min="2060" max="2070" width="14" style="52" customWidth="1"/>
    <col min="2071" max="2074" width="13.28515625" style="52" customWidth="1"/>
    <col min="2075" max="2299" width="9.140625" style="52"/>
    <col min="2300" max="2300" width="31" style="52" customWidth="1"/>
    <col min="2301" max="2301" width="18.5703125" style="52" customWidth="1"/>
    <col min="2302" max="2302" width="3.85546875" style="52" customWidth="1"/>
    <col min="2303" max="2303" width="18.7109375" style="52" customWidth="1"/>
    <col min="2304" max="2312" width="14" style="52" customWidth="1"/>
    <col min="2313" max="2313" width="13" style="52" bestFit="1" customWidth="1"/>
    <col min="2314" max="2314" width="14.5703125" style="52" bestFit="1" customWidth="1"/>
    <col min="2315" max="2315" width="12.140625" style="52" bestFit="1" customWidth="1"/>
    <col min="2316" max="2326" width="14" style="52" customWidth="1"/>
    <col min="2327" max="2330" width="13.28515625" style="52" customWidth="1"/>
    <col min="2331" max="2555" width="9.140625" style="52"/>
    <col min="2556" max="2556" width="31" style="52" customWidth="1"/>
    <col min="2557" max="2557" width="18.5703125" style="52" customWidth="1"/>
    <col min="2558" max="2558" width="3.85546875" style="52" customWidth="1"/>
    <col min="2559" max="2559" width="18.7109375" style="52" customWidth="1"/>
    <col min="2560" max="2568" width="14" style="52" customWidth="1"/>
    <col min="2569" max="2569" width="13" style="52" bestFit="1" customWidth="1"/>
    <col min="2570" max="2570" width="14.5703125" style="52" bestFit="1" customWidth="1"/>
    <col min="2571" max="2571" width="12.140625" style="52" bestFit="1" customWidth="1"/>
    <col min="2572" max="2582" width="14" style="52" customWidth="1"/>
    <col min="2583" max="2586" width="13.28515625" style="52" customWidth="1"/>
    <col min="2587" max="2811" width="9.140625" style="52"/>
    <col min="2812" max="2812" width="31" style="52" customWidth="1"/>
    <col min="2813" max="2813" width="18.5703125" style="52" customWidth="1"/>
    <col min="2814" max="2814" width="3.85546875" style="52" customWidth="1"/>
    <col min="2815" max="2815" width="18.7109375" style="52" customWidth="1"/>
    <col min="2816" max="2824" width="14" style="52" customWidth="1"/>
    <col min="2825" max="2825" width="13" style="52" bestFit="1" customWidth="1"/>
    <col min="2826" max="2826" width="14.5703125" style="52" bestFit="1" customWidth="1"/>
    <col min="2827" max="2827" width="12.140625" style="52" bestFit="1" customWidth="1"/>
    <col min="2828" max="2838" width="14" style="52" customWidth="1"/>
    <col min="2839" max="2842" width="13.28515625" style="52" customWidth="1"/>
    <col min="2843" max="3067" width="9.140625" style="52"/>
    <col min="3068" max="3068" width="31" style="52" customWidth="1"/>
    <col min="3069" max="3069" width="18.5703125" style="52" customWidth="1"/>
    <col min="3070" max="3070" width="3.85546875" style="52" customWidth="1"/>
    <col min="3071" max="3071" width="18.7109375" style="52" customWidth="1"/>
    <col min="3072" max="3080" width="14" style="52" customWidth="1"/>
    <col min="3081" max="3081" width="13" style="52" bestFit="1" customWidth="1"/>
    <col min="3082" max="3082" width="14.5703125" style="52" bestFit="1" customWidth="1"/>
    <col min="3083" max="3083" width="12.140625" style="52" bestFit="1" customWidth="1"/>
    <col min="3084" max="3094" width="14" style="52" customWidth="1"/>
    <col min="3095" max="3098" width="13.28515625" style="52" customWidth="1"/>
    <col min="3099" max="3323" width="9.140625" style="52"/>
    <col min="3324" max="3324" width="31" style="52" customWidth="1"/>
    <col min="3325" max="3325" width="18.5703125" style="52" customWidth="1"/>
    <col min="3326" max="3326" width="3.85546875" style="52" customWidth="1"/>
    <col min="3327" max="3327" width="18.7109375" style="52" customWidth="1"/>
    <col min="3328" max="3336" width="14" style="52" customWidth="1"/>
    <col min="3337" max="3337" width="13" style="52" bestFit="1" customWidth="1"/>
    <col min="3338" max="3338" width="14.5703125" style="52" bestFit="1" customWidth="1"/>
    <col min="3339" max="3339" width="12.140625" style="52" bestFit="1" customWidth="1"/>
    <col min="3340" max="3350" width="14" style="52" customWidth="1"/>
    <col min="3351" max="3354" width="13.28515625" style="52" customWidth="1"/>
    <col min="3355" max="3579" width="9.140625" style="52"/>
    <col min="3580" max="3580" width="31" style="52" customWidth="1"/>
    <col min="3581" max="3581" width="18.5703125" style="52" customWidth="1"/>
    <col min="3582" max="3582" width="3.85546875" style="52" customWidth="1"/>
    <col min="3583" max="3583" width="18.7109375" style="52" customWidth="1"/>
    <col min="3584" max="3592" width="14" style="52" customWidth="1"/>
    <col min="3593" max="3593" width="13" style="52" bestFit="1" customWidth="1"/>
    <col min="3594" max="3594" width="14.5703125" style="52" bestFit="1" customWidth="1"/>
    <col min="3595" max="3595" width="12.140625" style="52" bestFit="1" customWidth="1"/>
    <col min="3596" max="3606" width="14" style="52" customWidth="1"/>
    <col min="3607" max="3610" width="13.28515625" style="52" customWidth="1"/>
    <col min="3611" max="3835" width="9.140625" style="52"/>
    <col min="3836" max="3836" width="31" style="52" customWidth="1"/>
    <col min="3837" max="3837" width="18.5703125" style="52" customWidth="1"/>
    <col min="3838" max="3838" width="3.85546875" style="52" customWidth="1"/>
    <col min="3839" max="3839" width="18.7109375" style="52" customWidth="1"/>
    <col min="3840" max="3848" width="14" style="52" customWidth="1"/>
    <col min="3849" max="3849" width="13" style="52" bestFit="1" customWidth="1"/>
    <col min="3850" max="3850" width="14.5703125" style="52" bestFit="1" customWidth="1"/>
    <col min="3851" max="3851" width="12.140625" style="52" bestFit="1" customWidth="1"/>
    <col min="3852" max="3862" width="14" style="52" customWidth="1"/>
    <col min="3863" max="3866" width="13.28515625" style="52" customWidth="1"/>
    <col min="3867" max="4091" width="9.140625" style="52"/>
    <col min="4092" max="4092" width="31" style="52" customWidth="1"/>
    <col min="4093" max="4093" width="18.5703125" style="52" customWidth="1"/>
    <col min="4094" max="4094" width="3.85546875" style="52" customWidth="1"/>
    <col min="4095" max="4095" width="18.7109375" style="52" customWidth="1"/>
    <col min="4096" max="4104" width="14" style="52" customWidth="1"/>
    <col min="4105" max="4105" width="13" style="52" bestFit="1" customWidth="1"/>
    <col min="4106" max="4106" width="14.5703125" style="52" bestFit="1" customWidth="1"/>
    <col min="4107" max="4107" width="12.140625" style="52" bestFit="1" customWidth="1"/>
    <col min="4108" max="4118" width="14" style="52" customWidth="1"/>
    <col min="4119" max="4122" width="13.28515625" style="52" customWidth="1"/>
    <col min="4123" max="4347" width="9.140625" style="52"/>
    <col min="4348" max="4348" width="31" style="52" customWidth="1"/>
    <col min="4349" max="4349" width="18.5703125" style="52" customWidth="1"/>
    <col min="4350" max="4350" width="3.85546875" style="52" customWidth="1"/>
    <col min="4351" max="4351" width="18.7109375" style="52" customWidth="1"/>
    <col min="4352" max="4360" width="14" style="52" customWidth="1"/>
    <col min="4361" max="4361" width="13" style="52" bestFit="1" customWidth="1"/>
    <col min="4362" max="4362" width="14.5703125" style="52" bestFit="1" customWidth="1"/>
    <col min="4363" max="4363" width="12.140625" style="52" bestFit="1" customWidth="1"/>
    <col min="4364" max="4374" width="14" style="52" customWidth="1"/>
    <col min="4375" max="4378" width="13.28515625" style="52" customWidth="1"/>
    <col min="4379" max="4603" width="9.140625" style="52"/>
    <col min="4604" max="4604" width="31" style="52" customWidth="1"/>
    <col min="4605" max="4605" width="18.5703125" style="52" customWidth="1"/>
    <col min="4606" max="4606" width="3.85546875" style="52" customWidth="1"/>
    <col min="4607" max="4607" width="18.7109375" style="52" customWidth="1"/>
    <col min="4608" max="4616" width="14" style="52" customWidth="1"/>
    <col min="4617" max="4617" width="13" style="52" bestFit="1" customWidth="1"/>
    <col min="4618" max="4618" width="14.5703125" style="52" bestFit="1" customWidth="1"/>
    <col min="4619" max="4619" width="12.140625" style="52" bestFit="1" customWidth="1"/>
    <col min="4620" max="4630" width="14" style="52" customWidth="1"/>
    <col min="4631" max="4634" width="13.28515625" style="52" customWidth="1"/>
    <col min="4635" max="4859" width="9.140625" style="52"/>
    <col min="4860" max="4860" width="31" style="52" customWidth="1"/>
    <col min="4861" max="4861" width="18.5703125" style="52" customWidth="1"/>
    <col min="4862" max="4862" width="3.85546875" style="52" customWidth="1"/>
    <col min="4863" max="4863" width="18.7109375" style="52" customWidth="1"/>
    <col min="4864" max="4872" width="14" style="52" customWidth="1"/>
    <col min="4873" max="4873" width="13" style="52" bestFit="1" customWidth="1"/>
    <col min="4874" max="4874" width="14.5703125" style="52" bestFit="1" customWidth="1"/>
    <col min="4875" max="4875" width="12.140625" style="52" bestFit="1" customWidth="1"/>
    <col min="4876" max="4886" width="14" style="52" customWidth="1"/>
    <col min="4887" max="4890" width="13.28515625" style="52" customWidth="1"/>
    <col min="4891" max="5115" width="9.140625" style="52"/>
    <col min="5116" max="5116" width="31" style="52" customWidth="1"/>
    <col min="5117" max="5117" width="18.5703125" style="52" customWidth="1"/>
    <col min="5118" max="5118" width="3.85546875" style="52" customWidth="1"/>
    <col min="5119" max="5119" width="18.7109375" style="52" customWidth="1"/>
    <col min="5120" max="5128" width="14" style="52" customWidth="1"/>
    <col min="5129" max="5129" width="13" style="52" bestFit="1" customWidth="1"/>
    <col min="5130" max="5130" width="14.5703125" style="52" bestFit="1" customWidth="1"/>
    <col min="5131" max="5131" width="12.140625" style="52" bestFit="1" customWidth="1"/>
    <col min="5132" max="5142" width="14" style="52" customWidth="1"/>
    <col min="5143" max="5146" width="13.28515625" style="52" customWidth="1"/>
    <col min="5147" max="5371" width="9.140625" style="52"/>
    <col min="5372" max="5372" width="31" style="52" customWidth="1"/>
    <col min="5373" max="5373" width="18.5703125" style="52" customWidth="1"/>
    <col min="5374" max="5374" width="3.85546875" style="52" customWidth="1"/>
    <col min="5375" max="5375" width="18.7109375" style="52" customWidth="1"/>
    <col min="5376" max="5384" width="14" style="52" customWidth="1"/>
    <col min="5385" max="5385" width="13" style="52" bestFit="1" customWidth="1"/>
    <col min="5386" max="5386" width="14.5703125" style="52" bestFit="1" customWidth="1"/>
    <col min="5387" max="5387" width="12.140625" style="52" bestFit="1" customWidth="1"/>
    <col min="5388" max="5398" width="14" style="52" customWidth="1"/>
    <col min="5399" max="5402" width="13.28515625" style="52" customWidth="1"/>
    <col min="5403" max="5627" width="9.140625" style="52"/>
    <col min="5628" max="5628" width="31" style="52" customWidth="1"/>
    <col min="5629" max="5629" width="18.5703125" style="52" customWidth="1"/>
    <col min="5630" max="5630" width="3.85546875" style="52" customWidth="1"/>
    <col min="5631" max="5631" width="18.7109375" style="52" customWidth="1"/>
    <col min="5632" max="5640" width="14" style="52" customWidth="1"/>
    <col min="5641" max="5641" width="13" style="52" bestFit="1" customWidth="1"/>
    <col min="5642" max="5642" width="14.5703125" style="52" bestFit="1" customWidth="1"/>
    <col min="5643" max="5643" width="12.140625" style="52" bestFit="1" customWidth="1"/>
    <col min="5644" max="5654" width="14" style="52" customWidth="1"/>
    <col min="5655" max="5658" width="13.28515625" style="52" customWidth="1"/>
    <col min="5659" max="5883" width="9.140625" style="52"/>
    <col min="5884" max="5884" width="31" style="52" customWidth="1"/>
    <col min="5885" max="5885" width="18.5703125" style="52" customWidth="1"/>
    <col min="5886" max="5886" width="3.85546875" style="52" customWidth="1"/>
    <col min="5887" max="5887" width="18.7109375" style="52" customWidth="1"/>
    <col min="5888" max="5896" width="14" style="52" customWidth="1"/>
    <col min="5897" max="5897" width="13" style="52" bestFit="1" customWidth="1"/>
    <col min="5898" max="5898" width="14.5703125" style="52" bestFit="1" customWidth="1"/>
    <col min="5899" max="5899" width="12.140625" style="52" bestFit="1" customWidth="1"/>
    <col min="5900" max="5910" width="14" style="52" customWidth="1"/>
    <col min="5911" max="5914" width="13.28515625" style="52" customWidth="1"/>
    <col min="5915" max="6139" width="9.140625" style="52"/>
    <col min="6140" max="6140" width="31" style="52" customWidth="1"/>
    <col min="6141" max="6141" width="18.5703125" style="52" customWidth="1"/>
    <col min="6142" max="6142" width="3.85546875" style="52" customWidth="1"/>
    <col min="6143" max="6143" width="18.7109375" style="52" customWidth="1"/>
    <col min="6144" max="6152" width="14" style="52" customWidth="1"/>
    <col min="6153" max="6153" width="13" style="52" bestFit="1" customWidth="1"/>
    <col min="6154" max="6154" width="14.5703125" style="52" bestFit="1" customWidth="1"/>
    <col min="6155" max="6155" width="12.140625" style="52" bestFit="1" customWidth="1"/>
    <col min="6156" max="6166" width="14" style="52" customWidth="1"/>
    <col min="6167" max="6170" width="13.28515625" style="52" customWidth="1"/>
    <col min="6171" max="6395" width="9.140625" style="52"/>
    <col min="6396" max="6396" width="31" style="52" customWidth="1"/>
    <col min="6397" max="6397" width="18.5703125" style="52" customWidth="1"/>
    <col min="6398" max="6398" width="3.85546875" style="52" customWidth="1"/>
    <col min="6399" max="6399" width="18.7109375" style="52" customWidth="1"/>
    <col min="6400" max="6408" width="14" style="52" customWidth="1"/>
    <col min="6409" max="6409" width="13" style="52" bestFit="1" customWidth="1"/>
    <col min="6410" max="6410" width="14.5703125" style="52" bestFit="1" customWidth="1"/>
    <col min="6411" max="6411" width="12.140625" style="52" bestFit="1" customWidth="1"/>
    <col min="6412" max="6422" width="14" style="52" customWidth="1"/>
    <col min="6423" max="6426" width="13.28515625" style="52" customWidth="1"/>
    <col min="6427" max="6651" width="9.140625" style="52"/>
    <col min="6652" max="6652" width="31" style="52" customWidth="1"/>
    <col min="6653" max="6653" width="18.5703125" style="52" customWidth="1"/>
    <col min="6654" max="6654" width="3.85546875" style="52" customWidth="1"/>
    <col min="6655" max="6655" width="18.7109375" style="52" customWidth="1"/>
    <col min="6656" max="6664" width="14" style="52" customWidth="1"/>
    <col min="6665" max="6665" width="13" style="52" bestFit="1" customWidth="1"/>
    <col min="6666" max="6666" width="14.5703125" style="52" bestFit="1" customWidth="1"/>
    <col min="6667" max="6667" width="12.140625" style="52" bestFit="1" customWidth="1"/>
    <col min="6668" max="6678" width="14" style="52" customWidth="1"/>
    <col min="6679" max="6682" width="13.28515625" style="52" customWidth="1"/>
    <col min="6683" max="6907" width="9.140625" style="52"/>
    <col min="6908" max="6908" width="31" style="52" customWidth="1"/>
    <col min="6909" max="6909" width="18.5703125" style="52" customWidth="1"/>
    <col min="6910" max="6910" width="3.85546875" style="52" customWidth="1"/>
    <col min="6911" max="6911" width="18.7109375" style="52" customWidth="1"/>
    <col min="6912" max="6920" width="14" style="52" customWidth="1"/>
    <col min="6921" max="6921" width="13" style="52" bestFit="1" customWidth="1"/>
    <col min="6922" max="6922" width="14.5703125" style="52" bestFit="1" customWidth="1"/>
    <col min="6923" max="6923" width="12.140625" style="52" bestFit="1" customWidth="1"/>
    <col min="6924" max="6934" width="14" style="52" customWidth="1"/>
    <col min="6935" max="6938" width="13.28515625" style="52" customWidth="1"/>
    <col min="6939" max="7163" width="9.140625" style="52"/>
    <col min="7164" max="7164" width="31" style="52" customWidth="1"/>
    <col min="7165" max="7165" width="18.5703125" style="52" customWidth="1"/>
    <col min="7166" max="7166" width="3.85546875" style="52" customWidth="1"/>
    <col min="7167" max="7167" width="18.7109375" style="52" customWidth="1"/>
    <col min="7168" max="7176" width="14" style="52" customWidth="1"/>
    <col min="7177" max="7177" width="13" style="52" bestFit="1" customWidth="1"/>
    <col min="7178" max="7178" width="14.5703125" style="52" bestFit="1" customWidth="1"/>
    <col min="7179" max="7179" width="12.140625" style="52" bestFit="1" customWidth="1"/>
    <col min="7180" max="7190" width="14" style="52" customWidth="1"/>
    <col min="7191" max="7194" width="13.28515625" style="52" customWidth="1"/>
    <col min="7195" max="7419" width="9.140625" style="52"/>
    <col min="7420" max="7420" width="31" style="52" customWidth="1"/>
    <col min="7421" max="7421" width="18.5703125" style="52" customWidth="1"/>
    <col min="7422" max="7422" width="3.85546875" style="52" customWidth="1"/>
    <col min="7423" max="7423" width="18.7109375" style="52" customWidth="1"/>
    <col min="7424" max="7432" width="14" style="52" customWidth="1"/>
    <col min="7433" max="7433" width="13" style="52" bestFit="1" customWidth="1"/>
    <col min="7434" max="7434" width="14.5703125" style="52" bestFit="1" customWidth="1"/>
    <col min="7435" max="7435" width="12.140625" style="52" bestFit="1" customWidth="1"/>
    <col min="7436" max="7446" width="14" style="52" customWidth="1"/>
    <col min="7447" max="7450" width="13.28515625" style="52" customWidth="1"/>
    <col min="7451" max="7675" width="9.140625" style="52"/>
    <col min="7676" max="7676" width="31" style="52" customWidth="1"/>
    <col min="7677" max="7677" width="18.5703125" style="52" customWidth="1"/>
    <col min="7678" max="7678" width="3.85546875" style="52" customWidth="1"/>
    <col min="7679" max="7679" width="18.7109375" style="52" customWidth="1"/>
    <col min="7680" max="7688" width="14" style="52" customWidth="1"/>
    <col min="7689" max="7689" width="13" style="52" bestFit="1" customWidth="1"/>
    <col min="7690" max="7690" width="14.5703125" style="52" bestFit="1" customWidth="1"/>
    <col min="7691" max="7691" width="12.140625" style="52" bestFit="1" customWidth="1"/>
    <col min="7692" max="7702" width="14" style="52" customWidth="1"/>
    <col min="7703" max="7706" width="13.28515625" style="52" customWidth="1"/>
    <col min="7707" max="7931" width="9.140625" style="52"/>
    <col min="7932" max="7932" width="31" style="52" customWidth="1"/>
    <col min="7933" max="7933" width="18.5703125" style="52" customWidth="1"/>
    <col min="7934" max="7934" width="3.85546875" style="52" customWidth="1"/>
    <col min="7935" max="7935" width="18.7109375" style="52" customWidth="1"/>
    <col min="7936" max="7944" width="14" style="52" customWidth="1"/>
    <col min="7945" max="7945" width="13" style="52" bestFit="1" customWidth="1"/>
    <col min="7946" max="7946" width="14.5703125" style="52" bestFit="1" customWidth="1"/>
    <col min="7947" max="7947" width="12.140625" style="52" bestFit="1" customWidth="1"/>
    <col min="7948" max="7958" width="14" style="52" customWidth="1"/>
    <col min="7959" max="7962" width="13.28515625" style="52" customWidth="1"/>
    <col min="7963" max="8187" width="9.140625" style="52"/>
    <col min="8188" max="8188" width="31" style="52" customWidth="1"/>
    <col min="8189" max="8189" width="18.5703125" style="52" customWidth="1"/>
    <col min="8190" max="8190" width="3.85546875" style="52" customWidth="1"/>
    <col min="8191" max="8191" width="18.7109375" style="52" customWidth="1"/>
    <col min="8192" max="8200" width="14" style="52" customWidth="1"/>
    <col min="8201" max="8201" width="13" style="52" bestFit="1" customWidth="1"/>
    <col min="8202" max="8202" width="14.5703125" style="52" bestFit="1" customWidth="1"/>
    <col min="8203" max="8203" width="12.140625" style="52" bestFit="1" customWidth="1"/>
    <col min="8204" max="8214" width="14" style="52" customWidth="1"/>
    <col min="8215" max="8218" width="13.28515625" style="52" customWidth="1"/>
    <col min="8219" max="8443" width="9.140625" style="52"/>
    <col min="8444" max="8444" width="31" style="52" customWidth="1"/>
    <col min="8445" max="8445" width="18.5703125" style="52" customWidth="1"/>
    <col min="8446" max="8446" width="3.85546875" style="52" customWidth="1"/>
    <col min="8447" max="8447" width="18.7109375" style="52" customWidth="1"/>
    <col min="8448" max="8456" width="14" style="52" customWidth="1"/>
    <col min="8457" max="8457" width="13" style="52" bestFit="1" customWidth="1"/>
    <col min="8458" max="8458" width="14.5703125" style="52" bestFit="1" customWidth="1"/>
    <col min="8459" max="8459" width="12.140625" style="52" bestFit="1" customWidth="1"/>
    <col min="8460" max="8470" width="14" style="52" customWidth="1"/>
    <col min="8471" max="8474" width="13.28515625" style="52" customWidth="1"/>
    <col min="8475" max="8699" width="9.140625" style="52"/>
    <col min="8700" max="8700" width="31" style="52" customWidth="1"/>
    <col min="8701" max="8701" width="18.5703125" style="52" customWidth="1"/>
    <col min="8702" max="8702" width="3.85546875" style="52" customWidth="1"/>
    <col min="8703" max="8703" width="18.7109375" style="52" customWidth="1"/>
    <col min="8704" max="8712" width="14" style="52" customWidth="1"/>
    <col min="8713" max="8713" width="13" style="52" bestFit="1" customWidth="1"/>
    <col min="8714" max="8714" width="14.5703125" style="52" bestFit="1" customWidth="1"/>
    <col min="8715" max="8715" width="12.140625" style="52" bestFit="1" customWidth="1"/>
    <col min="8716" max="8726" width="14" style="52" customWidth="1"/>
    <col min="8727" max="8730" width="13.28515625" style="52" customWidth="1"/>
    <col min="8731" max="8955" width="9.140625" style="52"/>
    <col min="8956" max="8956" width="31" style="52" customWidth="1"/>
    <col min="8957" max="8957" width="18.5703125" style="52" customWidth="1"/>
    <col min="8958" max="8958" width="3.85546875" style="52" customWidth="1"/>
    <col min="8959" max="8959" width="18.7109375" style="52" customWidth="1"/>
    <col min="8960" max="8968" width="14" style="52" customWidth="1"/>
    <col min="8969" max="8969" width="13" style="52" bestFit="1" customWidth="1"/>
    <col min="8970" max="8970" width="14.5703125" style="52" bestFit="1" customWidth="1"/>
    <col min="8971" max="8971" width="12.140625" style="52" bestFit="1" customWidth="1"/>
    <col min="8972" max="8982" width="14" style="52" customWidth="1"/>
    <col min="8983" max="8986" width="13.28515625" style="52" customWidth="1"/>
    <col min="8987" max="9211" width="9.140625" style="52"/>
    <col min="9212" max="9212" width="31" style="52" customWidth="1"/>
    <col min="9213" max="9213" width="18.5703125" style="52" customWidth="1"/>
    <col min="9214" max="9214" width="3.85546875" style="52" customWidth="1"/>
    <col min="9215" max="9215" width="18.7109375" style="52" customWidth="1"/>
    <col min="9216" max="9224" width="14" style="52" customWidth="1"/>
    <col min="9225" max="9225" width="13" style="52" bestFit="1" customWidth="1"/>
    <col min="9226" max="9226" width="14.5703125" style="52" bestFit="1" customWidth="1"/>
    <col min="9227" max="9227" width="12.140625" style="52" bestFit="1" customWidth="1"/>
    <col min="9228" max="9238" width="14" style="52" customWidth="1"/>
    <col min="9239" max="9242" width="13.28515625" style="52" customWidth="1"/>
    <col min="9243" max="9467" width="9.140625" style="52"/>
    <col min="9468" max="9468" width="31" style="52" customWidth="1"/>
    <col min="9469" max="9469" width="18.5703125" style="52" customWidth="1"/>
    <col min="9470" max="9470" width="3.85546875" style="52" customWidth="1"/>
    <col min="9471" max="9471" width="18.7109375" style="52" customWidth="1"/>
    <col min="9472" max="9480" width="14" style="52" customWidth="1"/>
    <col min="9481" max="9481" width="13" style="52" bestFit="1" customWidth="1"/>
    <col min="9482" max="9482" width="14.5703125" style="52" bestFit="1" customWidth="1"/>
    <col min="9483" max="9483" width="12.140625" style="52" bestFit="1" customWidth="1"/>
    <col min="9484" max="9494" width="14" style="52" customWidth="1"/>
    <col min="9495" max="9498" width="13.28515625" style="52" customWidth="1"/>
    <col min="9499" max="9723" width="9.140625" style="52"/>
    <col min="9724" max="9724" width="31" style="52" customWidth="1"/>
    <col min="9725" max="9725" width="18.5703125" style="52" customWidth="1"/>
    <col min="9726" max="9726" width="3.85546875" style="52" customWidth="1"/>
    <col min="9727" max="9727" width="18.7109375" style="52" customWidth="1"/>
    <col min="9728" max="9736" width="14" style="52" customWidth="1"/>
    <col min="9737" max="9737" width="13" style="52" bestFit="1" customWidth="1"/>
    <col min="9738" max="9738" width="14.5703125" style="52" bestFit="1" customWidth="1"/>
    <col min="9739" max="9739" width="12.140625" style="52" bestFit="1" customWidth="1"/>
    <col min="9740" max="9750" width="14" style="52" customWidth="1"/>
    <col min="9751" max="9754" width="13.28515625" style="52" customWidth="1"/>
    <col min="9755" max="9979" width="9.140625" style="52"/>
    <col min="9980" max="9980" width="31" style="52" customWidth="1"/>
    <col min="9981" max="9981" width="18.5703125" style="52" customWidth="1"/>
    <col min="9982" max="9982" width="3.85546875" style="52" customWidth="1"/>
    <col min="9983" max="9983" width="18.7109375" style="52" customWidth="1"/>
    <col min="9984" max="9992" width="14" style="52" customWidth="1"/>
    <col min="9993" max="9993" width="13" style="52" bestFit="1" customWidth="1"/>
    <col min="9994" max="9994" width="14.5703125" style="52" bestFit="1" customWidth="1"/>
    <col min="9995" max="9995" width="12.140625" style="52" bestFit="1" customWidth="1"/>
    <col min="9996" max="10006" width="14" style="52" customWidth="1"/>
    <col min="10007" max="10010" width="13.28515625" style="52" customWidth="1"/>
    <col min="10011" max="10235" width="9.140625" style="52"/>
    <col min="10236" max="10236" width="31" style="52" customWidth="1"/>
    <col min="10237" max="10237" width="18.5703125" style="52" customWidth="1"/>
    <col min="10238" max="10238" width="3.85546875" style="52" customWidth="1"/>
    <col min="10239" max="10239" width="18.7109375" style="52" customWidth="1"/>
    <col min="10240" max="10248" width="14" style="52" customWidth="1"/>
    <col min="10249" max="10249" width="13" style="52" bestFit="1" customWidth="1"/>
    <col min="10250" max="10250" width="14.5703125" style="52" bestFit="1" customWidth="1"/>
    <col min="10251" max="10251" width="12.140625" style="52" bestFit="1" customWidth="1"/>
    <col min="10252" max="10262" width="14" style="52" customWidth="1"/>
    <col min="10263" max="10266" width="13.28515625" style="52" customWidth="1"/>
    <col min="10267" max="10491" width="9.140625" style="52"/>
    <col min="10492" max="10492" width="31" style="52" customWidth="1"/>
    <col min="10493" max="10493" width="18.5703125" style="52" customWidth="1"/>
    <col min="10494" max="10494" width="3.85546875" style="52" customWidth="1"/>
    <col min="10495" max="10495" width="18.7109375" style="52" customWidth="1"/>
    <col min="10496" max="10504" width="14" style="52" customWidth="1"/>
    <col min="10505" max="10505" width="13" style="52" bestFit="1" customWidth="1"/>
    <col min="10506" max="10506" width="14.5703125" style="52" bestFit="1" customWidth="1"/>
    <col min="10507" max="10507" width="12.140625" style="52" bestFit="1" customWidth="1"/>
    <col min="10508" max="10518" width="14" style="52" customWidth="1"/>
    <col min="10519" max="10522" width="13.28515625" style="52" customWidth="1"/>
    <col min="10523" max="10747" width="9.140625" style="52"/>
    <col min="10748" max="10748" width="31" style="52" customWidth="1"/>
    <col min="10749" max="10749" width="18.5703125" style="52" customWidth="1"/>
    <col min="10750" max="10750" width="3.85546875" style="52" customWidth="1"/>
    <col min="10751" max="10751" width="18.7109375" style="52" customWidth="1"/>
    <col min="10752" max="10760" width="14" style="52" customWidth="1"/>
    <col min="10761" max="10761" width="13" style="52" bestFit="1" customWidth="1"/>
    <col min="10762" max="10762" width="14.5703125" style="52" bestFit="1" customWidth="1"/>
    <col min="10763" max="10763" width="12.140625" style="52" bestFit="1" customWidth="1"/>
    <col min="10764" max="10774" width="14" style="52" customWidth="1"/>
    <col min="10775" max="10778" width="13.28515625" style="52" customWidth="1"/>
    <col min="10779" max="11003" width="9.140625" style="52"/>
    <col min="11004" max="11004" width="31" style="52" customWidth="1"/>
    <col min="11005" max="11005" width="18.5703125" style="52" customWidth="1"/>
    <col min="11006" max="11006" width="3.85546875" style="52" customWidth="1"/>
    <col min="11007" max="11007" width="18.7109375" style="52" customWidth="1"/>
    <col min="11008" max="11016" width="14" style="52" customWidth="1"/>
    <col min="11017" max="11017" width="13" style="52" bestFit="1" customWidth="1"/>
    <col min="11018" max="11018" width="14.5703125" style="52" bestFit="1" customWidth="1"/>
    <col min="11019" max="11019" width="12.140625" style="52" bestFit="1" customWidth="1"/>
    <col min="11020" max="11030" width="14" style="52" customWidth="1"/>
    <col min="11031" max="11034" width="13.28515625" style="52" customWidth="1"/>
    <col min="11035" max="11259" width="9.140625" style="52"/>
    <col min="11260" max="11260" width="31" style="52" customWidth="1"/>
    <col min="11261" max="11261" width="18.5703125" style="52" customWidth="1"/>
    <col min="11262" max="11262" width="3.85546875" style="52" customWidth="1"/>
    <col min="11263" max="11263" width="18.7109375" style="52" customWidth="1"/>
    <col min="11264" max="11272" width="14" style="52" customWidth="1"/>
    <col min="11273" max="11273" width="13" style="52" bestFit="1" customWidth="1"/>
    <col min="11274" max="11274" width="14.5703125" style="52" bestFit="1" customWidth="1"/>
    <col min="11275" max="11275" width="12.140625" style="52" bestFit="1" customWidth="1"/>
    <col min="11276" max="11286" width="14" style="52" customWidth="1"/>
    <col min="11287" max="11290" width="13.28515625" style="52" customWidth="1"/>
    <col min="11291" max="11515" width="9.140625" style="52"/>
    <col min="11516" max="11516" width="31" style="52" customWidth="1"/>
    <col min="11517" max="11517" width="18.5703125" style="52" customWidth="1"/>
    <col min="11518" max="11518" width="3.85546875" style="52" customWidth="1"/>
    <col min="11519" max="11519" width="18.7109375" style="52" customWidth="1"/>
    <col min="11520" max="11528" width="14" style="52" customWidth="1"/>
    <col min="11529" max="11529" width="13" style="52" bestFit="1" customWidth="1"/>
    <col min="11530" max="11530" width="14.5703125" style="52" bestFit="1" customWidth="1"/>
    <col min="11531" max="11531" width="12.140625" style="52" bestFit="1" customWidth="1"/>
    <col min="11532" max="11542" width="14" style="52" customWidth="1"/>
    <col min="11543" max="11546" width="13.28515625" style="52" customWidth="1"/>
    <col min="11547" max="11771" width="9.140625" style="52"/>
    <col min="11772" max="11772" width="31" style="52" customWidth="1"/>
    <col min="11773" max="11773" width="18.5703125" style="52" customWidth="1"/>
    <col min="11774" max="11774" width="3.85546875" style="52" customWidth="1"/>
    <col min="11775" max="11775" width="18.7109375" style="52" customWidth="1"/>
    <col min="11776" max="11784" width="14" style="52" customWidth="1"/>
    <col min="11785" max="11785" width="13" style="52" bestFit="1" customWidth="1"/>
    <col min="11786" max="11786" width="14.5703125" style="52" bestFit="1" customWidth="1"/>
    <col min="11787" max="11787" width="12.140625" style="52" bestFit="1" customWidth="1"/>
    <col min="11788" max="11798" width="14" style="52" customWidth="1"/>
    <col min="11799" max="11802" width="13.28515625" style="52" customWidth="1"/>
    <col min="11803" max="12027" width="9.140625" style="52"/>
    <col min="12028" max="12028" width="31" style="52" customWidth="1"/>
    <col min="12029" max="12029" width="18.5703125" style="52" customWidth="1"/>
    <col min="12030" max="12030" width="3.85546875" style="52" customWidth="1"/>
    <col min="12031" max="12031" width="18.7109375" style="52" customWidth="1"/>
    <col min="12032" max="12040" width="14" style="52" customWidth="1"/>
    <col min="12041" max="12041" width="13" style="52" bestFit="1" customWidth="1"/>
    <col min="12042" max="12042" width="14.5703125" style="52" bestFit="1" customWidth="1"/>
    <col min="12043" max="12043" width="12.140625" style="52" bestFit="1" customWidth="1"/>
    <col min="12044" max="12054" width="14" style="52" customWidth="1"/>
    <col min="12055" max="12058" width="13.28515625" style="52" customWidth="1"/>
    <col min="12059" max="12283" width="9.140625" style="52"/>
    <col min="12284" max="12284" width="31" style="52" customWidth="1"/>
    <col min="12285" max="12285" width="18.5703125" style="52" customWidth="1"/>
    <col min="12286" max="12286" width="3.85546875" style="52" customWidth="1"/>
    <col min="12287" max="12287" width="18.7109375" style="52" customWidth="1"/>
    <col min="12288" max="12296" width="14" style="52" customWidth="1"/>
    <col min="12297" max="12297" width="13" style="52" bestFit="1" customWidth="1"/>
    <col min="12298" max="12298" width="14.5703125" style="52" bestFit="1" customWidth="1"/>
    <col min="12299" max="12299" width="12.140625" style="52" bestFit="1" customWidth="1"/>
    <col min="12300" max="12310" width="14" style="52" customWidth="1"/>
    <col min="12311" max="12314" width="13.28515625" style="52" customWidth="1"/>
    <col min="12315" max="12539" width="9.140625" style="52"/>
    <col min="12540" max="12540" width="31" style="52" customWidth="1"/>
    <col min="12541" max="12541" width="18.5703125" style="52" customWidth="1"/>
    <col min="12542" max="12542" width="3.85546875" style="52" customWidth="1"/>
    <col min="12543" max="12543" width="18.7109375" style="52" customWidth="1"/>
    <col min="12544" max="12552" width="14" style="52" customWidth="1"/>
    <col min="12553" max="12553" width="13" style="52" bestFit="1" customWidth="1"/>
    <col min="12554" max="12554" width="14.5703125" style="52" bestFit="1" customWidth="1"/>
    <col min="12555" max="12555" width="12.140625" style="52" bestFit="1" customWidth="1"/>
    <col min="12556" max="12566" width="14" style="52" customWidth="1"/>
    <col min="12567" max="12570" width="13.28515625" style="52" customWidth="1"/>
    <col min="12571" max="12795" width="9.140625" style="52"/>
    <col min="12796" max="12796" width="31" style="52" customWidth="1"/>
    <col min="12797" max="12797" width="18.5703125" style="52" customWidth="1"/>
    <col min="12798" max="12798" width="3.85546875" style="52" customWidth="1"/>
    <col min="12799" max="12799" width="18.7109375" style="52" customWidth="1"/>
    <col min="12800" max="12808" width="14" style="52" customWidth="1"/>
    <col min="12809" max="12809" width="13" style="52" bestFit="1" customWidth="1"/>
    <col min="12810" max="12810" width="14.5703125" style="52" bestFit="1" customWidth="1"/>
    <col min="12811" max="12811" width="12.140625" style="52" bestFit="1" customWidth="1"/>
    <col min="12812" max="12822" width="14" style="52" customWidth="1"/>
    <col min="12823" max="12826" width="13.28515625" style="52" customWidth="1"/>
    <col min="12827" max="13051" width="9.140625" style="52"/>
    <col min="13052" max="13052" width="31" style="52" customWidth="1"/>
    <col min="13053" max="13053" width="18.5703125" style="52" customWidth="1"/>
    <col min="13054" max="13054" width="3.85546875" style="52" customWidth="1"/>
    <col min="13055" max="13055" width="18.7109375" style="52" customWidth="1"/>
    <col min="13056" max="13064" width="14" style="52" customWidth="1"/>
    <col min="13065" max="13065" width="13" style="52" bestFit="1" customWidth="1"/>
    <col min="13066" max="13066" width="14.5703125" style="52" bestFit="1" customWidth="1"/>
    <col min="13067" max="13067" width="12.140625" style="52" bestFit="1" customWidth="1"/>
    <col min="13068" max="13078" width="14" style="52" customWidth="1"/>
    <col min="13079" max="13082" width="13.28515625" style="52" customWidth="1"/>
    <col min="13083" max="13307" width="9.140625" style="52"/>
    <col min="13308" max="13308" width="31" style="52" customWidth="1"/>
    <col min="13309" max="13309" width="18.5703125" style="52" customWidth="1"/>
    <col min="13310" max="13310" width="3.85546875" style="52" customWidth="1"/>
    <col min="13311" max="13311" width="18.7109375" style="52" customWidth="1"/>
    <col min="13312" max="13320" width="14" style="52" customWidth="1"/>
    <col min="13321" max="13321" width="13" style="52" bestFit="1" customWidth="1"/>
    <col min="13322" max="13322" width="14.5703125" style="52" bestFit="1" customWidth="1"/>
    <col min="13323" max="13323" width="12.140625" style="52" bestFit="1" customWidth="1"/>
    <col min="13324" max="13334" width="14" style="52" customWidth="1"/>
    <col min="13335" max="13338" width="13.28515625" style="52" customWidth="1"/>
    <col min="13339" max="13563" width="9.140625" style="52"/>
    <col min="13564" max="13564" width="31" style="52" customWidth="1"/>
    <col min="13565" max="13565" width="18.5703125" style="52" customWidth="1"/>
    <col min="13566" max="13566" width="3.85546875" style="52" customWidth="1"/>
    <col min="13567" max="13567" width="18.7109375" style="52" customWidth="1"/>
    <col min="13568" max="13576" width="14" style="52" customWidth="1"/>
    <col min="13577" max="13577" width="13" style="52" bestFit="1" customWidth="1"/>
    <col min="13578" max="13578" width="14.5703125" style="52" bestFit="1" customWidth="1"/>
    <col min="13579" max="13579" width="12.140625" style="52" bestFit="1" customWidth="1"/>
    <col min="13580" max="13590" width="14" style="52" customWidth="1"/>
    <col min="13591" max="13594" width="13.28515625" style="52" customWidth="1"/>
    <col min="13595" max="13819" width="9.140625" style="52"/>
    <col min="13820" max="13820" width="31" style="52" customWidth="1"/>
    <col min="13821" max="13821" width="18.5703125" style="52" customWidth="1"/>
    <col min="13822" max="13822" width="3.85546875" style="52" customWidth="1"/>
    <col min="13823" max="13823" width="18.7109375" style="52" customWidth="1"/>
    <col min="13824" max="13832" width="14" style="52" customWidth="1"/>
    <col min="13833" max="13833" width="13" style="52" bestFit="1" customWidth="1"/>
    <col min="13834" max="13834" width="14.5703125" style="52" bestFit="1" customWidth="1"/>
    <col min="13835" max="13835" width="12.140625" style="52" bestFit="1" customWidth="1"/>
    <col min="13836" max="13846" width="14" style="52" customWidth="1"/>
    <col min="13847" max="13850" width="13.28515625" style="52" customWidth="1"/>
    <col min="13851" max="14075" width="9.140625" style="52"/>
    <col min="14076" max="14076" width="31" style="52" customWidth="1"/>
    <col min="14077" max="14077" width="18.5703125" style="52" customWidth="1"/>
    <col min="14078" max="14078" width="3.85546875" style="52" customWidth="1"/>
    <col min="14079" max="14079" width="18.7109375" style="52" customWidth="1"/>
    <col min="14080" max="14088" width="14" style="52" customWidth="1"/>
    <col min="14089" max="14089" width="13" style="52" bestFit="1" customWidth="1"/>
    <col min="14090" max="14090" width="14.5703125" style="52" bestFit="1" customWidth="1"/>
    <col min="14091" max="14091" width="12.140625" style="52" bestFit="1" customWidth="1"/>
    <col min="14092" max="14102" width="14" style="52" customWidth="1"/>
    <col min="14103" max="14106" width="13.28515625" style="52" customWidth="1"/>
    <col min="14107" max="14331" width="9.140625" style="52"/>
    <col min="14332" max="14332" width="31" style="52" customWidth="1"/>
    <col min="14333" max="14333" width="18.5703125" style="52" customWidth="1"/>
    <col min="14334" max="14334" width="3.85546875" style="52" customWidth="1"/>
    <col min="14335" max="14335" width="18.7109375" style="52" customWidth="1"/>
    <col min="14336" max="14344" width="14" style="52" customWidth="1"/>
    <col min="14345" max="14345" width="13" style="52" bestFit="1" customWidth="1"/>
    <col min="14346" max="14346" width="14.5703125" style="52" bestFit="1" customWidth="1"/>
    <col min="14347" max="14347" width="12.140625" style="52" bestFit="1" customWidth="1"/>
    <col min="14348" max="14358" width="14" style="52" customWidth="1"/>
    <col min="14359" max="14362" width="13.28515625" style="52" customWidth="1"/>
    <col min="14363" max="14587" width="9.140625" style="52"/>
    <col min="14588" max="14588" width="31" style="52" customWidth="1"/>
    <col min="14589" max="14589" width="18.5703125" style="52" customWidth="1"/>
    <col min="14590" max="14590" width="3.85546875" style="52" customWidth="1"/>
    <col min="14591" max="14591" width="18.7109375" style="52" customWidth="1"/>
    <col min="14592" max="14600" width="14" style="52" customWidth="1"/>
    <col min="14601" max="14601" width="13" style="52" bestFit="1" customWidth="1"/>
    <col min="14602" max="14602" width="14.5703125" style="52" bestFit="1" customWidth="1"/>
    <col min="14603" max="14603" width="12.140625" style="52" bestFit="1" customWidth="1"/>
    <col min="14604" max="14614" width="14" style="52" customWidth="1"/>
    <col min="14615" max="14618" width="13.28515625" style="52" customWidth="1"/>
    <col min="14619" max="14843" width="9.140625" style="52"/>
    <col min="14844" max="14844" width="31" style="52" customWidth="1"/>
    <col min="14845" max="14845" width="18.5703125" style="52" customWidth="1"/>
    <col min="14846" max="14846" width="3.85546875" style="52" customWidth="1"/>
    <col min="14847" max="14847" width="18.7109375" style="52" customWidth="1"/>
    <col min="14848" max="14856" width="14" style="52" customWidth="1"/>
    <col min="14857" max="14857" width="13" style="52" bestFit="1" customWidth="1"/>
    <col min="14858" max="14858" width="14.5703125" style="52" bestFit="1" customWidth="1"/>
    <col min="14859" max="14859" width="12.140625" style="52" bestFit="1" customWidth="1"/>
    <col min="14860" max="14870" width="14" style="52" customWidth="1"/>
    <col min="14871" max="14874" width="13.28515625" style="52" customWidth="1"/>
    <col min="14875" max="15099" width="9.140625" style="52"/>
    <col min="15100" max="15100" width="31" style="52" customWidth="1"/>
    <col min="15101" max="15101" width="18.5703125" style="52" customWidth="1"/>
    <col min="15102" max="15102" width="3.85546875" style="52" customWidth="1"/>
    <col min="15103" max="15103" width="18.7109375" style="52" customWidth="1"/>
    <col min="15104" max="15112" width="14" style="52" customWidth="1"/>
    <col min="15113" max="15113" width="13" style="52" bestFit="1" customWidth="1"/>
    <col min="15114" max="15114" width="14.5703125" style="52" bestFit="1" customWidth="1"/>
    <col min="15115" max="15115" width="12.140625" style="52" bestFit="1" customWidth="1"/>
    <col min="15116" max="15126" width="14" style="52" customWidth="1"/>
    <col min="15127" max="15130" width="13.28515625" style="52" customWidth="1"/>
    <col min="15131" max="15355" width="9.140625" style="52"/>
    <col min="15356" max="15356" width="31" style="52" customWidth="1"/>
    <col min="15357" max="15357" width="18.5703125" style="52" customWidth="1"/>
    <col min="15358" max="15358" width="3.85546875" style="52" customWidth="1"/>
    <col min="15359" max="15359" width="18.7109375" style="52" customWidth="1"/>
    <col min="15360" max="15368" width="14" style="52" customWidth="1"/>
    <col min="15369" max="15369" width="13" style="52" bestFit="1" customWidth="1"/>
    <col min="15370" max="15370" width="14.5703125" style="52" bestFit="1" customWidth="1"/>
    <col min="15371" max="15371" width="12.140625" style="52" bestFit="1" customWidth="1"/>
    <col min="15372" max="15382" width="14" style="52" customWidth="1"/>
    <col min="15383" max="15386" width="13.28515625" style="52" customWidth="1"/>
    <col min="15387" max="15611" width="9.140625" style="52"/>
    <col min="15612" max="15612" width="31" style="52" customWidth="1"/>
    <col min="15613" max="15613" width="18.5703125" style="52" customWidth="1"/>
    <col min="15614" max="15614" width="3.85546875" style="52" customWidth="1"/>
    <col min="15615" max="15615" width="18.7109375" style="52" customWidth="1"/>
    <col min="15616" max="15624" width="14" style="52" customWidth="1"/>
    <col min="15625" max="15625" width="13" style="52" bestFit="1" customWidth="1"/>
    <col min="15626" max="15626" width="14.5703125" style="52" bestFit="1" customWidth="1"/>
    <col min="15627" max="15627" width="12.140625" style="52" bestFit="1" customWidth="1"/>
    <col min="15628" max="15638" width="14" style="52" customWidth="1"/>
    <col min="15639" max="15642" width="13.28515625" style="52" customWidth="1"/>
    <col min="15643" max="15867" width="9.140625" style="52"/>
    <col min="15868" max="15868" width="31" style="52" customWidth="1"/>
    <col min="15869" max="15869" width="18.5703125" style="52" customWidth="1"/>
    <col min="15870" max="15870" width="3.85546875" style="52" customWidth="1"/>
    <col min="15871" max="15871" width="18.7109375" style="52" customWidth="1"/>
    <col min="15872" max="15880" width="14" style="52" customWidth="1"/>
    <col min="15881" max="15881" width="13" style="52" bestFit="1" customWidth="1"/>
    <col min="15882" max="15882" width="14.5703125" style="52" bestFit="1" customWidth="1"/>
    <col min="15883" max="15883" width="12.140625" style="52" bestFit="1" customWidth="1"/>
    <col min="15884" max="15894" width="14" style="52" customWidth="1"/>
    <col min="15895" max="15898" width="13.28515625" style="52" customWidth="1"/>
    <col min="15899" max="16123" width="9.140625" style="52"/>
    <col min="16124" max="16124" width="31" style="52" customWidth="1"/>
    <col min="16125" max="16125" width="18.5703125" style="52" customWidth="1"/>
    <col min="16126" max="16126" width="3.85546875" style="52" customWidth="1"/>
    <col min="16127" max="16127" width="18.7109375" style="52" customWidth="1"/>
    <col min="16128" max="16136" width="14" style="52" customWidth="1"/>
    <col min="16137" max="16137" width="13" style="52" bestFit="1" customWidth="1"/>
    <col min="16138" max="16138" width="14.5703125" style="52" bestFit="1" customWidth="1"/>
    <col min="16139" max="16139" width="12.140625" style="52" bestFit="1" customWidth="1"/>
    <col min="16140" max="16150" width="14" style="52" customWidth="1"/>
    <col min="16151" max="16154" width="13.28515625" style="52" customWidth="1"/>
    <col min="16155" max="16384" width="9.140625" style="52"/>
  </cols>
  <sheetData>
    <row r="1" spans="1:21">
      <c r="D1" s="52"/>
      <c r="E1" s="52"/>
      <c r="F1" s="52"/>
    </row>
    <row r="2" spans="1:21">
      <c r="D2" s="52"/>
      <c r="E2" s="52"/>
      <c r="F2" s="52"/>
      <c r="Q2"/>
      <c r="R2"/>
      <c r="S2"/>
      <c r="T2"/>
      <c r="U2"/>
    </row>
    <row r="3" spans="1:21" s="54" customFormat="1" ht="15.75" customHeight="1">
      <c r="A3" s="387" t="s">
        <v>131</v>
      </c>
      <c r="B3" s="387"/>
      <c r="C3" s="387"/>
      <c r="D3" s="387"/>
      <c r="E3" s="387"/>
      <c r="F3" s="387"/>
      <c r="G3" s="387"/>
      <c r="H3" s="387"/>
      <c r="I3"/>
      <c r="J3"/>
      <c r="K3"/>
      <c r="L3"/>
    </row>
    <row r="4" spans="1:21" ht="44.25" customHeight="1">
      <c r="A4" s="99" t="s">
        <v>132</v>
      </c>
      <c r="B4" s="99" t="s">
        <v>133</v>
      </c>
      <c r="C4" s="99" t="s">
        <v>13</v>
      </c>
      <c r="D4" s="99" t="s">
        <v>134</v>
      </c>
      <c r="E4" s="99" t="s">
        <v>135</v>
      </c>
      <c r="F4" s="99" t="s">
        <v>136</v>
      </c>
      <c r="G4" s="99" t="s">
        <v>137</v>
      </c>
      <c r="H4" s="99" t="s">
        <v>18</v>
      </c>
      <c r="I4"/>
      <c r="J4"/>
      <c r="K4"/>
      <c r="L4"/>
      <c r="M4" s="52"/>
      <c r="N4" s="52"/>
    </row>
    <row r="5" spans="1:21">
      <c r="A5" s="388">
        <v>2013</v>
      </c>
      <c r="B5" s="389">
        <f>AVERAGE($G$24:$G$35)</f>
        <v>14181</v>
      </c>
      <c r="C5" s="389">
        <f>AVERAGE($I$24:$I$35)</f>
        <v>948.25</v>
      </c>
      <c r="D5" s="389">
        <f>AVERAGE($L$24:$L$35)</f>
        <v>67</v>
      </c>
      <c r="E5" s="390">
        <f>AVERAGE($O$24:$O$35)</f>
        <v>168</v>
      </c>
      <c r="F5" s="389">
        <f>AVERAGE($R$24:$R$35)</f>
        <v>2843.3333333333335</v>
      </c>
      <c r="G5" s="389">
        <f>AVERAGE($U$24:$U$35)</f>
        <v>77.583333333333329</v>
      </c>
      <c r="H5" s="389">
        <f>AVERAGE($X$24:$X$35)</f>
        <v>1</v>
      </c>
      <c r="I5"/>
      <c r="J5"/>
      <c r="K5"/>
      <c r="L5"/>
      <c r="M5" s="52"/>
      <c r="N5" s="52"/>
    </row>
    <row r="6" spans="1:21">
      <c r="A6" s="388">
        <v>2014</v>
      </c>
      <c r="B6" s="389">
        <f>AVERAGE($G$36:$G$47)</f>
        <v>14509.166666666666</v>
      </c>
      <c r="C6" s="389">
        <f>AVERAGE($I$36:$I$47)</f>
        <v>990.25</v>
      </c>
      <c r="D6" s="389">
        <f>AVERAGE($L$36:$L$47)</f>
        <v>67.166666666666671</v>
      </c>
      <c r="E6" s="389">
        <f>AVERAGE($O$36:$O$47)</f>
        <v>169.41666666666666</v>
      </c>
      <c r="F6" s="389">
        <f>AVERAGE($R$36:$R$47)</f>
        <v>2923.3333333333335</v>
      </c>
      <c r="G6" s="389">
        <f>AVERAGE($U$36:$U$47)</f>
        <v>75.583333333333329</v>
      </c>
      <c r="H6" s="389">
        <f>AVERAGE($X$36:$X$47)</f>
        <v>1</v>
      </c>
      <c r="I6"/>
      <c r="J6"/>
      <c r="K6"/>
      <c r="L6"/>
      <c r="M6" s="52"/>
      <c r="N6" s="52"/>
    </row>
    <row r="7" spans="1:21">
      <c r="A7" s="388">
        <v>2015</v>
      </c>
      <c r="B7" s="389">
        <f>AVERAGE($G$48:$G$59)</f>
        <v>14861.583333333334</v>
      </c>
      <c r="C7" s="389">
        <f>AVERAGE($I$48:$I$59)</f>
        <v>999.58333333333337</v>
      </c>
      <c r="D7" s="389">
        <f>AVERAGE($L$48:$L$59)</f>
        <v>71.5</v>
      </c>
      <c r="E7" s="389">
        <f>AVERAGE($O$48:$O$59)</f>
        <v>165.75</v>
      </c>
      <c r="F7" s="389">
        <f>AVERAGE($R$48:$R$59)</f>
        <v>2897.6666666666665</v>
      </c>
      <c r="G7" s="389">
        <f>AVERAGE($U$48:$U$59)</f>
        <v>76</v>
      </c>
      <c r="H7" s="389">
        <f>AVERAGE($X$48:$X$59)</f>
        <v>1</v>
      </c>
      <c r="I7"/>
      <c r="J7"/>
      <c r="K7"/>
      <c r="L7"/>
      <c r="M7" s="52"/>
      <c r="N7" s="52"/>
    </row>
    <row r="8" spans="1:21">
      <c r="A8" s="388">
        <v>2016</v>
      </c>
      <c r="B8" s="389">
        <f>AVERAGE($G$60:$G$71)</f>
        <v>15201.583333333334</v>
      </c>
      <c r="C8" s="389">
        <f>AVERAGE($I$60:$I$71)</f>
        <v>1015.25</v>
      </c>
      <c r="D8" s="389">
        <f>AVERAGE($L$60:$L$71)</f>
        <v>75.583333333333329</v>
      </c>
      <c r="E8" s="389">
        <f>AVERAGE($O$60:$O$71)</f>
        <v>166.08333333333334</v>
      </c>
      <c r="F8" s="389">
        <f>AVERAGE($R$60:$R$71)</f>
        <v>2863.1666666666665</v>
      </c>
      <c r="G8" s="389">
        <f>AVERAGE($U$60:$U$71)</f>
        <v>75.333333333333329</v>
      </c>
      <c r="H8" s="389">
        <f>AVERAGE($X$60:$X$71)</f>
        <v>1</v>
      </c>
      <c r="I8"/>
      <c r="J8"/>
      <c r="K8"/>
      <c r="L8"/>
      <c r="M8" s="52"/>
      <c r="N8" s="52"/>
    </row>
    <row r="9" spans="1:21">
      <c r="A9" s="388">
        <v>2017</v>
      </c>
      <c r="B9" s="389">
        <f>AVERAGE($G$72:$G$83)</f>
        <v>15631.666666666666</v>
      </c>
      <c r="C9" s="389">
        <f>AVERAGE($I$72:$I$83)</f>
        <v>1029.3333333333333</v>
      </c>
      <c r="D9" s="389">
        <f>AVERAGE($L$72:$L$83)</f>
        <v>86.666666666666671</v>
      </c>
      <c r="E9" s="389">
        <f>AVERAGE($O$72:$O$83)</f>
        <v>161.83333333333334</v>
      </c>
      <c r="F9" s="389">
        <f>AVERAGE($R$72:$R$83)</f>
        <v>2973.25</v>
      </c>
      <c r="G9" s="389">
        <f>AVERAGE($U$72:$U$83)</f>
        <v>73.5</v>
      </c>
      <c r="H9" s="389">
        <f>AVERAGE($X$72:$X$83)</f>
        <v>1</v>
      </c>
      <c r="I9"/>
      <c r="J9"/>
      <c r="K9"/>
      <c r="L9"/>
      <c r="M9" s="52"/>
      <c r="N9" s="52"/>
    </row>
    <row r="10" spans="1:21">
      <c r="A10" s="388">
        <v>2018</v>
      </c>
      <c r="B10" s="389">
        <f>AVERAGE($G$84:$G$95)</f>
        <v>16490.666666666668</v>
      </c>
      <c r="C10" s="389">
        <f>AVERAGE($I$84:$I$95)</f>
        <v>1081</v>
      </c>
      <c r="D10" s="389">
        <f>AVERAGE($L$84:$L$95)</f>
        <v>91</v>
      </c>
      <c r="E10" s="389">
        <f>AVERAGE($O$84:$O$95)</f>
        <v>161.5</v>
      </c>
      <c r="F10" s="389">
        <f>AVERAGE($R$84:$R$95)</f>
        <v>3097.25</v>
      </c>
      <c r="G10" s="389">
        <f>AVERAGE($U$84:$U$95)</f>
        <v>74</v>
      </c>
      <c r="H10" s="389">
        <f>AVERAGE($X$84:$X$95)</f>
        <v>1</v>
      </c>
      <c r="I10"/>
      <c r="J10"/>
      <c r="K10"/>
      <c r="L10"/>
      <c r="M10" s="52"/>
      <c r="N10" s="52"/>
    </row>
    <row r="11" spans="1:21">
      <c r="A11" s="388">
        <v>2019</v>
      </c>
      <c r="B11" s="389">
        <f>AVERAGE($G$96:$G$107)</f>
        <v>17294.333333333332</v>
      </c>
      <c r="C11" s="389">
        <f>AVERAGE($I$96:$I$107)</f>
        <v>1118.5833333333333</v>
      </c>
      <c r="D11" s="389">
        <f>AVERAGE($L$96:$L$107)</f>
        <v>86.583333333333329</v>
      </c>
      <c r="E11" s="389">
        <f>AVERAGE($O$96:$O$107)</f>
        <v>159.91666666666666</v>
      </c>
      <c r="F11" s="389">
        <f>AVERAGE($R$96:$R$107)</f>
        <v>3306.75</v>
      </c>
      <c r="G11" s="389">
        <f>AVERAGE($U$96:$U$107)</f>
        <v>74.5</v>
      </c>
      <c r="H11" s="389">
        <f>AVERAGE($X$96:$X$107)</f>
        <v>1</v>
      </c>
      <c r="I11"/>
      <c r="J11"/>
      <c r="K11"/>
      <c r="L11"/>
      <c r="M11" s="52"/>
      <c r="N11" s="52"/>
    </row>
    <row r="12" spans="1:21">
      <c r="A12" s="388">
        <v>2020</v>
      </c>
      <c r="B12" s="389">
        <f>AVERAGE($G$108:$G$119)</f>
        <v>17582.833333333332</v>
      </c>
      <c r="C12" s="389">
        <f>AVERAGE($I$108:$I$119)</f>
        <v>1150.9166666666667</v>
      </c>
      <c r="D12" s="389">
        <f>AVERAGE($L$108:$L$119)</f>
        <v>82.083333333333329</v>
      </c>
      <c r="E12" s="389">
        <f>AVERAGE($O$108:$O$119)</f>
        <v>155.08333333333334</v>
      </c>
      <c r="F12" s="389">
        <f>AVERAGE($R$108:$R$119)</f>
        <v>3414.4166666666665</v>
      </c>
      <c r="G12" s="389">
        <f>AVERAGE($U$108:$U$119)</f>
        <v>73.166666666666671</v>
      </c>
      <c r="H12" s="389">
        <f>AVERAGE($X$108:$X$119)</f>
        <v>1</v>
      </c>
      <c r="I12"/>
      <c r="J12"/>
      <c r="K12"/>
      <c r="L12"/>
      <c r="M12" s="52"/>
      <c r="N12" s="52"/>
    </row>
    <row r="13" spans="1:21">
      <c r="A13" s="388">
        <v>2021</v>
      </c>
      <c r="B13" s="389">
        <f>AVERAGE($G$120:$G$131)</f>
        <v>18253.333333333332</v>
      </c>
      <c r="C13" s="389">
        <f>AVERAGE($I$120:$I$131)</f>
        <v>1186.8333333333333</v>
      </c>
      <c r="D13" s="389">
        <f>AVERAGE($L$120:$L$131)</f>
        <v>81.166666666666671</v>
      </c>
      <c r="E13" s="389">
        <f>AVERAGE($O$120:$O$131)</f>
        <v>152.75</v>
      </c>
      <c r="F13" s="389">
        <f>AVERAGE($R$120:$R$131)</f>
        <v>3596.5833333333335</v>
      </c>
      <c r="G13" s="389">
        <f>AVERAGE($U$120:$U$131)</f>
        <v>71</v>
      </c>
      <c r="H13" s="389">
        <f>AVERAGE($X$120:$X$131)</f>
        <v>1</v>
      </c>
      <c r="I13"/>
      <c r="J13"/>
      <c r="K13"/>
      <c r="L13"/>
      <c r="M13" s="52"/>
      <c r="N13" s="52"/>
    </row>
    <row r="14" spans="1:21">
      <c r="A14" s="388">
        <v>2022</v>
      </c>
      <c r="B14" s="389">
        <f>AVERAGE($G$132:$G$143)</f>
        <v>18754.666666666668</v>
      </c>
      <c r="C14" s="389">
        <f>AVERAGE($I$132:$I$143)</f>
        <v>1241.1666666666667</v>
      </c>
      <c r="D14" s="389">
        <f>AVERAGE($L$132:$L$143)</f>
        <v>82.25</v>
      </c>
      <c r="E14" s="389">
        <f>AVERAGE($O$132:$O$143)</f>
        <v>150.66666666666666</v>
      </c>
      <c r="F14" s="389">
        <f>AVERAGE($R$132:$R$143)</f>
        <v>4014</v>
      </c>
      <c r="G14" s="389">
        <f>AVERAGE($U$132:$U$143)</f>
        <v>72.416666666666671</v>
      </c>
      <c r="H14" s="389">
        <f>AVERAGE($X$132:$X$143)</f>
        <v>1</v>
      </c>
      <c r="I14"/>
      <c r="J14"/>
      <c r="K14"/>
      <c r="L14"/>
      <c r="M14" s="52"/>
      <c r="N14" s="52"/>
    </row>
    <row r="15" spans="1:21">
      <c r="A15"/>
      <c r="B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1">
      <c r="A16"/>
      <c r="B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31">
      <c r="A17"/>
      <c r="B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31">
      <c r="A18"/>
      <c r="B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20" spans="1:31" ht="16.5" thickBot="1">
      <c r="A20" s="391" t="s">
        <v>138</v>
      </c>
      <c r="B20" s="391"/>
      <c r="C20" s="56"/>
      <c r="D20" s="391" t="s">
        <v>139</v>
      </c>
      <c r="E20" s="391"/>
      <c r="F20" s="391" t="s">
        <v>140</v>
      </c>
      <c r="G20" s="391"/>
      <c r="H20" s="391"/>
      <c r="I20" s="391"/>
      <c r="J20" s="391"/>
      <c r="K20" s="391"/>
      <c r="L20" s="391"/>
      <c r="M20" s="391"/>
      <c r="N20" s="391"/>
      <c r="O20" s="391"/>
      <c r="P20" s="391"/>
      <c r="Q20" s="391"/>
      <c r="R20" s="391"/>
      <c r="S20" s="391"/>
      <c r="T20" s="391"/>
      <c r="U20" s="391"/>
      <c r="V20" s="391"/>
      <c r="W20" s="391"/>
      <c r="X20" s="391"/>
    </row>
    <row r="21" spans="1:31" ht="23.25" thickBot="1">
      <c r="A21" s="100"/>
      <c r="B21" s="100"/>
      <c r="C21" s="57"/>
      <c r="D21" s="101" t="s">
        <v>141</v>
      </c>
      <c r="E21" s="102"/>
      <c r="F21" s="287" t="str">
        <f>B4</f>
        <v>Residential</v>
      </c>
      <c r="G21" s="288"/>
      <c r="H21" s="292" t="str">
        <f>C4</f>
        <v>General Service &lt; 50 kW</v>
      </c>
      <c r="I21" s="288"/>
      <c r="J21" s="292" t="str">
        <f>D4</f>
        <v>General Service &gt; 50 to 4999 kW</v>
      </c>
      <c r="K21" s="287"/>
      <c r="L21" s="288"/>
      <c r="M21" s="292" t="s">
        <v>135</v>
      </c>
      <c r="N21" s="287"/>
      <c r="O21" s="288"/>
      <c r="P21" s="292" t="s">
        <v>136</v>
      </c>
      <c r="Q21" s="287"/>
      <c r="R21" s="288"/>
      <c r="S21" s="286" t="s">
        <v>137</v>
      </c>
      <c r="T21" s="287"/>
      <c r="U21" s="288"/>
      <c r="V21" s="289" t="s">
        <v>142</v>
      </c>
      <c r="W21" s="290"/>
      <c r="X21" s="291" t="s">
        <v>143</v>
      </c>
      <c r="Z21" s="284" t="s">
        <v>144</v>
      </c>
      <c r="AA21" s="285"/>
      <c r="AB21" s="284" t="s">
        <v>145</v>
      </c>
      <c r="AC21" s="285"/>
      <c r="AD21" s="284" t="s">
        <v>146</v>
      </c>
      <c r="AE21" s="285"/>
    </row>
    <row r="22" spans="1:31" ht="34.5" thickBot="1">
      <c r="A22" s="392"/>
      <c r="B22" s="392"/>
      <c r="C22" s="58"/>
      <c r="D22" s="103"/>
      <c r="E22" s="104"/>
      <c r="F22" s="105" t="s">
        <v>102</v>
      </c>
      <c r="G22" s="106" t="s">
        <v>147</v>
      </c>
      <c r="H22" s="103" t="s">
        <v>102</v>
      </c>
      <c r="I22" s="106" t="s">
        <v>147</v>
      </c>
      <c r="J22" s="103" t="s">
        <v>102</v>
      </c>
      <c r="K22" s="107" t="s">
        <v>103</v>
      </c>
      <c r="L22" s="106" t="s">
        <v>147</v>
      </c>
      <c r="M22" s="103" t="s">
        <v>102</v>
      </c>
      <c r="N22" s="107" t="s">
        <v>103</v>
      </c>
      <c r="O22" s="106" t="s">
        <v>148</v>
      </c>
      <c r="P22" s="103" t="s">
        <v>102</v>
      </c>
      <c r="Q22" s="107" t="s">
        <v>103</v>
      </c>
      <c r="R22" s="106" t="s">
        <v>147</v>
      </c>
      <c r="S22" s="103" t="s">
        <v>102</v>
      </c>
      <c r="T22" s="107" t="s">
        <v>103</v>
      </c>
      <c r="U22" s="106" t="s">
        <v>147</v>
      </c>
      <c r="V22" s="108" t="s">
        <v>102</v>
      </c>
      <c r="W22" s="109" t="s">
        <v>103</v>
      </c>
      <c r="X22" s="110" t="s">
        <v>147</v>
      </c>
      <c r="Z22" s="255" t="s">
        <v>102</v>
      </c>
      <c r="AA22" s="255" t="s">
        <v>149</v>
      </c>
      <c r="AB22" s="255" t="s">
        <v>102</v>
      </c>
      <c r="AC22" s="255" t="s">
        <v>149</v>
      </c>
      <c r="AD22" s="255" t="s">
        <v>102</v>
      </c>
      <c r="AE22" s="255" t="s">
        <v>149</v>
      </c>
    </row>
    <row r="23" spans="1:31">
      <c r="A23" s="393" t="s">
        <v>1</v>
      </c>
      <c r="B23" s="393" t="s">
        <v>150</v>
      </c>
      <c r="C23" s="58"/>
      <c r="D23" s="59"/>
      <c r="E23" s="60"/>
      <c r="F23" s="61"/>
      <c r="G23" s="62"/>
      <c r="H23" s="63"/>
      <c r="I23" s="62"/>
      <c r="J23" s="63"/>
      <c r="K23" s="64"/>
      <c r="L23" s="65"/>
      <c r="M23" s="67"/>
      <c r="N23" s="68"/>
      <c r="O23" s="66"/>
      <c r="P23" s="67"/>
      <c r="Q23" s="69"/>
      <c r="R23" s="70"/>
      <c r="S23" s="67"/>
      <c r="T23" s="68"/>
      <c r="U23" s="62"/>
      <c r="V23" s="67"/>
      <c r="W23" s="68"/>
      <c r="X23" s="62"/>
    </row>
    <row r="24" spans="1:31">
      <c r="A24" s="394">
        <v>2013</v>
      </c>
      <c r="B24" s="395" t="s">
        <v>151</v>
      </c>
      <c r="C24" s="71"/>
      <c r="D24" s="72">
        <v>24666681.099999998</v>
      </c>
      <c r="E24" s="72"/>
      <c r="F24" s="396">
        <v>15276191.489999995</v>
      </c>
      <c r="G24" s="73">
        <v>14074</v>
      </c>
      <c r="H24" s="72">
        <f>AB24-Z24</f>
        <v>2856543.7600000012</v>
      </c>
      <c r="I24" s="72">
        <f>AC24-AA24</f>
        <v>932</v>
      </c>
      <c r="J24" s="74">
        <f>AD24+Z24</f>
        <v>4500755.43</v>
      </c>
      <c r="K24" s="397">
        <v>11811.38</v>
      </c>
      <c r="L24" s="73">
        <f>AE24+AA24</f>
        <v>69</v>
      </c>
      <c r="M24" s="72">
        <v>9360</v>
      </c>
      <c r="N24" s="398">
        <v>26</v>
      </c>
      <c r="O24" s="73">
        <v>170</v>
      </c>
      <c r="P24" s="74">
        <v>163104.06</v>
      </c>
      <c r="Q24" s="399">
        <v>377.33000000000004</v>
      </c>
      <c r="R24" s="73">
        <v>2805</v>
      </c>
      <c r="S24" s="74">
        <v>39552</v>
      </c>
      <c r="T24" s="397"/>
      <c r="U24" s="73">
        <v>78</v>
      </c>
      <c r="V24" s="74">
        <v>98892.000000000015</v>
      </c>
      <c r="W24" s="397">
        <v>215.7</v>
      </c>
      <c r="X24" s="73">
        <v>1</v>
      </c>
      <c r="Z24" s="256">
        <v>5978.76</v>
      </c>
      <c r="AA24" s="53">
        <v>1</v>
      </c>
      <c r="AB24" s="256">
        <v>2862522.5200000009</v>
      </c>
      <c r="AC24" s="256">
        <v>933</v>
      </c>
      <c r="AD24" s="256">
        <v>4494776.67</v>
      </c>
      <c r="AE24" s="256">
        <v>68</v>
      </c>
    </row>
    <row r="25" spans="1:31">
      <c r="A25" s="394">
        <v>2013</v>
      </c>
      <c r="B25" s="395" t="s">
        <v>152</v>
      </c>
      <c r="C25" s="75"/>
      <c r="D25" s="76">
        <v>22513099.599999998</v>
      </c>
      <c r="E25" s="76"/>
      <c r="F25" s="400">
        <v>14116748.259999996</v>
      </c>
      <c r="G25" s="77">
        <v>14084</v>
      </c>
      <c r="H25" s="76">
        <f t="shared" ref="H25:H88" si="0">AB25-Z25</f>
        <v>2602590.4899999993</v>
      </c>
      <c r="I25" s="77">
        <f t="shared" ref="I25:I88" si="1">AC25-AA25</f>
        <v>934</v>
      </c>
      <c r="J25" s="78">
        <f t="shared" ref="J25:J88" si="2">AD25+Z25</f>
        <v>4059000.8999999994</v>
      </c>
      <c r="K25" s="401">
        <v>11046.629999999996</v>
      </c>
      <c r="L25" s="77">
        <f t="shared" ref="L25:L88" si="3">AE25+AA25</f>
        <v>69</v>
      </c>
      <c r="M25" s="76">
        <v>9360</v>
      </c>
      <c r="N25" s="402">
        <v>26</v>
      </c>
      <c r="O25" s="77">
        <v>170</v>
      </c>
      <c r="P25" s="78">
        <v>147913.36000000002</v>
      </c>
      <c r="Q25" s="403">
        <v>377.33000000000004</v>
      </c>
      <c r="R25" s="77">
        <v>2842</v>
      </c>
      <c r="S25" s="78">
        <v>39552</v>
      </c>
      <c r="T25" s="401"/>
      <c r="U25" s="77">
        <v>78</v>
      </c>
      <c r="V25" s="78">
        <v>89357.699999999983</v>
      </c>
      <c r="W25" s="401">
        <v>207.6</v>
      </c>
      <c r="X25" s="77">
        <v>1</v>
      </c>
      <c r="Z25" s="256">
        <v>7710.48</v>
      </c>
      <c r="AA25" s="53">
        <v>1</v>
      </c>
      <c r="AB25" s="256">
        <v>2610300.9699999993</v>
      </c>
      <c r="AC25" s="256">
        <v>935</v>
      </c>
      <c r="AD25" s="256">
        <v>4051290.4199999995</v>
      </c>
      <c r="AE25" s="256">
        <v>68</v>
      </c>
    </row>
    <row r="26" spans="1:31">
      <c r="A26" s="394">
        <v>2013</v>
      </c>
      <c r="B26" s="395" t="s">
        <v>153</v>
      </c>
      <c r="C26" s="75"/>
      <c r="D26" s="76">
        <v>22356782.100000001</v>
      </c>
      <c r="E26" s="76"/>
      <c r="F26" s="400">
        <v>13658643.549999999</v>
      </c>
      <c r="G26" s="77">
        <v>14097</v>
      </c>
      <c r="H26" s="76">
        <f t="shared" si="0"/>
        <v>2643156.3000000003</v>
      </c>
      <c r="I26" s="77">
        <f t="shared" si="1"/>
        <v>934</v>
      </c>
      <c r="J26" s="78">
        <f t="shared" si="2"/>
        <v>4368314.95</v>
      </c>
      <c r="K26" s="401">
        <v>10972.59</v>
      </c>
      <c r="L26" s="77">
        <f t="shared" si="3"/>
        <v>68</v>
      </c>
      <c r="M26" s="76">
        <v>9720</v>
      </c>
      <c r="N26" s="402">
        <v>26</v>
      </c>
      <c r="O26" s="77">
        <v>171</v>
      </c>
      <c r="P26" s="78">
        <v>163761.22</v>
      </c>
      <c r="Q26" s="403">
        <v>377.33000000000004</v>
      </c>
      <c r="R26" s="77">
        <v>2842</v>
      </c>
      <c r="S26" s="78">
        <v>39552</v>
      </c>
      <c r="T26" s="401"/>
      <c r="U26" s="77">
        <v>78</v>
      </c>
      <c r="V26" s="78">
        <v>87472.500000000015</v>
      </c>
      <c r="W26" s="401">
        <v>213.3</v>
      </c>
      <c r="X26" s="77">
        <v>1</v>
      </c>
      <c r="Z26" s="256">
        <v>7521.7200000000012</v>
      </c>
      <c r="AA26" s="53">
        <v>1</v>
      </c>
      <c r="AB26" s="256">
        <v>2650678.0200000005</v>
      </c>
      <c r="AC26" s="256">
        <v>935</v>
      </c>
      <c r="AD26" s="256">
        <v>4360793.2300000004</v>
      </c>
      <c r="AE26" s="256">
        <v>67</v>
      </c>
    </row>
    <row r="27" spans="1:31">
      <c r="A27" s="394">
        <v>2013</v>
      </c>
      <c r="B27" s="395" t="s">
        <v>154</v>
      </c>
      <c r="C27" s="75"/>
      <c r="D27" s="76">
        <v>19424576.5</v>
      </c>
      <c r="E27" s="76"/>
      <c r="F27" s="400">
        <v>11413794.570000019</v>
      </c>
      <c r="G27" s="77">
        <v>14105</v>
      </c>
      <c r="H27" s="76">
        <f t="shared" si="0"/>
        <v>2385241.92</v>
      </c>
      <c r="I27" s="77">
        <f t="shared" si="1"/>
        <v>933</v>
      </c>
      <c r="J27" s="78">
        <f t="shared" si="2"/>
        <v>4086209.4499999997</v>
      </c>
      <c r="K27" s="401">
        <v>11161.570000000002</v>
      </c>
      <c r="L27" s="77">
        <f t="shared" si="3"/>
        <v>68</v>
      </c>
      <c r="M27" s="76">
        <v>9720</v>
      </c>
      <c r="N27" s="402">
        <v>26</v>
      </c>
      <c r="O27" s="77">
        <v>171</v>
      </c>
      <c r="P27" s="78">
        <v>118969.2</v>
      </c>
      <c r="Q27" s="403">
        <v>377.68</v>
      </c>
      <c r="R27" s="77">
        <v>2849</v>
      </c>
      <c r="S27" s="78">
        <v>39552</v>
      </c>
      <c r="T27" s="401"/>
      <c r="U27" s="77">
        <v>78</v>
      </c>
      <c r="V27" s="78">
        <v>76967.400000000009</v>
      </c>
      <c r="W27" s="401">
        <v>179.1</v>
      </c>
      <c r="X27" s="77">
        <v>1</v>
      </c>
      <c r="Z27" s="256">
        <v>6818.64</v>
      </c>
      <c r="AA27" s="53">
        <v>1</v>
      </c>
      <c r="AB27" s="256">
        <v>2392060.56</v>
      </c>
      <c r="AC27" s="256">
        <v>934</v>
      </c>
      <c r="AD27" s="256">
        <v>4079390.8099999996</v>
      </c>
      <c r="AE27" s="256">
        <v>67</v>
      </c>
    </row>
    <row r="28" spans="1:31">
      <c r="A28" s="394">
        <v>2013</v>
      </c>
      <c r="B28" s="395" t="s">
        <v>155</v>
      </c>
      <c r="C28" s="75"/>
      <c r="D28" s="76">
        <v>17840112.599999998</v>
      </c>
      <c r="E28" s="76"/>
      <c r="F28" s="400">
        <v>9908770.409999989</v>
      </c>
      <c r="G28" s="77">
        <v>14135</v>
      </c>
      <c r="H28" s="76">
        <f t="shared" si="0"/>
        <v>2342927.5900000012</v>
      </c>
      <c r="I28" s="77">
        <f t="shared" si="1"/>
        <v>935</v>
      </c>
      <c r="J28" s="78">
        <f t="shared" si="2"/>
        <v>4227974.0199999996</v>
      </c>
      <c r="K28" s="401">
        <v>12216.479999999998</v>
      </c>
      <c r="L28" s="77">
        <f t="shared" si="3"/>
        <v>68</v>
      </c>
      <c r="M28" s="76">
        <v>9720</v>
      </c>
      <c r="N28" s="402">
        <v>26</v>
      </c>
      <c r="O28" s="77">
        <v>170</v>
      </c>
      <c r="P28" s="78">
        <v>122934.84000000001</v>
      </c>
      <c r="Q28" s="403">
        <v>377.68</v>
      </c>
      <c r="R28" s="77">
        <v>2849</v>
      </c>
      <c r="S28" s="78">
        <v>39552</v>
      </c>
      <c r="T28" s="401"/>
      <c r="U28" s="77">
        <v>78</v>
      </c>
      <c r="V28" s="78">
        <v>68069.400000000009</v>
      </c>
      <c r="W28" s="401">
        <v>186.3</v>
      </c>
      <c r="X28" s="77">
        <v>1</v>
      </c>
      <c r="Z28" s="256">
        <v>8595.9599999999991</v>
      </c>
      <c r="AA28" s="53">
        <v>1</v>
      </c>
      <c r="AB28" s="256">
        <v>2351523.5500000012</v>
      </c>
      <c r="AC28" s="256">
        <v>936</v>
      </c>
      <c r="AD28" s="256">
        <v>4219378.0599999996</v>
      </c>
      <c r="AE28" s="256">
        <v>67</v>
      </c>
    </row>
    <row r="29" spans="1:31">
      <c r="A29" s="394">
        <v>2013</v>
      </c>
      <c r="B29" s="395" t="s">
        <v>156</v>
      </c>
      <c r="C29" s="75"/>
      <c r="D29" s="76">
        <v>18666406.800000001</v>
      </c>
      <c r="E29" s="76"/>
      <c r="F29" s="400">
        <v>10745932.569999987</v>
      </c>
      <c r="G29" s="77">
        <v>14157</v>
      </c>
      <c r="H29" s="76">
        <f t="shared" si="0"/>
        <v>2392285.6299999994</v>
      </c>
      <c r="I29" s="77">
        <f t="shared" si="1"/>
        <v>945</v>
      </c>
      <c r="J29" s="78">
        <f t="shared" si="2"/>
        <v>4173131.3000000012</v>
      </c>
      <c r="K29" s="401">
        <v>12772.380000000001</v>
      </c>
      <c r="L29" s="77">
        <f t="shared" si="3"/>
        <v>69</v>
      </c>
      <c r="M29" s="76">
        <v>9360</v>
      </c>
      <c r="N29" s="402">
        <v>26</v>
      </c>
      <c r="O29" s="77">
        <v>166</v>
      </c>
      <c r="P29" s="78">
        <v>118969.2</v>
      </c>
      <c r="Q29" s="403">
        <v>377.68</v>
      </c>
      <c r="R29" s="77">
        <v>2849</v>
      </c>
      <c r="S29" s="78">
        <v>39552</v>
      </c>
      <c r="T29" s="401"/>
      <c r="U29" s="77">
        <v>78</v>
      </c>
      <c r="V29" s="78">
        <v>76503.000000000029</v>
      </c>
      <c r="W29" s="401">
        <v>234</v>
      </c>
      <c r="X29" s="77">
        <v>1</v>
      </c>
      <c r="Z29" s="256">
        <v>8903.64</v>
      </c>
      <c r="AA29" s="53">
        <v>1</v>
      </c>
      <c r="AB29" s="256">
        <v>2401189.2699999996</v>
      </c>
      <c r="AC29" s="256">
        <v>946</v>
      </c>
      <c r="AD29" s="256">
        <v>4164227.6600000011</v>
      </c>
      <c r="AE29" s="256">
        <v>68</v>
      </c>
    </row>
    <row r="30" spans="1:31">
      <c r="A30" s="394">
        <v>2013</v>
      </c>
      <c r="B30" s="395" t="s">
        <v>157</v>
      </c>
      <c r="C30" s="75"/>
      <c r="D30" s="76">
        <v>22033173.100000001</v>
      </c>
      <c r="E30" s="76"/>
      <c r="F30" s="400">
        <v>13194978.410000006</v>
      </c>
      <c r="G30" s="77">
        <v>14183</v>
      </c>
      <c r="H30" s="76">
        <f t="shared" si="0"/>
        <v>2700234.1700000004</v>
      </c>
      <c r="I30" s="77">
        <f t="shared" si="1"/>
        <v>957</v>
      </c>
      <c r="J30" s="78">
        <f t="shared" si="2"/>
        <v>4386956.18</v>
      </c>
      <c r="K30" s="401">
        <v>13224.199999999997</v>
      </c>
      <c r="L30" s="77">
        <f t="shared" si="3"/>
        <v>66</v>
      </c>
      <c r="M30" s="76">
        <v>9360</v>
      </c>
      <c r="N30" s="402">
        <v>26</v>
      </c>
      <c r="O30" s="77">
        <v>166</v>
      </c>
      <c r="P30" s="78">
        <v>87810.599999999991</v>
      </c>
      <c r="Q30" s="403">
        <v>377.68</v>
      </c>
      <c r="R30" s="77">
        <v>2849</v>
      </c>
      <c r="S30" s="78">
        <v>39552</v>
      </c>
      <c r="T30" s="401"/>
      <c r="U30" s="77">
        <v>78</v>
      </c>
      <c r="V30" s="78">
        <v>93858</v>
      </c>
      <c r="W30" s="401">
        <v>253.2</v>
      </c>
      <c r="X30" s="77">
        <v>1</v>
      </c>
      <c r="Z30" s="256">
        <v>7779.24</v>
      </c>
      <c r="AA30" s="53">
        <v>1</v>
      </c>
      <c r="AB30" s="256">
        <v>2708013.4100000006</v>
      </c>
      <c r="AC30" s="256">
        <v>958</v>
      </c>
      <c r="AD30" s="256">
        <v>4379176.9399999995</v>
      </c>
      <c r="AE30" s="256">
        <v>65</v>
      </c>
    </row>
    <row r="31" spans="1:31">
      <c r="A31" s="394">
        <v>2013</v>
      </c>
      <c r="B31" s="395" t="s">
        <v>158</v>
      </c>
      <c r="C31" s="75"/>
      <c r="D31" s="76">
        <v>20162331.399999999</v>
      </c>
      <c r="E31" s="76"/>
      <c r="F31" s="400">
        <v>11618041.539999992</v>
      </c>
      <c r="G31" s="77">
        <v>14221</v>
      </c>
      <c r="H31" s="76">
        <f t="shared" si="0"/>
        <v>2585215.5099999993</v>
      </c>
      <c r="I31" s="77">
        <f t="shared" si="1"/>
        <v>956</v>
      </c>
      <c r="J31" s="78">
        <f t="shared" si="2"/>
        <v>4332757.9499999993</v>
      </c>
      <c r="K31" s="401">
        <v>12454.880000000003</v>
      </c>
      <c r="L31" s="77">
        <f t="shared" si="3"/>
        <v>66</v>
      </c>
      <c r="M31" s="76">
        <v>9360</v>
      </c>
      <c r="N31" s="402">
        <v>26</v>
      </c>
      <c r="O31" s="77">
        <v>166</v>
      </c>
      <c r="P31" s="78">
        <v>87810.599999999991</v>
      </c>
      <c r="Q31" s="403">
        <v>377.68</v>
      </c>
      <c r="R31" s="77">
        <v>2849</v>
      </c>
      <c r="S31" s="78">
        <v>39552</v>
      </c>
      <c r="T31" s="401"/>
      <c r="U31" s="77">
        <v>77</v>
      </c>
      <c r="V31" s="78">
        <v>83007.60000000002</v>
      </c>
      <c r="W31" s="401">
        <v>226.2</v>
      </c>
      <c r="X31" s="77">
        <v>1</v>
      </c>
      <c r="Z31" s="256">
        <v>2781.96</v>
      </c>
      <c r="AA31" s="53">
        <v>1</v>
      </c>
      <c r="AB31" s="256">
        <v>2587997.4699999993</v>
      </c>
      <c r="AC31" s="256">
        <v>957</v>
      </c>
      <c r="AD31" s="256">
        <v>4329975.9899999993</v>
      </c>
      <c r="AE31" s="256">
        <v>65</v>
      </c>
    </row>
    <row r="32" spans="1:31">
      <c r="A32" s="394">
        <v>2013</v>
      </c>
      <c r="B32" s="395" t="s">
        <v>159</v>
      </c>
      <c r="C32" s="75"/>
      <c r="D32" s="76">
        <v>17834215.399999999</v>
      </c>
      <c r="E32" s="76"/>
      <c r="F32" s="400">
        <v>9963918.8999999948</v>
      </c>
      <c r="G32" s="77">
        <v>14235</v>
      </c>
      <c r="H32" s="76">
        <f t="shared" si="0"/>
        <v>2353265.3000000003</v>
      </c>
      <c r="I32" s="77">
        <f t="shared" si="1"/>
        <v>958</v>
      </c>
      <c r="J32" s="78">
        <f t="shared" si="2"/>
        <v>4163139.2100000009</v>
      </c>
      <c r="K32" s="401">
        <v>12367.88</v>
      </c>
      <c r="L32" s="77">
        <f t="shared" si="3"/>
        <v>66</v>
      </c>
      <c r="M32" s="76">
        <v>9360</v>
      </c>
      <c r="N32" s="402">
        <v>25</v>
      </c>
      <c r="O32" s="77">
        <v>166</v>
      </c>
      <c r="P32" s="78">
        <v>84978</v>
      </c>
      <c r="Q32" s="403">
        <v>377.68</v>
      </c>
      <c r="R32" s="77">
        <v>2849</v>
      </c>
      <c r="S32" s="78">
        <v>39552</v>
      </c>
      <c r="T32" s="401"/>
      <c r="U32" s="77">
        <v>77</v>
      </c>
      <c r="V32" s="78">
        <v>68198.400000000009</v>
      </c>
      <c r="W32" s="401">
        <v>224.4</v>
      </c>
      <c r="X32" s="77">
        <v>1</v>
      </c>
      <c r="Z32" s="256">
        <v>2367.2399999999998</v>
      </c>
      <c r="AA32" s="53">
        <v>1</v>
      </c>
      <c r="AB32" s="256">
        <v>2355632.5400000005</v>
      </c>
      <c r="AC32" s="256">
        <v>959</v>
      </c>
      <c r="AD32" s="256">
        <v>4160771.9700000007</v>
      </c>
      <c r="AE32" s="256">
        <v>65</v>
      </c>
    </row>
    <row r="33" spans="1:31">
      <c r="A33" s="394">
        <v>2013</v>
      </c>
      <c r="B33" s="395" t="s">
        <v>160</v>
      </c>
      <c r="C33" s="75"/>
      <c r="D33" s="76">
        <v>19036509.300000001</v>
      </c>
      <c r="E33" s="76"/>
      <c r="F33" s="400">
        <v>10530982.260000018</v>
      </c>
      <c r="G33" s="77">
        <v>14261</v>
      </c>
      <c r="H33" s="76">
        <f t="shared" si="0"/>
        <v>2561004.6099999994</v>
      </c>
      <c r="I33" s="77">
        <f t="shared" si="1"/>
        <v>961</v>
      </c>
      <c r="J33" s="78">
        <f t="shared" si="2"/>
        <v>4395261.7699999996</v>
      </c>
      <c r="K33" s="401">
        <v>11703.33</v>
      </c>
      <c r="L33" s="77">
        <f t="shared" si="3"/>
        <v>65</v>
      </c>
      <c r="M33" s="76">
        <v>9360</v>
      </c>
      <c r="N33" s="402">
        <v>25</v>
      </c>
      <c r="O33" s="77">
        <v>166</v>
      </c>
      <c r="P33" s="78">
        <v>134642.92000000001</v>
      </c>
      <c r="Q33" s="403">
        <v>377.68</v>
      </c>
      <c r="R33" s="77">
        <v>2849</v>
      </c>
      <c r="S33" s="78">
        <v>39358</v>
      </c>
      <c r="T33" s="401"/>
      <c r="U33" s="77">
        <v>77</v>
      </c>
      <c r="V33" s="78">
        <v>67698.600000000006</v>
      </c>
      <c r="W33" s="401">
        <v>158.69999999999999</v>
      </c>
      <c r="X33" s="77">
        <v>1</v>
      </c>
      <c r="Z33" s="256">
        <v>7822.5599999999995</v>
      </c>
      <c r="AA33" s="53">
        <v>1</v>
      </c>
      <c r="AB33" s="256">
        <v>2568827.1699999995</v>
      </c>
      <c r="AC33" s="256">
        <v>962</v>
      </c>
      <c r="AD33" s="256">
        <v>4387439.21</v>
      </c>
      <c r="AE33" s="256">
        <v>64</v>
      </c>
    </row>
    <row r="34" spans="1:31">
      <c r="A34" s="394">
        <v>2013</v>
      </c>
      <c r="B34" s="395" t="s">
        <v>161</v>
      </c>
      <c r="C34" s="75"/>
      <c r="D34" s="76">
        <v>21552244.500000004</v>
      </c>
      <c r="E34" s="76"/>
      <c r="F34" s="400">
        <v>12862995.02999997</v>
      </c>
      <c r="G34" s="77">
        <v>14303</v>
      </c>
      <c r="H34" s="76">
        <f t="shared" si="0"/>
        <v>2681931.15</v>
      </c>
      <c r="I34" s="77">
        <f t="shared" si="1"/>
        <v>965</v>
      </c>
      <c r="J34" s="78">
        <f t="shared" si="2"/>
        <v>4198977.8599999994</v>
      </c>
      <c r="K34" s="401">
        <v>11208.190000000002</v>
      </c>
      <c r="L34" s="77">
        <f t="shared" si="3"/>
        <v>65</v>
      </c>
      <c r="M34" s="76">
        <v>9360</v>
      </c>
      <c r="N34" s="402">
        <v>25</v>
      </c>
      <c r="O34" s="77">
        <v>167</v>
      </c>
      <c r="P34" s="78">
        <v>130037.4</v>
      </c>
      <c r="Q34" s="403">
        <v>376.92</v>
      </c>
      <c r="R34" s="77">
        <v>2844</v>
      </c>
      <c r="S34" s="78">
        <v>39358</v>
      </c>
      <c r="T34" s="401"/>
      <c r="U34" s="77">
        <v>77</v>
      </c>
      <c r="V34" s="78">
        <v>81177.000000000015</v>
      </c>
      <c r="W34" s="401">
        <v>202.2</v>
      </c>
      <c r="X34" s="77">
        <v>1</v>
      </c>
      <c r="Z34" s="256">
        <v>8999.16</v>
      </c>
      <c r="AA34" s="53">
        <v>1</v>
      </c>
      <c r="AB34" s="256">
        <v>2690930.31</v>
      </c>
      <c r="AC34" s="256">
        <v>966</v>
      </c>
      <c r="AD34" s="256">
        <v>4189978.6999999997</v>
      </c>
      <c r="AE34" s="256">
        <v>64</v>
      </c>
    </row>
    <row r="35" spans="1:31">
      <c r="A35" s="394">
        <v>2013</v>
      </c>
      <c r="B35" s="395" t="s">
        <v>162</v>
      </c>
      <c r="C35" s="75"/>
      <c r="D35" s="76">
        <v>25671928.999999996</v>
      </c>
      <c r="E35" s="76"/>
      <c r="F35" s="400">
        <v>16392535.519999994</v>
      </c>
      <c r="G35" s="77">
        <v>14317</v>
      </c>
      <c r="H35" s="76">
        <f t="shared" si="0"/>
        <v>2955968.3600000003</v>
      </c>
      <c r="I35" s="77">
        <f t="shared" si="1"/>
        <v>969</v>
      </c>
      <c r="J35" s="78">
        <f t="shared" si="2"/>
        <v>4277821.5999999987</v>
      </c>
      <c r="K35" s="401">
        <v>10940.090000000002</v>
      </c>
      <c r="L35" s="77">
        <f t="shared" si="3"/>
        <v>65</v>
      </c>
      <c r="M35" s="76">
        <v>9000</v>
      </c>
      <c r="N35" s="402">
        <v>24.45</v>
      </c>
      <c r="O35" s="77">
        <v>167</v>
      </c>
      <c r="P35" s="78">
        <v>134371.98000000001</v>
      </c>
      <c r="Q35" s="403">
        <v>376.92</v>
      </c>
      <c r="R35" s="77">
        <v>2844</v>
      </c>
      <c r="S35" s="78">
        <v>39358</v>
      </c>
      <c r="T35" s="401"/>
      <c r="U35" s="77">
        <v>77</v>
      </c>
      <c r="V35" s="78">
        <v>100974.89999999997</v>
      </c>
      <c r="W35" s="401">
        <v>228</v>
      </c>
      <c r="X35" s="77">
        <v>1</v>
      </c>
      <c r="Z35" s="256">
        <v>8669.2800000000007</v>
      </c>
      <c r="AA35" s="53">
        <v>1</v>
      </c>
      <c r="AB35" s="256">
        <v>2964637.64</v>
      </c>
      <c r="AC35" s="256">
        <v>970</v>
      </c>
      <c r="AD35" s="256">
        <v>4269152.3199999984</v>
      </c>
      <c r="AE35" s="256">
        <v>64</v>
      </c>
    </row>
    <row r="36" spans="1:31">
      <c r="A36" s="394">
        <v>2014</v>
      </c>
      <c r="B36" s="395" t="s">
        <v>151</v>
      </c>
      <c r="C36" s="75"/>
      <c r="D36" s="72">
        <v>27344318.300000001</v>
      </c>
      <c r="E36" s="72"/>
      <c r="F36" s="396">
        <v>17458574.669999991</v>
      </c>
      <c r="G36" s="73">
        <v>14372</v>
      </c>
      <c r="H36" s="72">
        <f t="shared" si="0"/>
        <v>3153248.2600000002</v>
      </c>
      <c r="I36" s="73">
        <f t="shared" si="1"/>
        <v>967</v>
      </c>
      <c r="J36" s="74">
        <f t="shared" si="2"/>
        <v>4505022.8599999994</v>
      </c>
      <c r="K36" s="397">
        <v>10909.249999999998</v>
      </c>
      <c r="L36" s="73">
        <f t="shared" si="3"/>
        <v>66</v>
      </c>
      <c r="M36" s="72">
        <v>9360</v>
      </c>
      <c r="N36" s="398">
        <v>25.18888888888889</v>
      </c>
      <c r="O36" s="73">
        <v>167</v>
      </c>
      <c r="P36" s="74">
        <v>163404.35999999999</v>
      </c>
      <c r="Q36" s="399">
        <v>376.92</v>
      </c>
      <c r="R36" s="73">
        <v>2844</v>
      </c>
      <c r="S36" s="74">
        <v>39358</v>
      </c>
      <c r="T36" s="397"/>
      <c r="U36" s="73">
        <v>78</v>
      </c>
      <c r="V36" s="74">
        <v>102066.29999999999</v>
      </c>
      <c r="W36" s="397">
        <v>225</v>
      </c>
      <c r="X36" s="73">
        <v>1</v>
      </c>
      <c r="Z36" s="256">
        <v>6379.5599999999995</v>
      </c>
      <c r="AA36" s="53">
        <v>1</v>
      </c>
      <c r="AB36" s="256">
        <v>3159627.8200000003</v>
      </c>
      <c r="AC36" s="256">
        <v>968</v>
      </c>
      <c r="AD36" s="256">
        <v>4498643.3</v>
      </c>
      <c r="AE36" s="256">
        <v>65</v>
      </c>
    </row>
    <row r="37" spans="1:31">
      <c r="A37" s="394">
        <v>2014</v>
      </c>
      <c r="B37" s="395" t="s">
        <v>152</v>
      </c>
      <c r="C37" s="75"/>
      <c r="D37" s="76">
        <v>23698938.399999999</v>
      </c>
      <c r="E37" s="76"/>
      <c r="F37" s="400">
        <v>14953913.299999995</v>
      </c>
      <c r="G37" s="77">
        <v>14388</v>
      </c>
      <c r="H37" s="76">
        <f t="shared" si="0"/>
        <v>2805381.2400000007</v>
      </c>
      <c r="I37" s="77">
        <f t="shared" si="1"/>
        <v>970</v>
      </c>
      <c r="J37" s="78">
        <f t="shared" si="2"/>
        <v>4039409.98</v>
      </c>
      <c r="K37" s="401">
        <v>10601.359999999997</v>
      </c>
      <c r="L37" s="77">
        <f t="shared" si="3"/>
        <v>66</v>
      </c>
      <c r="M37" s="76">
        <v>9360</v>
      </c>
      <c r="N37" s="402">
        <v>24.622222222222224</v>
      </c>
      <c r="O37" s="77">
        <v>167</v>
      </c>
      <c r="P37" s="78">
        <v>149288.16</v>
      </c>
      <c r="Q37" s="403">
        <v>381.49</v>
      </c>
      <c r="R37" s="77">
        <v>2909</v>
      </c>
      <c r="S37" s="78">
        <v>39358</v>
      </c>
      <c r="T37" s="401"/>
      <c r="U37" s="77">
        <v>77</v>
      </c>
      <c r="V37" s="78">
        <v>86667.599999999991</v>
      </c>
      <c r="W37" s="401">
        <v>208.8</v>
      </c>
      <c r="X37" s="77">
        <v>1</v>
      </c>
      <c r="Z37" s="256">
        <v>7649.88</v>
      </c>
      <c r="AA37" s="53">
        <v>1</v>
      </c>
      <c r="AB37" s="256">
        <v>2813031.1200000006</v>
      </c>
      <c r="AC37" s="256">
        <v>971</v>
      </c>
      <c r="AD37" s="256">
        <v>4031760.1</v>
      </c>
      <c r="AE37" s="256">
        <v>65</v>
      </c>
    </row>
    <row r="38" spans="1:31">
      <c r="A38" s="394">
        <v>2014</v>
      </c>
      <c r="B38" s="395" t="s">
        <v>153</v>
      </c>
      <c r="C38" s="75"/>
      <c r="D38" s="76">
        <v>24427814.699999999</v>
      </c>
      <c r="E38" s="76"/>
      <c r="F38" s="400">
        <v>15273156.520000011</v>
      </c>
      <c r="G38" s="77">
        <v>14406</v>
      </c>
      <c r="H38" s="76">
        <f t="shared" si="0"/>
        <v>2898675.5099999979</v>
      </c>
      <c r="I38" s="77">
        <f t="shared" si="1"/>
        <v>971</v>
      </c>
      <c r="J38" s="78">
        <f t="shared" si="2"/>
        <v>4383776.4100000011</v>
      </c>
      <c r="K38" s="401">
        <v>10035.210000000003</v>
      </c>
      <c r="L38" s="77">
        <f t="shared" si="3"/>
        <v>66</v>
      </c>
      <c r="M38" s="76">
        <v>9360</v>
      </c>
      <c r="N38" s="402">
        <v>23.937166666666663</v>
      </c>
      <c r="O38" s="77">
        <v>168</v>
      </c>
      <c r="P38" s="78">
        <v>165566.66</v>
      </c>
      <c r="Q38" s="403">
        <v>381.49</v>
      </c>
      <c r="R38" s="77">
        <v>2909</v>
      </c>
      <c r="S38" s="78">
        <v>39358</v>
      </c>
      <c r="T38" s="401"/>
      <c r="U38" s="77">
        <v>76</v>
      </c>
      <c r="V38" s="78">
        <v>90634.2</v>
      </c>
      <c r="W38" s="401">
        <v>192</v>
      </c>
      <c r="X38" s="77">
        <v>1</v>
      </c>
      <c r="Z38" s="256">
        <v>7390.2</v>
      </c>
      <c r="AA38" s="53">
        <v>1</v>
      </c>
      <c r="AB38" s="256">
        <v>2906065.7099999981</v>
      </c>
      <c r="AC38" s="256">
        <v>972</v>
      </c>
      <c r="AD38" s="256">
        <v>4376386.2100000009</v>
      </c>
      <c r="AE38" s="256">
        <v>65</v>
      </c>
    </row>
    <row r="39" spans="1:31">
      <c r="A39" s="394">
        <v>2014</v>
      </c>
      <c r="B39" s="395" t="s">
        <v>154</v>
      </c>
      <c r="C39" s="75"/>
      <c r="D39" s="76">
        <v>19352180.899999999</v>
      </c>
      <c r="E39" s="76"/>
      <c r="F39" s="400">
        <v>11590520.300000006</v>
      </c>
      <c r="G39" s="77">
        <v>14439</v>
      </c>
      <c r="H39" s="76">
        <f t="shared" si="0"/>
        <v>2374409.0499999998</v>
      </c>
      <c r="I39" s="77">
        <f t="shared" si="1"/>
        <v>972</v>
      </c>
      <c r="J39" s="78">
        <f t="shared" si="2"/>
        <v>4010977.94</v>
      </c>
      <c r="K39" s="401">
        <v>10470.549999999999</v>
      </c>
      <c r="L39" s="77">
        <f t="shared" si="3"/>
        <v>66</v>
      </c>
      <c r="M39" s="76">
        <v>9360</v>
      </c>
      <c r="N39" s="402">
        <v>25.355277777777776</v>
      </c>
      <c r="O39" s="77">
        <v>168</v>
      </c>
      <c r="P39" s="78">
        <v>120168.36</v>
      </c>
      <c r="Q39" s="403">
        <v>381.49</v>
      </c>
      <c r="R39" s="77">
        <v>2909</v>
      </c>
      <c r="S39" s="78">
        <v>39179</v>
      </c>
      <c r="T39" s="401"/>
      <c r="U39" s="77">
        <v>76</v>
      </c>
      <c r="V39" s="78">
        <v>75561.599999999991</v>
      </c>
      <c r="W39" s="401">
        <v>162</v>
      </c>
      <c r="X39" s="77">
        <v>1</v>
      </c>
      <c r="Z39" s="256">
        <v>6942.84</v>
      </c>
      <c r="AA39" s="53">
        <v>1</v>
      </c>
      <c r="AB39" s="256">
        <v>2381351.8899999997</v>
      </c>
      <c r="AC39" s="256">
        <v>973</v>
      </c>
      <c r="AD39" s="256">
        <v>4004035.1</v>
      </c>
      <c r="AE39" s="256">
        <v>65</v>
      </c>
    </row>
    <row r="40" spans="1:31">
      <c r="A40" s="394">
        <v>2014</v>
      </c>
      <c r="B40" s="395" t="s">
        <v>155</v>
      </c>
      <c r="C40" s="75"/>
      <c r="D40" s="76">
        <v>17549445.199999999</v>
      </c>
      <c r="E40" s="76"/>
      <c r="F40" s="400">
        <v>9824464.5199999977</v>
      </c>
      <c r="G40" s="77">
        <v>14461</v>
      </c>
      <c r="H40" s="76">
        <f t="shared" si="0"/>
        <v>2337432.6700000009</v>
      </c>
      <c r="I40" s="77">
        <f t="shared" si="1"/>
        <v>969</v>
      </c>
      <c r="J40" s="78">
        <f t="shared" si="2"/>
        <v>4144849.5100000002</v>
      </c>
      <c r="K40" s="401">
        <v>11928.310000000001</v>
      </c>
      <c r="L40" s="77">
        <f t="shared" si="3"/>
        <v>66</v>
      </c>
      <c r="M40" s="76">
        <v>9360</v>
      </c>
      <c r="N40" s="402">
        <v>25.261222222222223</v>
      </c>
      <c r="O40" s="77">
        <v>168</v>
      </c>
      <c r="P40" s="78">
        <v>124163.27</v>
      </c>
      <c r="Q40" s="403">
        <v>381.49</v>
      </c>
      <c r="R40" s="77">
        <v>2909</v>
      </c>
      <c r="S40" s="78">
        <v>38591</v>
      </c>
      <c r="T40" s="401"/>
      <c r="U40" s="77">
        <v>75</v>
      </c>
      <c r="V40" s="78">
        <v>66645.599999999991</v>
      </c>
      <c r="W40" s="401">
        <v>151.5</v>
      </c>
      <c r="X40" s="77">
        <v>1</v>
      </c>
      <c r="Z40" s="256">
        <v>7733.64</v>
      </c>
      <c r="AA40" s="53">
        <v>1</v>
      </c>
      <c r="AB40" s="256">
        <v>2345166.310000001</v>
      </c>
      <c r="AC40" s="256">
        <v>970</v>
      </c>
      <c r="AD40" s="256">
        <v>4137115.87</v>
      </c>
      <c r="AE40" s="256">
        <v>65</v>
      </c>
    </row>
    <row r="41" spans="1:31">
      <c r="A41" s="394">
        <v>2014</v>
      </c>
      <c r="B41" s="395" t="s">
        <v>156</v>
      </c>
      <c r="C41" s="75"/>
      <c r="D41" s="76">
        <v>18258424.300000001</v>
      </c>
      <c r="E41" s="76"/>
      <c r="F41" s="400">
        <v>10531368.579999998</v>
      </c>
      <c r="G41" s="77">
        <v>14474</v>
      </c>
      <c r="H41" s="76">
        <f t="shared" si="0"/>
        <v>2420156.7300000004</v>
      </c>
      <c r="I41" s="77">
        <f t="shared" si="1"/>
        <v>973</v>
      </c>
      <c r="J41" s="78">
        <f t="shared" si="2"/>
        <v>3978042.4000000004</v>
      </c>
      <c r="K41" s="401">
        <v>12447.609999999999</v>
      </c>
      <c r="L41" s="77">
        <f t="shared" si="3"/>
        <v>67</v>
      </c>
      <c r="M41" s="76">
        <v>9360</v>
      </c>
      <c r="N41" s="402">
        <v>25.715555555555557</v>
      </c>
      <c r="O41" s="77">
        <v>173</v>
      </c>
      <c r="P41" s="78">
        <v>120157.98</v>
      </c>
      <c r="Q41" s="403">
        <v>381.49</v>
      </c>
      <c r="R41" s="77">
        <v>2909</v>
      </c>
      <c r="S41" s="78">
        <v>38591</v>
      </c>
      <c r="T41" s="401"/>
      <c r="U41" s="77">
        <v>75</v>
      </c>
      <c r="V41" s="78">
        <v>77756.700000000012</v>
      </c>
      <c r="W41" s="401">
        <v>206.7</v>
      </c>
      <c r="X41" s="77">
        <v>1</v>
      </c>
      <c r="Z41" s="256">
        <v>7855.08</v>
      </c>
      <c r="AA41" s="53">
        <v>1</v>
      </c>
      <c r="AB41" s="256">
        <v>2428011.8100000005</v>
      </c>
      <c r="AC41" s="256">
        <v>974</v>
      </c>
      <c r="AD41" s="256">
        <v>3970187.3200000003</v>
      </c>
      <c r="AE41" s="256">
        <v>66</v>
      </c>
    </row>
    <row r="42" spans="1:31">
      <c r="A42" s="394">
        <v>2014</v>
      </c>
      <c r="B42" s="395" t="s">
        <v>157</v>
      </c>
      <c r="C42" s="75"/>
      <c r="D42" s="76">
        <v>19452973.100000001</v>
      </c>
      <c r="E42" s="76"/>
      <c r="F42" s="400">
        <v>11468451.439999999</v>
      </c>
      <c r="G42" s="77">
        <v>14507</v>
      </c>
      <c r="H42" s="76">
        <f t="shared" si="0"/>
        <v>2553436.6199999996</v>
      </c>
      <c r="I42" s="77">
        <f t="shared" si="1"/>
        <v>1011</v>
      </c>
      <c r="J42" s="78">
        <f t="shared" si="2"/>
        <v>4178975.87</v>
      </c>
      <c r="K42" s="401">
        <v>11079.460000000001</v>
      </c>
      <c r="L42" s="77">
        <f t="shared" si="3"/>
        <v>68</v>
      </c>
      <c r="M42" s="76">
        <v>9360</v>
      </c>
      <c r="N42" s="402">
        <v>25.098388888888888</v>
      </c>
      <c r="O42" s="77">
        <v>173</v>
      </c>
      <c r="P42" s="78">
        <v>88688.03</v>
      </c>
      <c r="Q42" s="403">
        <v>381.49</v>
      </c>
      <c r="R42" s="77">
        <v>2909</v>
      </c>
      <c r="S42" s="78">
        <v>38591</v>
      </c>
      <c r="T42" s="401"/>
      <c r="U42" s="77">
        <v>75</v>
      </c>
      <c r="V42" s="78">
        <v>85046.099999999991</v>
      </c>
      <c r="W42" s="401">
        <v>239.7</v>
      </c>
      <c r="X42" s="77">
        <v>1</v>
      </c>
      <c r="Z42" s="256">
        <v>7555.2</v>
      </c>
      <c r="AA42" s="53">
        <v>1</v>
      </c>
      <c r="AB42" s="256">
        <v>2560991.8199999998</v>
      </c>
      <c r="AC42" s="256">
        <v>1012</v>
      </c>
      <c r="AD42" s="256">
        <v>4171420.67</v>
      </c>
      <c r="AE42" s="256">
        <v>67</v>
      </c>
    </row>
    <row r="43" spans="1:31">
      <c r="A43" s="394">
        <v>2014</v>
      </c>
      <c r="B43" s="395" t="s">
        <v>158</v>
      </c>
      <c r="C43" s="75"/>
      <c r="D43" s="76">
        <v>19828414.199999999</v>
      </c>
      <c r="E43" s="76"/>
      <c r="F43" s="400">
        <v>11526185.09</v>
      </c>
      <c r="G43" s="77">
        <v>14539</v>
      </c>
      <c r="H43" s="76">
        <f t="shared" si="0"/>
        <v>2556544.56</v>
      </c>
      <c r="I43" s="77">
        <f t="shared" si="1"/>
        <v>1020</v>
      </c>
      <c r="J43" s="78">
        <f t="shared" si="2"/>
        <v>4197802.7699999996</v>
      </c>
      <c r="K43" s="401">
        <v>11624.08</v>
      </c>
      <c r="L43" s="77">
        <f t="shared" si="3"/>
        <v>68</v>
      </c>
      <c r="M43" s="76">
        <v>9360</v>
      </c>
      <c r="N43" s="402">
        <v>25.169055555555556</v>
      </c>
      <c r="O43" s="77">
        <v>173</v>
      </c>
      <c r="P43" s="78">
        <v>88688.03</v>
      </c>
      <c r="Q43" s="403">
        <v>381.49</v>
      </c>
      <c r="R43" s="77">
        <v>2909</v>
      </c>
      <c r="S43" s="78">
        <v>38591</v>
      </c>
      <c r="T43" s="401"/>
      <c r="U43" s="77">
        <v>75</v>
      </c>
      <c r="V43" s="78">
        <v>83767.8</v>
      </c>
      <c r="W43" s="401">
        <v>198.9</v>
      </c>
      <c r="X43" s="77">
        <v>1</v>
      </c>
      <c r="Z43" s="256">
        <v>3414.36</v>
      </c>
      <c r="AA43" s="53">
        <v>1</v>
      </c>
      <c r="AB43" s="256">
        <v>2559958.92</v>
      </c>
      <c r="AC43" s="256">
        <v>1021</v>
      </c>
      <c r="AD43" s="256">
        <v>4194388.4099999992</v>
      </c>
      <c r="AE43" s="256">
        <v>67</v>
      </c>
    </row>
    <row r="44" spans="1:31">
      <c r="A44" s="394">
        <v>2014</v>
      </c>
      <c r="B44" s="395" t="s">
        <v>159</v>
      </c>
      <c r="C44" s="75"/>
      <c r="D44" s="76">
        <v>17976813.599999998</v>
      </c>
      <c r="E44" s="76"/>
      <c r="F44" s="400">
        <v>9963228.7100000009</v>
      </c>
      <c r="G44" s="77">
        <v>14566</v>
      </c>
      <c r="H44" s="76">
        <f t="shared" si="0"/>
        <v>2427762.06</v>
      </c>
      <c r="I44" s="77">
        <f t="shared" si="1"/>
        <v>1013</v>
      </c>
      <c r="J44" s="78">
        <f t="shared" si="2"/>
        <v>4262079.9000000004</v>
      </c>
      <c r="K44" s="401">
        <v>12620.519999999999</v>
      </c>
      <c r="L44" s="77">
        <f t="shared" si="3"/>
        <v>68</v>
      </c>
      <c r="M44" s="76">
        <v>9000</v>
      </c>
      <c r="N44" s="402">
        <v>25.150555555555556</v>
      </c>
      <c r="O44" s="77">
        <v>169</v>
      </c>
      <c r="P44" s="78">
        <v>86170.43</v>
      </c>
      <c r="Q44" s="403">
        <v>384.35</v>
      </c>
      <c r="R44" s="77">
        <v>2933</v>
      </c>
      <c r="S44" s="78">
        <v>38591</v>
      </c>
      <c r="T44" s="401"/>
      <c r="U44" s="77">
        <v>75</v>
      </c>
      <c r="V44" s="78">
        <v>69294.899999999994</v>
      </c>
      <c r="W44" s="401">
        <v>207.6</v>
      </c>
      <c r="X44" s="77">
        <v>1</v>
      </c>
      <c r="Z44" s="256">
        <v>3684.6</v>
      </c>
      <c r="AA44" s="53">
        <v>1</v>
      </c>
      <c r="AB44" s="256">
        <v>2431446.66</v>
      </c>
      <c r="AC44" s="256">
        <v>1014</v>
      </c>
      <c r="AD44" s="256">
        <v>4258395.3000000007</v>
      </c>
      <c r="AE44" s="256">
        <v>67</v>
      </c>
    </row>
    <row r="45" spans="1:31">
      <c r="A45" s="394">
        <v>2014</v>
      </c>
      <c r="B45" s="395" t="s">
        <v>160</v>
      </c>
      <c r="C45" s="75"/>
      <c r="D45" s="76">
        <v>19058731</v>
      </c>
      <c r="E45" s="76"/>
      <c r="F45" s="400">
        <v>10537248.670000002</v>
      </c>
      <c r="G45" s="77">
        <v>14612</v>
      </c>
      <c r="H45" s="76">
        <f t="shared" si="0"/>
        <v>2707143.6399999997</v>
      </c>
      <c r="I45" s="77">
        <f t="shared" si="1"/>
        <v>1008</v>
      </c>
      <c r="J45" s="78">
        <f t="shared" si="2"/>
        <v>4264555.2600000007</v>
      </c>
      <c r="K45" s="401">
        <v>11380.189999999999</v>
      </c>
      <c r="L45" s="77">
        <f t="shared" si="3"/>
        <v>67</v>
      </c>
      <c r="M45" s="76">
        <v>9000</v>
      </c>
      <c r="N45" s="402">
        <v>25.206055555555558</v>
      </c>
      <c r="O45" s="77">
        <v>169</v>
      </c>
      <c r="P45" s="78">
        <v>137362.14000000001</v>
      </c>
      <c r="Q45" s="403">
        <v>385.47</v>
      </c>
      <c r="R45" s="77">
        <v>2954</v>
      </c>
      <c r="S45" s="78">
        <v>38591</v>
      </c>
      <c r="T45" s="401"/>
      <c r="U45" s="77">
        <v>75</v>
      </c>
      <c r="V45" s="78">
        <v>69278.399999999994</v>
      </c>
      <c r="W45" s="401">
        <v>178.2</v>
      </c>
      <c r="X45" s="77">
        <v>1</v>
      </c>
      <c r="Z45" s="256">
        <v>8419.32</v>
      </c>
      <c r="AA45" s="53">
        <v>1</v>
      </c>
      <c r="AB45" s="256">
        <v>2715562.9599999995</v>
      </c>
      <c r="AC45" s="256">
        <v>1009</v>
      </c>
      <c r="AD45" s="256">
        <v>4256135.9400000004</v>
      </c>
      <c r="AE45" s="256">
        <v>66</v>
      </c>
    </row>
    <row r="46" spans="1:31">
      <c r="A46" s="394">
        <v>2014</v>
      </c>
      <c r="B46" s="395" t="s">
        <v>161</v>
      </c>
      <c r="C46" s="75"/>
      <c r="D46" s="76">
        <v>22053998.800000001</v>
      </c>
      <c r="E46" s="76"/>
      <c r="F46" s="400">
        <v>12897988.010000002</v>
      </c>
      <c r="G46" s="77">
        <v>14647</v>
      </c>
      <c r="H46" s="76">
        <f t="shared" si="0"/>
        <v>2929442.350000001</v>
      </c>
      <c r="I46" s="77">
        <f t="shared" si="1"/>
        <v>1003</v>
      </c>
      <c r="J46" s="78">
        <f t="shared" si="2"/>
        <v>4528761.07</v>
      </c>
      <c r="K46" s="401">
        <v>11388.43</v>
      </c>
      <c r="L46" s="77">
        <f t="shared" si="3"/>
        <v>69</v>
      </c>
      <c r="M46" s="76">
        <v>9000</v>
      </c>
      <c r="N46" s="402">
        <v>24.789055555555553</v>
      </c>
      <c r="O46" s="77">
        <v>169</v>
      </c>
      <c r="P46" s="78">
        <v>133436.99000000002</v>
      </c>
      <c r="Q46" s="403">
        <v>388.12</v>
      </c>
      <c r="R46" s="77">
        <v>2988</v>
      </c>
      <c r="S46" s="78">
        <v>38591</v>
      </c>
      <c r="T46" s="401"/>
      <c r="U46" s="77">
        <v>75</v>
      </c>
      <c r="V46" s="78">
        <v>81054.899999999994</v>
      </c>
      <c r="W46" s="401">
        <v>192.3</v>
      </c>
      <c r="X46" s="77">
        <v>1</v>
      </c>
      <c r="Z46" s="256">
        <v>8987.8799999999992</v>
      </c>
      <c r="AA46" s="53">
        <v>1</v>
      </c>
      <c r="AB46" s="256">
        <v>2938430.2300000009</v>
      </c>
      <c r="AC46" s="256">
        <v>1004</v>
      </c>
      <c r="AD46" s="256">
        <v>4519773.1900000004</v>
      </c>
      <c r="AE46" s="256">
        <v>68</v>
      </c>
    </row>
    <row r="47" spans="1:31">
      <c r="A47" s="394">
        <v>2014</v>
      </c>
      <c r="B47" s="395" t="s">
        <v>162</v>
      </c>
      <c r="C47" s="75"/>
      <c r="D47" s="76">
        <v>24252933.800000001</v>
      </c>
      <c r="E47" s="76"/>
      <c r="F47" s="400">
        <v>14811790.470000001</v>
      </c>
      <c r="G47" s="77">
        <v>14699</v>
      </c>
      <c r="H47" s="76">
        <f t="shared" si="0"/>
        <v>3054678.8699999996</v>
      </c>
      <c r="I47" s="77">
        <f t="shared" si="1"/>
        <v>1006</v>
      </c>
      <c r="J47" s="78">
        <f t="shared" si="2"/>
        <v>4440473.6999999993</v>
      </c>
      <c r="K47" s="401">
        <v>11099.24</v>
      </c>
      <c r="L47" s="77">
        <f t="shared" si="3"/>
        <v>69</v>
      </c>
      <c r="M47" s="76">
        <v>8802</v>
      </c>
      <c r="N47" s="402">
        <v>25.549055555555555</v>
      </c>
      <c r="O47" s="77">
        <v>169</v>
      </c>
      <c r="P47" s="78">
        <v>138353.33000000002</v>
      </c>
      <c r="Q47" s="403">
        <v>388.12</v>
      </c>
      <c r="R47" s="77">
        <v>2998</v>
      </c>
      <c r="S47" s="78">
        <v>38591</v>
      </c>
      <c r="T47" s="401"/>
      <c r="U47" s="77">
        <v>75</v>
      </c>
      <c r="V47" s="78">
        <v>93389.1</v>
      </c>
      <c r="W47" s="401">
        <v>214.8</v>
      </c>
      <c r="X47" s="77">
        <v>1</v>
      </c>
      <c r="Z47" s="256">
        <v>8957.8799999999992</v>
      </c>
      <c r="AA47" s="53">
        <v>1</v>
      </c>
      <c r="AB47" s="256">
        <v>3063636.7499999995</v>
      </c>
      <c r="AC47" s="256">
        <v>1007</v>
      </c>
      <c r="AD47" s="256">
        <v>4431515.8199999994</v>
      </c>
      <c r="AE47" s="256">
        <v>68</v>
      </c>
    </row>
    <row r="48" spans="1:31">
      <c r="A48" s="394">
        <v>2015</v>
      </c>
      <c r="B48" s="395" t="s">
        <v>151</v>
      </c>
      <c r="C48" s="75"/>
      <c r="D48" s="72">
        <v>26957597.760000002</v>
      </c>
      <c r="E48" s="72"/>
      <c r="F48" s="396">
        <v>16887081.620000001</v>
      </c>
      <c r="G48" s="73">
        <v>14727</v>
      </c>
      <c r="H48" s="72">
        <f t="shared" si="0"/>
        <v>3336529.4700000011</v>
      </c>
      <c r="I48" s="73">
        <f t="shared" si="1"/>
        <v>996</v>
      </c>
      <c r="J48" s="74">
        <f t="shared" si="2"/>
        <v>4684234.0699999994</v>
      </c>
      <c r="K48" s="397">
        <v>11058.2</v>
      </c>
      <c r="L48" s="73">
        <f t="shared" si="3"/>
        <v>69</v>
      </c>
      <c r="M48" s="72">
        <v>9068</v>
      </c>
      <c r="N48" s="398">
        <v>25.169055555555556</v>
      </c>
      <c r="O48" s="73">
        <v>169</v>
      </c>
      <c r="P48" s="74">
        <v>168430.19</v>
      </c>
      <c r="Q48" s="399">
        <v>388.12</v>
      </c>
      <c r="R48" s="73">
        <v>2998</v>
      </c>
      <c r="S48" s="74">
        <v>38591</v>
      </c>
      <c r="T48" s="397"/>
      <c r="U48" s="73">
        <v>76</v>
      </c>
      <c r="V48" s="74">
        <v>101733.6</v>
      </c>
      <c r="W48" s="397">
        <v>212.4</v>
      </c>
      <c r="X48" s="73">
        <v>1</v>
      </c>
      <c r="Z48" s="256">
        <v>7456.5599999999995</v>
      </c>
      <c r="AA48" s="53">
        <v>1</v>
      </c>
      <c r="AB48" s="256">
        <v>3343986.0300000012</v>
      </c>
      <c r="AC48" s="256">
        <v>997</v>
      </c>
      <c r="AD48" s="256">
        <v>4676777.51</v>
      </c>
      <c r="AE48" s="256">
        <v>68</v>
      </c>
    </row>
    <row r="49" spans="1:31">
      <c r="A49" s="394">
        <v>2015</v>
      </c>
      <c r="B49" s="395" t="s">
        <v>152</v>
      </c>
      <c r="C49" s="75"/>
      <c r="D49" s="76">
        <v>25654360.289999999</v>
      </c>
      <c r="E49" s="76"/>
      <c r="F49" s="400">
        <v>16254328.729999995</v>
      </c>
      <c r="G49" s="77">
        <v>14735</v>
      </c>
      <c r="H49" s="76">
        <f t="shared" si="0"/>
        <v>3096044.73</v>
      </c>
      <c r="I49" s="77">
        <f t="shared" si="1"/>
        <v>997</v>
      </c>
      <c r="J49" s="78">
        <f t="shared" si="2"/>
        <v>4378587.8899999997</v>
      </c>
      <c r="K49" s="401">
        <v>11376.59</v>
      </c>
      <c r="L49" s="77">
        <f t="shared" si="3"/>
        <v>69</v>
      </c>
      <c r="M49" s="76">
        <v>8864</v>
      </c>
      <c r="N49" s="402">
        <v>25.099055555555555</v>
      </c>
      <c r="O49" s="77">
        <v>169</v>
      </c>
      <c r="P49" s="78">
        <v>152130.5</v>
      </c>
      <c r="Q49" s="403">
        <v>388.12</v>
      </c>
      <c r="R49" s="77">
        <v>2998</v>
      </c>
      <c r="S49" s="78">
        <v>38591</v>
      </c>
      <c r="T49" s="401"/>
      <c r="U49" s="77">
        <v>76</v>
      </c>
      <c r="V49" s="78">
        <v>94774.799999999974</v>
      </c>
      <c r="W49" s="401">
        <v>225.9</v>
      </c>
      <c r="X49" s="77">
        <v>1</v>
      </c>
      <c r="Z49" s="256">
        <v>9176.52</v>
      </c>
      <c r="AA49" s="53">
        <v>1</v>
      </c>
      <c r="AB49" s="256">
        <v>3105221.25</v>
      </c>
      <c r="AC49" s="256">
        <v>998</v>
      </c>
      <c r="AD49" s="256">
        <v>4369411.37</v>
      </c>
      <c r="AE49" s="256">
        <v>68</v>
      </c>
    </row>
    <row r="50" spans="1:31">
      <c r="A50" s="394">
        <v>2015</v>
      </c>
      <c r="B50" s="395" t="s">
        <v>153</v>
      </c>
      <c r="C50" s="75"/>
      <c r="D50" s="76">
        <v>23473380.280000001</v>
      </c>
      <c r="E50" s="76"/>
      <c r="F50" s="400">
        <v>14288215.249999996</v>
      </c>
      <c r="G50" s="77">
        <v>14759</v>
      </c>
      <c r="H50" s="76">
        <f t="shared" si="0"/>
        <v>3013030.7499999995</v>
      </c>
      <c r="I50" s="77">
        <f t="shared" si="1"/>
        <v>997</v>
      </c>
      <c r="J50" s="78">
        <f t="shared" si="2"/>
        <v>4569897.8100000005</v>
      </c>
      <c r="K50" s="401">
        <v>10852.010000000002</v>
      </c>
      <c r="L50" s="77">
        <f t="shared" si="3"/>
        <v>69</v>
      </c>
      <c r="M50" s="76">
        <v>8617.3799999999992</v>
      </c>
      <c r="N50" s="402">
        <v>24.642388888888888</v>
      </c>
      <c r="O50" s="77">
        <v>167</v>
      </c>
      <c r="P50" s="78">
        <v>169116.34</v>
      </c>
      <c r="Q50" s="403">
        <v>390</v>
      </c>
      <c r="R50" s="77">
        <v>3024</v>
      </c>
      <c r="S50" s="78">
        <v>38591</v>
      </c>
      <c r="T50" s="401"/>
      <c r="U50" s="77">
        <v>76</v>
      </c>
      <c r="V50" s="78">
        <v>85453.500000000015</v>
      </c>
      <c r="W50" s="401">
        <v>188.4</v>
      </c>
      <c r="X50" s="77">
        <v>1</v>
      </c>
      <c r="Z50" s="256">
        <v>8881.44</v>
      </c>
      <c r="AA50" s="53">
        <v>1</v>
      </c>
      <c r="AB50" s="256">
        <v>3021912.1899999995</v>
      </c>
      <c r="AC50" s="256">
        <v>998</v>
      </c>
      <c r="AD50" s="256">
        <v>4561016.37</v>
      </c>
      <c r="AE50" s="256">
        <v>68</v>
      </c>
    </row>
    <row r="51" spans="1:31">
      <c r="A51" s="394">
        <v>2015</v>
      </c>
      <c r="B51" s="395" t="s">
        <v>154</v>
      </c>
      <c r="C51" s="75"/>
      <c r="D51" s="76">
        <v>18844476.52</v>
      </c>
      <c r="E51" s="76"/>
      <c r="F51" s="400">
        <v>10949403.15</v>
      </c>
      <c r="G51" s="77">
        <v>14776</v>
      </c>
      <c r="H51" s="76">
        <f t="shared" si="0"/>
        <v>2610594.3300000005</v>
      </c>
      <c r="I51" s="77">
        <f t="shared" si="1"/>
        <v>996</v>
      </c>
      <c r="J51" s="78">
        <f t="shared" si="2"/>
        <v>4067548.4099999992</v>
      </c>
      <c r="K51" s="401">
        <v>10192.770000000002</v>
      </c>
      <c r="L51" s="77">
        <f t="shared" si="3"/>
        <v>70</v>
      </c>
      <c r="M51" s="76">
        <v>9127.9</v>
      </c>
      <c r="N51" s="402">
        <v>24.484055555555557</v>
      </c>
      <c r="O51" s="77">
        <v>167</v>
      </c>
      <c r="P51" s="78">
        <v>122841.48</v>
      </c>
      <c r="Q51" s="403">
        <v>390</v>
      </c>
      <c r="R51" s="77">
        <v>3024</v>
      </c>
      <c r="S51" s="78">
        <v>38591</v>
      </c>
      <c r="T51" s="401"/>
      <c r="U51" s="77">
        <v>76</v>
      </c>
      <c r="V51" s="78">
        <v>68837.700000000012</v>
      </c>
      <c r="W51" s="401">
        <v>164.1</v>
      </c>
      <c r="X51" s="77">
        <v>1</v>
      </c>
      <c r="Z51" s="256">
        <v>8285.76</v>
      </c>
      <c r="AA51" s="53">
        <v>1</v>
      </c>
      <c r="AB51" s="256">
        <v>2618880.0900000003</v>
      </c>
      <c r="AC51" s="256">
        <v>997</v>
      </c>
      <c r="AD51" s="256">
        <v>4059262.6499999994</v>
      </c>
      <c r="AE51" s="256">
        <v>69</v>
      </c>
    </row>
    <row r="52" spans="1:31">
      <c r="A52" s="394">
        <v>2015</v>
      </c>
      <c r="B52" s="395" t="s">
        <v>155</v>
      </c>
      <c r="C52" s="75"/>
      <c r="D52" s="76">
        <v>18113892.379999999</v>
      </c>
      <c r="E52" s="76"/>
      <c r="F52" s="400">
        <v>9994057.9899999984</v>
      </c>
      <c r="G52" s="77">
        <v>14789</v>
      </c>
      <c r="H52" s="76">
        <f t="shared" si="0"/>
        <v>2682384.1799999988</v>
      </c>
      <c r="I52" s="77">
        <f t="shared" si="1"/>
        <v>996</v>
      </c>
      <c r="J52" s="78">
        <f t="shared" si="2"/>
        <v>4257329.2699999996</v>
      </c>
      <c r="K52" s="401">
        <v>11910.1</v>
      </c>
      <c r="L52" s="77">
        <f t="shared" si="3"/>
        <v>70</v>
      </c>
      <c r="M52" s="76">
        <v>9094.0400000000009</v>
      </c>
      <c r="N52" s="402">
        <v>24.33838888888889</v>
      </c>
      <c r="O52" s="77">
        <v>165</v>
      </c>
      <c r="P52" s="78">
        <v>126936.21</v>
      </c>
      <c r="Q52" s="403">
        <v>390</v>
      </c>
      <c r="R52" s="77">
        <v>3024</v>
      </c>
      <c r="S52" s="78">
        <v>38591</v>
      </c>
      <c r="T52" s="401"/>
      <c r="U52" s="77">
        <v>76</v>
      </c>
      <c r="V52" s="78">
        <v>67979.7</v>
      </c>
      <c r="W52" s="401">
        <v>206.1</v>
      </c>
      <c r="X52" s="77">
        <v>1</v>
      </c>
      <c r="Z52" s="256">
        <v>8726.52</v>
      </c>
      <c r="AA52" s="53">
        <v>1</v>
      </c>
      <c r="AB52" s="256">
        <v>2691110.6999999988</v>
      </c>
      <c r="AC52" s="256">
        <v>997</v>
      </c>
      <c r="AD52" s="256">
        <v>4248602.75</v>
      </c>
      <c r="AE52" s="256">
        <v>69</v>
      </c>
    </row>
    <row r="53" spans="1:31">
      <c r="A53" s="394">
        <v>2015</v>
      </c>
      <c r="B53" s="395" t="s">
        <v>156</v>
      </c>
      <c r="C53" s="75"/>
      <c r="D53" s="76">
        <v>18210408.52</v>
      </c>
      <c r="E53" s="76"/>
      <c r="F53" s="400">
        <v>9911587.6800000016</v>
      </c>
      <c r="G53" s="77">
        <v>14816</v>
      </c>
      <c r="H53" s="76">
        <f t="shared" si="0"/>
        <v>2623226.87</v>
      </c>
      <c r="I53" s="77">
        <f t="shared" si="1"/>
        <v>996</v>
      </c>
      <c r="J53" s="78">
        <f t="shared" si="2"/>
        <v>4535260.7800000012</v>
      </c>
      <c r="K53" s="401">
        <v>12294.829999999994</v>
      </c>
      <c r="L53" s="77">
        <f t="shared" si="3"/>
        <v>70</v>
      </c>
      <c r="M53" s="76">
        <v>9257.6</v>
      </c>
      <c r="N53" s="402">
        <v>24.283888888888892</v>
      </c>
      <c r="O53" s="77">
        <v>165</v>
      </c>
      <c r="P53" s="78">
        <v>42149.82</v>
      </c>
      <c r="Q53" s="403">
        <v>133.81</v>
      </c>
      <c r="R53" s="77">
        <v>2811</v>
      </c>
      <c r="S53" s="78">
        <v>38591</v>
      </c>
      <c r="T53" s="401"/>
      <c r="U53" s="77">
        <v>76</v>
      </c>
      <c r="V53" s="78">
        <v>74177.700000000012</v>
      </c>
      <c r="W53" s="401">
        <v>180.9</v>
      </c>
      <c r="X53" s="77">
        <v>1</v>
      </c>
      <c r="Z53" s="256">
        <v>7707.12</v>
      </c>
      <c r="AA53" s="53">
        <v>1</v>
      </c>
      <c r="AB53" s="256">
        <v>2630933.9900000002</v>
      </c>
      <c r="AC53" s="256">
        <v>997</v>
      </c>
      <c r="AD53" s="256">
        <v>4527553.6600000011</v>
      </c>
      <c r="AE53" s="256">
        <v>69</v>
      </c>
    </row>
    <row r="54" spans="1:31">
      <c r="A54" s="394">
        <v>2015</v>
      </c>
      <c r="B54" s="395" t="s">
        <v>157</v>
      </c>
      <c r="C54" s="75"/>
      <c r="D54" s="76">
        <v>21783993.609999999</v>
      </c>
      <c r="E54" s="76"/>
      <c r="F54" s="400">
        <v>12845552.580000002</v>
      </c>
      <c r="G54" s="77">
        <v>14814</v>
      </c>
      <c r="H54" s="76">
        <f t="shared" si="0"/>
        <v>2860785.07</v>
      </c>
      <c r="I54" s="77">
        <f t="shared" si="1"/>
        <v>995</v>
      </c>
      <c r="J54" s="78">
        <f t="shared" si="2"/>
        <v>4670617.5300000012</v>
      </c>
      <c r="K54" s="401">
        <v>12483.339999999998</v>
      </c>
      <c r="L54" s="77">
        <f t="shared" si="3"/>
        <v>71</v>
      </c>
      <c r="M54" s="76">
        <v>9035.42</v>
      </c>
      <c r="N54" s="402">
        <v>15.981055555555557</v>
      </c>
      <c r="O54" s="77">
        <v>163</v>
      </c>
      <c r="P54" s="78">
        <v>31110.58</v>
      </c>
      <c r="Q54" s="403">
        <v>133.81</v>
      </c>
      <c r="R54" s="77">
        <v>2811</v>
      </c>
      <c r="S54" s="78">
        <v>38591</v>
      </c>
      <c r="T54" s="401"/>
      <c r="U54" s="77">
        <v>76</v>
      </c>
      <c r="V54" s="78">
        <v>91574.700000000026</v>
      </c>
      <c r="W54" s="401">
        <v>242.7</v>
      </c>
      <c r="X54" s="77">
        <v>1</v>
      </c>
      <c r="Z54" s="256">
        <v>7321.32</v>
      </c>
      <c r="AA54" s="53">
        <v>1</v>
      </c>
      <c r="AB54" s="256">
        <v>2868106.3899999997</v>
      </c>
      <c r="AC54" s="256">
        <v>996</v>
      </c>
      <c r="AD54" s="256">
        <v>4663296.2100000009</v>
      </c>
      <c r="AE54" s="256">
        <v>70</v>
      </c>
    </row>
    <row r="55" spans="1:31">
      <c r="A55" s="394">
        <v>2015</v>
      </c>
      <c r="B55" s="395" t="s">
        <v>158</v>
      </c>
      <c r="C55" s="75"/>
      <c r="D55" s="76">
        <v>20815474.270000003</v>
      </c>
      <c r="E55" s="76"/>
      <c r="F55" s="400">
        <v>11995504.099999998</v>
      </c>
      <c r="G55" s="77">
        <v>14895</v>
      </c>
      <c r="H55" s="76">
        <f t="shared" si="0"/>
        <v>2726624.7899999996</v>
      </c>
      <c r="I55" s="77">
        <f t="shared" si="1"/>
        <v>1002</v>
      </c>
      <c r="J55" s="78">
        <f t="shared" si="2"/>
        <v>4724258.9000000004</v>
      </c>
      <c r="K55" s="401">
        <v>12553.739999999998</v>
      </c>
      <c r="L55" s="77">
        <f t="shared" si="3"/>
        <v>72</v>
      </c>
      <c r="M55" s="76">
        <v>9060.86</v>
      </c>
      <c r="N55" s="402">
        <v>24.389055555555554</v>
      </c>
      <c r="O55" s="77">
        <v>163</v>
      </c>
      <c r="P55" s="78">
        <v>31110.58</v>
      </c>
      <c r="Q55" s="403">
        <v>133.81</v>
      </c>
      <c r="R55" s="77">
        <v>2811</v>
      </c>
      <c r="S55" s="78">
        <v>38591</v>
      </c>
      <c r="T55" s="401"/>
      <c r="U55" s="77">
        <v>76</v>
      </c>
      <c r="V55" s="78">
        <v>82798.500000000029</v>
      </c>
      <c r="W55" s="401">
        <v>228.3</v>
      </c>
      <c r="X55" s="77">
        <v>1</v>
      </c>
      <c r="Z55" s="256">
        <v>2645.76</v>
      </c>
      <c r="AA55" s="53">
        <v>1</v>
      </c>
      <c r="AB55" s="256">
        <v>2729270.5499999993</v>
      </c>
      <c r="AC55" s="256">
        <v>1003</v>
      </c>
      <c r="AD55" s="256">
        <v>4721613.1400000006</v>
      </c>
      <c r="AE55" s="256">
        <v>71</v>
      </c>
    </row>
    <row r="56" spans="1:31">
      <c r="A56" s="394">
        <v>2015</v>
      </c>
      <c r="B56" s="395" t="s">
        <v>159</v>
      </c>
      <c r="C56" s="75"/>
      <c r="D56" s="76">
        <v>19854447.340000004</v>
      </c>
      <c r="E56" s="76"/>
      <c r="F56" s="400">
        <v>11167691.91</v>
      </c>
      <c r="G56" s="77">
        <v>14926</v>
      </c>
      <c r="H56" s="76">
        <f t="shared" si="0"/>
        <v>2680103.4099999997</v>
      </c>
      <c r="I56" s="77">
        <f t="shared" si="1"/>
        <v>1003</v>
      </c>
      <c r="J56" s="78">
        <f t="shared" si="2"/>
        <v>4694395.99</v>
      </c>
      <c r="K56" s="401">
        <v>13639.96</v>
      </c>
      <c r="L56" s="77">
        <f t="shared" si="3"/>
        <v>75</v>
      </c>
      <c r="M56" s="76">
        <v>9054.2000000000007</v>
      </c>
      <c r="N56" s="402">
        <v>24.601722222222225</v>
      </c>
      <c r="O56" s="77">
        <v>163</v>
      </c>
      <c r="P56" s="78">
        <v>30164.12</v>
      </c>
      <c r="Q56" s="403">
        <v>134.66</v>
      </c>
      <c r="R56" s="77">
        <v>2811</v>
      </c>
      <c r="S56" s="78">
        <v>38591</v>
      </c>
      <c r="T56" s="401"/>
      <c r="U56" s="77">
        <v>76</v>
      </c>
      <c r="V56" s="78">
        <v>79791.3</v>
      </c>
      <c r="W56" s="401">
        <v>251.1</v>
      </c>
      <c r="X56" s="77">
        <v>1</v>
      </c>
      <c r="Z56" s="256">
        <v>2398.6800000000003</v>
      </c>
      <c r="AA56" s="53">
        <v>1</v>
      </c>
      <c r="AB56" s="256">
        <v>2682502.09</v>
      </c>
      <c r="AC56" s="256">
        <v>1004</v>
      </c>
      <c r="AD56" s="256">
        <v>4691997.3100000005</v>
      </c>
      <c r="AE56" s="256">
        <v>74</v>
      </c>
    </row>
    <row r="57" spans="1:31">
      <c r="A57" s="394">
        <v>2015</v>
      </c>
      <c r="B57" s="395" t="s">
        <v>160</v>
      </c>
      <c r="C57" s="75"/>
      <c r="D57" s="76">
        <v>19438981.529999997</v>
      </c>
      <c r="E57" s="76"/>
      <c r="F57" s="400">
        <v>10619664.690000005</v>
      </c>
      <c r="G57" s="77">
        <v>14975</v>
      </c>
      <c r="H57" s="76">
        <f t="shared" si="0"/>
        <v>2655290.7600000007</v>
      </c>
      <c r="I57" s="77">
        <f t="shared" si="1"/>
        <v>999</v>
      </c>
      <c r="J57" s="78">
        <f t="shared" si="2"/>
        <v>4789497.83</v>
      </c>
      <c r="K57" s="401">
        <v>11930.210000000001</v>
      </c>
      <c r="L57" s="77">
        <f t="shared" si="3"/>
        <v>75</v>
      </c>
      <c r="M57" s="76">
        <v>9074.18</v>
      </c>
      <c r="N57" s="402">
        <v>24.496888888888886</v>
      </c>
      <c r="O57" s="77">
        <v>166</v>
      </c>
      <c r="P57" s="78">
        <v>48004.49</v>
      </c>
      <c r="Q57" s="403">
        <v>134.66</v>
      </c>
      <c r="R57" s="77">
        <v>2820</v>
      </c>
      <c r="S57" s="78">
        <v>38591</v>
      </c>
      <c r="T57" s="401"/>
      <c r="U57" s="77">
        <v>76</v>
      </c>
      <c r="V57" s="78">
        <v>68118.599999999991</v>
      </c>
      <c r="W57" s="401">
        <v>155.69999999999999</v>
      </c>
      <c r="X57" s="77">
        <v>1</v>
      </c>
      <c r="Z57" s="256">
        <v>6991.56</v>
      </c>
      <c r="AA57" s="53">
        <v>1</v>
      </c>
      <c r="AB57" s="256">
        <v>2662282.3200000008</v>
      </c>
      <c r="AC57" s="256">
        <v>1000</v>
      </c>
      <c r="AD57" s="256">
        <v>4782506.2700000005</v>
      </c>
      <c r="AE57" s="256">
        <v>74</v>
      </c>
    </row>
    <row r="58" spans="1:31">
      <c r="A58" s="394">
        <v>2015</v>
      </c>
      <c r="B58" s="395" t="s">
        <v>161</v>
      </c>
      <c r="C58" s="75"/>
      <c r="D58" s="76">
        <v>20136180.119999997</v>
      </c>
      <c r="E58" s="76"/>
      <c r="F58" s="400">
        <v>11252634.009999998</v>
      </c>
      <c r="G58" s="77">
        <v>15045</v>
      </c>
      <c r="H58" s="76">
        <f t="shared" si="0"/>
        <v>2625780.9499999993</v>
      </c>
      <c r="I58" s="77">
        <f t="shared" si="1"/>
        <v>1007</v>
      </c>
      <c r="J58" s="78">
        <f t="shared" si="2"/>
        <v>4676678.8399999989</v>
      </c>
      <c r="K58" s="401">
        <v>12565.089999999998</v>
      </c>
      <c r="L58" s="77">
        <f t="shared" si="3"/>
        <v>74</v>
      </c>
      <c r="M58" s="76">
        <v>8924.06</v>
      </c>
      <c r="N58" s="402">
        <v>24.566388888888888</v>
      </c>
      <c r="O58" s="77">
        <v>166</v>
      </c>
      <c r="P58" s="78">
        <v>46455.96</v>
      </c>
      <c r="Q58" s="403">
        <v>134.66</v>
      </c>
      <c r="R58" s="77">
        <v>2820</v>
      </c>
      <c r="S58" s="78">
        <v>38591</v>
      </c>
      <c r="T58" s="401"/>
      <c r="U58" s="77">
        <v>76</v>
      </c>
      <c r="V58" s="78">
        <v>70718.700000000012</v>
      </c>
      <c r="W58" s="401">
        <v>180.9</v>
      </c>
      <c r="X58" s="77">
        <v>1</v>
      </c>
      <c r="Z58" s="256">
        <v>8116.68</v>
      </c>
      <c r="AA58" s="53">
        <v>1</v>
      </c>
      <c r="AB58" s="256">
        <v>2633897.6299999994</v>
      </c>
      <c r="AC58" s="256">
        <v>1008</v>
      </c>
      <c r="AD58" s="256">
        <v>4668562.1599999992</v>
      </c>
      <c r="AE58" s="256">
        <v>73</v>
      </c>
    </row>
    <row r="59" spans="1:31">
      <c r="A59" s="394">
        <v>2015</v>
      </c>
      <c r="B59" s="395" t="s">
        <v>162</v>
      </c>
      <c r="C59" s="75"/>
      <c r="D59" s="76">
        <v>22491790.48</v>
      </c>
      <c r="E59" s="76"/>
      <c r="F59" s="400">
        <v>13146701.210000006</v>
      </c>
      <c r="G59" s="77">
        <v>15082</v>
      </c>
      <c r="H59" s="76">
        <f t="shared" si="0"/>
        <v>2734244.7</v>
      </c>
      <c r="I59" s="77">
        <f t="shared" si="1"/>
        <v>1011</v>
      </c>
      <c r="J59" s="78">
        <f t="shared" si="2"/>
        <v>4797280.2699999996</v>
      </c>
      <c r="K59" s="401">
        <v>11857.96</v>
      </c>
      <c r="L59" s="77">
        <f t="shared" si="3"/>
        <v>74</v>
      </c>
      <c r="M59" s="76">
        <v>9197.66</v>
      </c>
      <c r="N59" s="402">
        <v>24.732222222222223</v>
      </c>
      <c r="O59" s="77">
        <v>166</v>
      </c>
      <c r="P59" s="78">
        <v>48004.49</v>
      </c>
      <c r="Q59" s="403">
        <v>134.66</v>
      </c>
      <c r="R59" s="77">
        <v>2820</v>
      </c>
      <c r="S59" s="78">
        <v>38591</v>
      </c>
      <c r="T59" s="401"/>
      <c r="U59" s="77">
        <v>76</v>
      </c>
      <c r="V59" s="78">
        <v>85583.999999999985</v>
      </c>
      <c r="W59" s="401">
        <v>216.6</v>
      </c>
      <c r="X59" s="77">
        <v>1</v>
      </c>
      <c r="Z59" s="256">
        <v>8056.56</v>
      </c>
      <c r="AA59" s="53">
        <v>1</v>
      </c>
      <c r="AB59" s="256">
        <v>2742301.2600000002</v>
      </c>
      <c r="AC59" s="256">
        <v>1012</v>
      </c>
      <c r="AD59" s="256">
        <v>4789223.71</v>
      </c>
      <c r="AE59" s="256">
        <v>73</v>
      </c>
    </row>
    <row r="60" spans="1:31">
      <c r="A60" s="394">
        <v>2016</v>
      </c>
      <c r="B60" s="395" t="s">
        <v>151</v>
      </c>
      <c r="C60" s="75"/>
      <c r="D60" s="72">
        <v>25159552</v>
      </c>
      <c r="E60" s="72"/>
      <c r="F60" s="396">
        <v>15031945.999999994</v>
      </c>
      <c r="G60" s="73">
        <v>15110</v>
      </c>
      <c r="H60" s="72">
        <f t="shared" si="0"/>
        <v>3031709.6700000004</v>
      </c>
      <c r="I60" s="73">
        <f t="shared" si="1"/>
        <v>1012</v>
      </c>
      <c r="J60" s="74">
        <f t="shared" si="2"/>
        <v>5036306.7599999988</v>
      </c>
      <c r="K60" s="397">
        <v>11858.98</v>
      </c>
      <c r="L60" s="73">
        <f t="shared" si="3"/>
        <v>74</v>
      </c>
      <c r="M60" s="72">
        <v>9060.86</v>
      </c>
      <c r="N60" s="398">
        <v>24.539055555555553</v>
      </c>
      <c r="O60" s="73">
        <v>166</v>
      </c>
      <c r="P60" s="74">
        <v>58440.27</v>
      </c>
      <c r="Q60" s="399">
        <v>134.66</v>
      </c>
      <c r="R60" s="73">
        <v>2835</v>
      </c>
      <c r="S60" s="74">
        <v>38591</v>
      </c>
      <c r="T60" s="397"/>
      <c r="U60" s="73">
        <v>76</v>
      </c>
      <c r="V60" s="74">
        <v>92254.499999999971</v>
      </c>
      <c r="W60" s="397">
        <v>194.4</v>
      </c>
      <c r="X60" s="73">
        <v>1</v>
      </c>
      <c r="Z60" s="256">
        <v>6597.84</v>
      </c>
      <c r="AA60" s="53">
        <v>1</v>
      </c>
      <c r="AB60" s="256">
        <v>3038307.5100000002</v>
      </c>
      <c r="AC60" s="256">
        <v>1013</v>
      </c>
      <c r="AD60" s="256">
        <v>5029708.919999999</v>
      </c>
      <c r="AE60" s="256">
        <v>73</v>
      </c>
    </row>
    <row r="61" spans="1:31">
      <c r="A61" s="394">
        <v>2016</v>
      </c>
      <c r="B61" s="395" t="s">
        <v>152</v>
      </c>
      <c r="C61" s="75"/>
      <c r="D61" s="76">
        <v>23014941</v>
      </c>
      <c r="E61" s="76"/>
      <c r="F61" s="400">
        <v>13742387.869999995</v>
      </c>
      <c r="G61" s="77">
        <v>15125</v>
      </c>
      <c r="H61" s="76">
        <f t="shared" si="0"/>
        <v>2820440.2700000005</v>
      </c>
      <c r="I61" s="77">
        <f t="shared" si="1"/>
        <v>1012</v>
      </c>
      <c r="J61" s="78">
        <f t="shared" si="2"/>
        <v>4757881.12</v>
      </c>
      <c r="K61" s="401">
        <v>11679.230000000003</v>
      </c>
      <c r="L61" s="77">
        <f t="shared" si="3"/>
        <v>74</v>
      </c>
      <c r="M61" s="76">
        <v>9035.66</v>
      </c>
      <c r="N61" s="402">
        <v>24.729055555555554</v>
      </c>
      <c r="O61" s="77">
        <v>166</v>
      </c>
      <c r="P61" s="78">
        <v>54906.11</v>
      </c>
      <c r="Q61" s="403">
        <v>135.86000000000001</v>
      </c>
      <c r="R61" s="77">
        <v>2845</v>
      </c>
      <c r="S61" s="78">
        <v>38591</v>
      </c>
      <c r="T61" s="401"/>
      <c r="U61" s="77">
        <v>76</v>
      </c>
      <c r="V61" s="78">
        <v>82077</v>
      </c>
      <c r="W61" s="401">
        <v>201.3</v>
      </c>
      <c r="X61" s="77">
        <v>1</v>
      </c>
      <c r="Z61" s="256">
        <v>7275.6</v>
      </c>
      <c r="AA61" s="53">
        <v>1</v>
      </c>
      <c r="AB61" s="256">
        <v>2827715.8700000006</v>
      </c>
      <c r="AC61" s="256">
        <v>1013</v>
      </c>
      <c r="AD61" s="256">
        <v>4750605.5200000005</v>
      </c>
      <c r="AE61" s="256">
        <v>73</v>
      </c>
    </row>
    <row r="62" spans="1:31">
      <c r="A62" s="394">
        <v>2016</v>
      </c>
      <c r="B62" s="395" t="s">
        <v>153</v>
      </c>
      <c r="C62" s="75"/>
      <c r="D62" s="76">
        <v>21970551</v>
      </c>
      <c r="E62" s="76"/>
      <c r="F62" s="400">
        <v>12724183.240000002</v>
      </c>
      <c r="G62" s="77">
        <v>15151</v>
      </c>
      <c r="H62" s="76">
        <f t="shared" si="0"/>
        <v>2712570.18</v>
      </c>
      <c r="I62" s="77">
        <f t="shared" si="1"/>
        <v>1017</v>
      </c>
      <c r="J62" s="78">
        <f t="shared" si="2"/>
        <v>4954419.84</v>
      </c>
      <c r="K62" s="401">
        <v>11803.470000000001</v>
      </c>
      <c r="L62" s="77">
        <f t="shared" si="3"/>
        <v>74</v>
      </c>
      <c r="M62" s="76">
        <v>8871.26</v>
      </c>
      <c r="N62" s="402">
        <v>24.733166666666669</v>
      </c>
      <c r="O62" s="77">
        <v>166</v>
      </c>
      <c r="P62" s="78">
        <v>58975.59</v>
      </c>
      <c r="Q62" s="403">
        <v>135.9</v>
      </c>
      <c r="R62" s="77">
        <v>2846</v>
      </c>
      <c r="S62" s="78">
        <v>38591</v>
      </c>
      <c r="T62" s="401"/>
      <c r="U62" s="77">
        <v>76</v>
      </c>
      <c r="V62" s="78">
        <v>77005.199999999983</v>
      </c>
      <c r="W62" s="401">
        <v>171</v>
      </c>
      <c r="X62" s="77">
        <v>1</v>
      </c>
      <c r="Z62" s="256">
        <v>7395</v>
      </c>
      <c r="AA62" s="53">
        <v>1</v>
      </c>
      <c r="AB62" s="256">
        <v>2719965.18</v>
      </c>
      <c r="AC62" s="256">
        <v>1018</v>
      </c>
      <c r="AD62" s="256">
        <v>4947024.84</v>
      </c>
      <c r="AE62" s="256">
        <v>73</v>
      </c>
    </row>
    <row r="63" spans="1:31">
      <c r="A63" s="394">
        <v>2016</v>
      </c>
      <c r="B63" s="395" t="s">
        <v>154</v>
      </c>
      <c r="C63" s="75"/>
      <c r="D63" s="76">
        <v>19763963</v>
      </c>
      <c r="E63" s="76"/>
      <c r="F63" s="400">
        <v>11375899.649999989</v>
      </c>
      <c r="G63" s="77">
        <v>15161</v>
      </c>
      <c r="H63" s="76">
        <f t="shared" si="0"/>
        <v>2588408.9000000008</v>
      </c>
      <c r="I63" s="77">
        <f t="shared" si="1"/>
        <v>1013</v>
      </c>
      <c r="J63" s="78">
        <f t="shared" si="2"/>
        <v>4684402.3099999996</v>
      </c>
      <c r="K63" s="401">
        <v>11989.26</v>
      </c>
      <c r="L63" s="77">
        <f t="shared" si="3"/>
        <v>74</v>
      </c>
      <c r="M63" s="76">
        <v>8814.26</v>
      </c>
      <c r="N63" s="402">
        <v>24.625444444444444</v>
      </c>
      <c r="O63" s="77">
        <v>167</v>
      </c>
      <c r="P63" s="78">
        <v>42839.79</v>
      </c>
      <c r="Q63" s="403">
        <v>136.63</v>
      </c>
      <c r="R63" s="77">
        <v>2856</v>
      </c>
      <c r="S63" s="78">
        <v>38591</v>
      </c>
      <c r="T63" s="401"/>
      <c r="U63" s="77">
        <v>76</v>
      </c>
      <c r="V63" s="78">
        <v>68808.900000000009</v>
      </c>
      <c r="W63" s="401">
        <v>166.8</v>
      </c>
      <c r="X63" s="77">
        <v>1</v>
      </c>
      <c r="Z63" s="256">
        <v>6472.8</v>
      </c>
      <c r="AA63" s="53">
        <v>1</v>
      </c>
      <c r="AB63" s="256">
        <v>2594881.7000000007</v>
      </c>
      <c r="AC63" s="256">
        <v>1014</v>
      </c>
      <c r="AD63" s="256">
        <v>4677929.51</v>
      </c>
      <c r="AE63" s="256">
        <v>73</v>
      </c>
    </row>
    <row r="64" spans="1:31">
      <c r="A64" s="394">
        <v>2016</v>
      </c>
      <c r="B64" s="395" t="s">
        <v>155</v>
      </c>
      <c r="C64" s="75"/>
      <c r="D64" s="76">
        <v>18836973</v>
      </c>
      <c r="E64" s="76"/>
      <c r="F64" s="400">
        <v>10513778.359999998</v>
      </c>
      <c r="G64" s="77">
        <v>15167</v>
      </c>
      <c r="H64" s="76">
        <f t="shared" si="0"/>
        <v>2628295.9099999992</v>
      </c>
      <c r="I64" s="77">
        <f t="shared" si="1"/>
        <v>1019</v>
      </c>
      <c r="J64" s="78">
        <f t="shared" si="2"/>
        <v>4558634.4200000009</v>
      </c>
      <c r="K64" s="401">
        <v>13001.91</v>
      </c>
      <c r="L64" s="77">
        <f t="shared" si="3"/>
        <v>74</v>
      </c>
      <c r="M64" s="76">
        <v>8761.82</v>
      </c>
      <c r="N64" s="402">
        <v>24.598999999999997</v>
      </c>
      <c r="O64" s="77">
        <v>167</v>
      </c>
      <c r="P64" s="78">
        <v>44746.55</v>
      </c>
      <c r="Q64" s="403">
        <v>137.53</v>
      </c>
      <c r="R64" s="77">
        <v>2872</v>
      </c>
      <c r="S64" s="78">
        <v>38591</v>
      </c>
      <c r="T64" s="401"/>
      <c r="U64" s="77">
        <v>75</v>
      </c>
      <c r="V64" s="78">
        <v>68053.5</v>
      </c>
      <c r="W64" s="401">
        <v>212.7</v>
      </c>
      <c r="X64" s="77">
        <v>1</v>
      </c>
      <c r="Z64" s="256">
        <v>7459.0800000000008</v>
      </c>
      <c r="AA64" s="53">
        <v>1</v>
      </c>
      <c r="AB64" s="256">
        <v>2635754.9899999993</v>
      </c>
      <c r="AC64" s="256">
        <v>1020</v>
      </c>
      <c r="AD64" s="256">
        <v>4551175.3400000008</v>
      </c>
      <c r="AE64" s="256">
        <v>73</v>
      </c>
    </row>
    <row r="65" spans="1:31">
      <c r="A65" s="394">
        <v>2016</v>
      </c>
      <c r="B65" s="395" t="s">
        <v>156</v>
      </c>
      <c r="C65" s="75"/>
      <c r="D65" s="76">
        <v>19211234</v>
      </c>
      <c r="E65" s="76"/>
      <c r="F65" s="400">
        <v>11183009.110000005</v>
      </c>
      <c r="G65" s="77">
        <v>15178</v>
      </c>
      <c r="H65" s="76">
        <f t="shared" si="0"/>
        <v>2748162.0099999993</v>
      </c>
      <c r="I65" s="77">
        <f t="shared" si="1"/>
        <v>1016</v>
      </c>
      <c r="J65" s="78">
        <f t="shared" si="2"/>
        <v>4556799.2299999995</v>
      </c>
      <c r="K65" s="401">
        <v>12884.51</v>
      </c>
      <c r="L65" s="77">
        <f t="shared" si="3"/>
        <v>74</v>
      </c>
      <c r="M65" s="76">
        <v>8742.2000000000007</v>
      </c>
      <c r="N65" s="402">
        <v>24.724944444444443</v>
      </c>
      <c r="O65" s="77">
        <v>167</v>
      </c>
      <c r="P65" s="78">
        <v>43321.32</v>
      </c>
      <c r="Q65" s="403">
        <v>137.53</v>
      </c>
      <c r="R65" s="77">
        <v>2872</v>
      </c>
      <c r="S65" s="78">
        <v>38591</v>
      </c>
      <c r="T65" s="401"/>
      <c r="U65" s="77">
        <v>75</v>
      </c>
      <c r="V65" s="78">
        <v>79915.200000000012</v>
      </c>
      <c r="W65" s="401">
        <v>217.2</v>
      </c>
      <c r="X65" s="77">
        <v>1</v>
      </c>
      <c r="Z65" s="256">
        <v>6985.66</v>
      </c>
      <c r="AA65" s="53">
        <v>1</v>
      </c>
      <c r="AB65" s="256">
        <v>2755147.6699999995</v>
      </c>
      <c r="AC65" s="256">
        <v>1017</v>
      </c>
      <c r="AD65" s="256">
        <v>4549813.5699999994</v>
      </c>
      <c r="AE65" s="256">
        <v>73</v>
      </c>
    </row>
    <row r="66" spans="1:31">
      <c r="A66" s="394">
        <v>2016</v>
      </c>
      <c r="B66" s="395" t="s">
        <v>157</v>
      </c>
      <c r="C66" s="75"/>
      <c r="D66" s="76">
        <v>23404500</v>
      </c>
      <c r="E66" s="76"/>
      <c r="F66" s="400">
        <v>14200167.84</v>
      </c>
      <c r="G66" s="77">
        <v>15191</v>
      </c>
      <c r="H66" s="76">
        <f t="shared" si="0"/>
        <v>3017041.13</v>
      </c>
      <c r="I66" s="77">
        <f t="shared" si="1"/>
        <v>1015</v>
      </c>
      <c r="J66" s="78">
        <f t="shared" si="2"/>
        <v>4788144.0100000007</v>
      </c>
      <c r="K66" s="401">
        <v>12508.000000000002</v>
      </c>
      <c r="L66" s="77">
        <f t="shared" si="3"/>
        <v>74</v>
      </c>
      <c r="M66" s="76">
        <v>5753.18</v>
      </c>
      <c r="N66" s="402">
        <v>24.75438888888889</v>
      </c>
      <c r="O66" s="77">
        <v>167</v>
      </c>
      <c r="P66" s="78">
        <v>31975.26</v>
      </c>
      <c r="Q66" s="403">
        <v>137.53</v>
      </c>
      <c r="R66" s="77">
        <v>2872</v>
      </c>
      <c r="S66" s="78">
        <v>38351</v>
      </c>
      <c r="T66" s="401"/>
      <c r="U66" s="77">
        <v>75</v>
      </c>
      <c r="V66" s="78">
        <v>92374.8</v>
      </c>
      <c r="W66" s="401">
        <v>236.7</v>
      </c>
      <c r="X66" s="77">
        <v>1</v>
      </c>
      <c r="Z66" s="256">
        <v>7099.579999999999</v>
      </c>
      <c r="AA66" s="53">
        <v>1</v>
      </c>
      <c r="AB66" s="256">
        <v>3024140.71</v>
      </c>
      <c r="AC66" s="256">
        <v>1016</v>
      </c>
      <c r="AD66" s="256">
        <v>4781044.4300000006</v>
      </c>
      <c r="AE66" s="256">
        <v>73</v>
      </c>
    </row>
    <row r="67" spans="1:31">
      <c r="A67" s="394">
        <v>2016</v>
      </c>
      <c r="B67" s="395" t="s">
        <v>158</v>
      </c>
      <c r="C67" s="75"/>
      <c r="D67" s="76">
        <v>24564804</v>
      </c>
      <c r="E67" s="76"/>
      <c r="F67" s="400">
        <v>14840247.090000009</v>
      </c>
      <c r="G67" s="77">
        <v>15202</v>
      </c>
      <c r="H67" s="76">
        <f t="shared" si="0"/>
        <v>3031445.48</v>
      </c>
      <c r="I67" s="77">
        <f t="shared" si="1"/>
        <v>1012</v>
      </c>
      <c r="J67" s="78">
        <f t="shared" si="2"/>
        <v>5044310.5000000009</v>
      </c>
      <c r="K67" s="401">
        <v>13500.620000000003</v>
      </c>
      <c r="L67" s="77">
        <f t="shared" si="3"/>
        <v>77</v>
      </c>
      <c r="M67" s="76">
        <v>8780.06</v>
      </c>
      <c r="N67" s="402">
        <v>24.634055555555555</v>
      </c>
      <c r="O67" s="77">
        <v>166</v>
      </c>
      <c r="P67" s="78">
        <v>31975.26</v>
      </c>
      <c r="Q67" s="403">
        <v>137.53</v>
      </c>
      <c r="R67" s="77">
        <v>2872</v>
      </c>
      <c r="S67" s="78">
        <v>38351</v>
      </c>
      <c r="T67" s="401"/>
      <c r="U67" s="77">
        <v>75</v>
      </c>
      <c r="V67" s="78">
        <v>95967</v>
      </c>
      <c r="W67" s="401">
        <v>246.6</v>
      </c>
      <c r="X67" s="77">
        <v>1</v>
      </c>
      <c r="Z67" s="256">
        <v>3124.92</v>
      </c>
      <c r="AA67" s="53">
        <v>1</v>
      </c>
      <c r="AB67" s="256">
        <v>3034570.4</v>
      </c>
      <c r="AC67" s="256">
        <v>1013</v>
      </c>
      <c r="AD67" s="256">
        <v>5041185.580000001</v>
      </c>
      <c r="AE67" s="256">
        <v>76</v>
      </c>
    </row>
    <row r="68" spans="1:31">
      <c r="A68" s="394">
        <v>2016</v>
      </c>
      <c r="B68" s="395" t="s">
        <v>159</v>
      </c>
      <c r="C68" s="75"/>
      <c r="D68" s="76">
        <v>19239594</v>
      </c>
      <c r="E68" s="76"/>
      <c r="F68" s="400">
        <v>10645034.670000002</v>
      </c>
      <c r="G68" s="77">
        <v>15234</v>
      </c>
      <c r="H68" s="76">
        <f t="shared" si="0"/>
        <v>2626557.7200000011</v>
      </c>
      <c r="I68" s="77">
        <f t="shared" si="1"/>
        <v>1010</v>
      </c>
      <c r="J68" s="78">
        <f t="shared" si="2"/>
        <v>4758676.38</v>
      </c>
      <c r="K68" s="401">
        <v>13419.58</v>
      </c>
      <c r="L68" s="77">
        <f t="shared" si="3"/>
        <v>78</v>
      </c>
      <c r="M68" s="76">
        <v>8856.6200000000008</v>
      </c>
      <c r="N68" s="402">
        <v>24.62788888888889</v>
      </c>
      <c r="O68" s="77">
        <v>166</v>
      </c>
      <c r="P68" s="78">
        <v>30943.8</v>
      </c>
      <c r="Q68" s="403">
        <v>137.53</v>
      </c>
      <c r="R68" s="77">
        <v>2872</v>
      </c>
      <c r="S68" s="78">
        <v>38351</v>
      </c>
      <c r="T68" s="401"/>
      <c r="U68" s="77">
        <v>75</v>
      </c>
      <c r="V68" s="78">
        <v>70155.599999999991</v>
      </c>
      <c r="W68" s="401">
        <v>222.6</v>
      </c>
      <c r="X68" s="77">
        <v>1</v>
      </c>
      <c r="Z68" s="256">
        <v>3611.76</v>
      </c>
      <c r="AA68" s="53">
        <v>1</v>
      </c>
      <c r="AB68" s="256">
        <v>2630169.4800000009</v>
      </c>
      <c r="AC68" s="256">
        <v>1011</v>
      </c>
      <c r="AD68" s="256">
        <v>4755064.62</v>
      </c>
      <c r="AE68" s="256">
        <v>77</v>
      </c>
    </row>
    <row r="69" spans="1:31">
      <c r="A69" s="394">
        <v>2016</v>
      </c>
      <c r="B69" s="395" t="s">
        <v>160</v>
      </c>
      <c r="C69" s="75"/>
      <c r="D69" s="76">
        <v>19360398</v>
      </c>
      <c r="E69" s="76"/>
      <c r="F69" s="400">
        <v>10289583.510000002</v>
      </c>
      <c r="G69" s="77">
        <v>15274</v>
      </c>
      <c r="H69" s="76">
        <f t="shared" si="0"/>
        <v>2628573.8500000006</v>
      </c>
      <c r="I69" s="77">
        <f t="shared" si="1"/>
        <v>1017</v>
      </c>
      <c r="J69" s="78">
        <f t="shared" si="2"/>
        <v>5014205.7700000005</v>
      </c>
      <c r="K69" s="401">
        <v>13614.850000000006</v>
      </c>
      <c r="L69" s="77">
        <f t="shared" si="3"/>
        <v>78</v>
      </c>
      <c r="M69" s="76">
        <v>8818.8799999999992</v>
      </c>
      <c r="N69" s="402">
        <v>24.069388888888888</v>
      </c>
      <c r="O69" s="77">
        <v>165</v>
      </c>
      <c r="P69" s="78">
        <v>49028.73</v>
      </c>
      <c r="Q69" s="403">
        <v>137.53</v>
      </c>
      <c r="R69" s="77">
        <v>2872</v>
      </c>
      <c r="S69" s="78">
        <v>38351</v>
      </c>
      <c r="T69" s="401"/>
      <c r="U69" s="77">
        <v>75</v>
      </c>
      <c r="V69" s="78">
        <v>64336.200000000004</v>
      </c>
      <c r="W69" s="401">
        <v>147</v>
      </c>
      <c r="X69" s="77">
        <v>1</v>
      </c>
      <c r="Z69" s="256">
        <v>6556.8</v>
      </c>
      <c r="AA69" s="53">
        <v>1</v>
      </c>
      <c r="AB69" s="256">
        <v>2635130.6500000004</v>
      </c>
      <c r="AC69" s="256">
        <v>1018</v>
      </c>
      <c r="AD69" s="256">
        <v>5007648.9700000007</v>
      </c>
      <c r="AE69" s="256">
        <v>77</v>
      </c>
    </row>
    <row r="70" spans="1:31">
      <c r="A70" s="394">
        <v>2016</v>
      </c>
      <c r="B70" s="395" t="s">
        <v>161</v>
      </c>
      <c r="C70" s="75"/>
      <c r="D70" s="76">
        <v>20317470</v>
      </c>
      <c r="E70" s="76"/>
      <c r="F70" s="400">
        <v>11036734.359999996</v>
      </c>
      <c r="G70" s="77">
        <v>15300</v>
      </c>
      <c r="H70" s="76">
        <f t="shared" si="0"/>
        <v>2657189.830000001</v>
      </c>
      <c r="I70" s="77">
        <f t="shared" si="1"/>
        <v>1020</v>
      </c>
      <c r="J70" s="78">
        <f t="shared" si="2"/>
        <v>5106162.6099999994</v>
      </c>
      <c r="K70" s="401">
        <v>12683.34</v>
      </c>
      <c r="L70" s="77">
        <f t="shared" si="3"/>
        <v>78</v>
      </c>
      <c r="M70" s="76">
        <v>8843.9</v>
      </c>
      <c r="N70" s="402">
        <v>24.524055555555556</v>
      </c>
      <c r="O70" s="77">
        <v>165</v>
      </c>
      <c r="P70" s="78">
        <v>47547.9</v>
      </c>
      <c r="Q70" s="403">
        <v>138.4</v>
      </c>
      <c r="R70" s="77">
        <v>2872</v>
      </c>
      <c r="S70" s="78">
        <v>38351</v>
      </c>
      <c r="T70" s="401"/>
      <c r="U70" s="77">
        <v>75</v>
      </c>
      <c r="V70" s="78">
        <v>69149.399999999994</v>
      </c>
      <c r="W70" s="401">
        <v>183.6</v>
      </c>
      <c r="X70" s="77">
        <v>1</v>
      </c>
      <c r="Z70" s="256">
        <v>6553.08</v>
      </c>
      <c r="AA70" s="53">
        <v>1</v>
      </c>
      <c r="AB70" s="256">
        <v>2663742.9100000011</v>
      </c>
      <c r="AC70" s="256">
        <v>1021</v>
      </c>
      <c r="AD70" s="256">
        <v>5099609.5299999993</v>
      </c>
      <c r="AE70" s="256">
        <v>77</v>
      </c>
    </row>
    <row r="71" spans="1:31">
      <c r="A71" s="394">
        <v>2016</v>
      </c>
      <c r="B71" s="395" t="s">
        <v>162</v>
      </c>
      <c r="C71" s="75"/>
      <c r="D71" s="76">
        <v>24538056</v>
      </c>
      <c r="E71" s="76"/>
      <c r="F71" s="400">
        <v>14552944.810000001</v>
      </c>
      <c r="G71" s="77">
        <v>15326</v>
      </c>
      <c r="H71" s="76">
        <f t="shared" si="0"/>
        <v>2991099.4699999997</v>
      </c>
      <c r="I71" s="77">
        <f t="shared" si="1"/>
        <v>1020</v>
      </c>
      <c r="J71" s="78">
        <f t="shared" si="2"/>
        <v>5103673.3299999991</v>
      </c>
      <c r="K71" s="401">
        <v>12248.510000000002</v>
      </c>
      <c r="L71" s="77">
        <f t="shared" si="3"/>
        <v>78</v>
      </c>
      <c r="M71" s="76">
        <v>8903.6</v>
      </c>
      <c r="N71" s="402">
        <v>24.398055555555555</v>
      </c>
      <c r="O71" s="77">
        <v>165</v>
      </c>
      <c r="P71" s="78">
        <v>49341.03</v>
      </c>
      <c r="Q71" s="403">
        <v>138.4</v>
      </c>
      <c r="R71" s="77">
        <v>2872</v>
      </c>
      <c r="S71" s="78">
        <v>38351</v>
      </c>
      <c r="T71" s="401"/>
      <c r="U71" s="77">
        <v>75</v>
      </c>
      <c r="V71" s="78">
        <v>88278.300000000032</v>
      </c>
      <c r="W71" s="401">
        <v>198.3</v>
      </c>
      <c r="X71" s="77">
        <v>1</v>
      </c>
      <c r="Z71" s="256">
        <v>7509.96</v>
      </c>
      <c r="AA71" s="53">
        <v>1</v>
      </c>
      <c r="AB71" s="256">
        <v>2998609.4299999997</v>
      </c>
      <c r="AC71" s="256">
        <v>1021</v>
      </c>
      <c r="AD71" s="256">
        <v>5096163.3699999992</v>
      </c>
      <c r="AE71" s="256">
        <v>77</v>
      </c>
    </row>
    <row r="72" spans="1:31">
      <c r="A72" s="394">
        <v>2017</v>
      </c>
      <c r="B72" s="395" t="s">
        <v>151</v>
      </c>
      <c r="C72" s="75"/>
      <c r="D72" s="72">
        <v>24383250.957844518</v>
      </c>
      <c r="E72" s="72"/>
      <c r="F72" s="396">
        <v>14422202.99116756</v>
      </c>
      <c r="G72" s="73">
        <v>15377</v>
      </c>
      <c r="H72" s="72">
        <f t="shared" si="0"/>
        <v>2984677.9121972085</v>
      </c>
      <c r="I72" s="73">
        <f t="shared" si="1"/>
        <v>1022</v>
      </c>
      <c r="J72" s="74">
        <f t="shared" si="2"/>
        <v>5769378.1115616364</v>
      </c>
      <c r="K72" s="397">
        <v>12260.68502644076</v>
      </c>
      <c r="L72" s="73">
        <f t="shared" si="3"/>
        <v>78</v>
      </c>
      <c r="M72" s="72">
        <v>8716.2485940148799</v>
      </c>
      <c r="N72" s="398">
        <v>24.212654957002169</v>
      </c>
      <c r="O72" s="73">
        <v>165</v>
      </c>
      <c r="P72" s="74">
        <v>60091.979999999989</v>
      </c>
      <c r="Q72" s="399">
        <v>139.52495117299691</v>
      </c>
      <c r="R72" s="73">
        <v>2884</v>
      </c>
      <c r="S72" s="74">
        <v>38351</v>
      </c>
      <c r="T72" s="397"/>
      <c r="U72" s="73">
        <v>75</v>
      </c>
      <c r="V72" s="74">
        <v>86172.6</v>
      </c>
      <c r="W72" s="397">
        <v>203.7</v>
      </c>
      <c r="X72" s="73">
        <v>1</v>
      </c>
      <c r="Z72" s="256">
        <v>6016.08</v>
      </c>
      <c r="AA72" s="53">
        <v>1</v>
      </c>
      <c r="AB72" s="256">
        <v>2990693.9921972086</v>
      </c>
      <c r="AC72" s="256">
        <v>1023</v>
      </c>
      <c r="AD72" s="256">
        <v>5763362.0315616364</v>
      </c>
      <c r="AE72" s="256">
        <v>77</v>
      </c>
    </row>
    <row r="73" spans="1:31">
      <c r="A73" s="394">
        <v>2017</v>
      </c>
      <c r="B73" s="395" t="s">
        <v>152</v>
      </c>
      <c r="C73" s="75"/>
      <c r="D73" s="76">
        <v>21070773.226623036</v>
      </c>
      <c r="E73" s="76"/>
      <c r="F73" s="400">
        <v>12390958.416389994</v>
      </c>
      <c r="G73" s="77">
        <v>15382</v>
      </c>
      <c r="H73" s="76">
        <f t="shared" si="0"/>
        <v>2616721.0077930987</v>
      </c>
      <c r="I73" s="77">
        <f t="shared" si="1"/>
        <v>1021</v>
      </c>
      <c r="J73" s="78">
        <f t="shared" si="2"/>
        <v>5002119.6387435012</v>
      </c>
      <c r="K73" s="401">
        <v>12583.575661218294</v>
      </c>
      <c r="L73" s="77">
        <f t="shared" si="3"/>
        <v>78</v>
      </c>
      <c r="M73" s="76">
        <v>8655.4087020996485</v>
      </c>
      <c r="N73" s="402">
        <v>24.043649301108381</v>
      </c>
      <c r="O73" s="77">
        <v>165</v>
      </c>
      <c r="P73" s="78">
        <v>54944.289999999994</v>
      </c>
      <c r="Q73" s="403">
        <v>141.29925691045702</v>
      </c>
      <c r="R73" s="77">
        <v>2909</v>
      </c>
      <c r="S73" s="78">
        <v>38351</v>
      </c>
      <c r="T73" s="401"/>
      <c r="U73" s="77">
        <v>75</v>
      </c>
      <c r="V73" s="78">
        <v>74695.199999999997</v>
      </c>
      <c r="W73" s="401">
        <v>179.1</v>
      </c>
      <c r="X73" s="77">
        <v>1</v>
      </c>
      <c r="Z73" s="256">
        <v>5888.2800000000007</v>
      </c>
      <c r="AA73" s="53">
        <v>1</v>
      </c>
      <c r="AB73" s="256">
        <v>2622609.2877930985</v>
      </c>
      <c r="AC73" s="256">
        <v>1022</v>
      </c>
      <c r="AD73" s="256">
        <v>4996231.3587435009</v>
      </c>
      <c r="AE73" s="256">
        <v>77</v>
      </c>
    </row>
    <row r="74" spans="1:31">
      <c r="A74" s="394">
        <v>2017</v>
      </c>
      <c r="B74" s="395" t="s">
        <v>153</v>
      </c>
      <c r="C74" s="75"/>
      <c r="D74" s="76">
        <v>23393184.032128658</v>
      </c>
      <c r="E74" s="76"/>
      <c r="F74" s="400">
        <v>13553555.28829693</v>
      </c>
      <c r="G74" s="77">
        <v>15396</v>
      </c>
      <c r="H74" s="76">
        <f t="shared" si="0"/>
        <v>2771739.5289557222</v>
      </c>
      <c r="I74" s="77">
        <f t="shared" si="1"/>
        <v>1014</v>
      </c>
      <c r="J74" s="78">
        <f t="shared" si="2"/>
        <v>5943745.8644941049</v>
      </c>
      <c r="K74" s="401">
        <v>12437.760865149088</v>
      </c>
      <c r="L74" s="77">
        <f t="shared" si="3"/>
        <v>85</v>
      </c>
      <c r="M74" s="76">
        <v>8655.6484652204963</v>
      </c>
      <c r="N74" s="402">
        <v>24.044315333249834</v>
      </c>
      <c r="O74" s="77">
        <v>162</v>
      </c>
      <c r="P74" s="78">
        <v>60831.179999999993</v>
      </c>
      <c r="Q74" s="403">
        <v>141.29925691045702</v>
      </c>
      <c r="R74" s="77">
        <v>2909</v>
      </c>
      <c r="S74" s="78">
        <v>38351</v>
      </c>
      <c r="T74" s="401"/>
      <c r="U74" s="77">
        <v>74</v>
      </c>
      <c r="V74" s="78">
        <v>81687.900000000009</v>
      </c>
      <c r="W74" s="401">
        <v>173.1</v>
      </c>
      <c r="X74" s="77">
        <v>1</v>
      </c>
      <c r="Z74" s="256">
        <v>6366.72</v>
      </c>
      <c r="AA74" s="53">
        <v>1</v>
      </c>
      <c r="AB74" s="256">
        <v>2778106.2489557224</v>
      </c>
      <c r="AC74" s="256">
        <v>1015</v>
      </c>
      <c r="AD74" s="256">
        <v>5937379.1444941051</v>
      </c>
      <c r="AE74" s="256">
        <v>84</v>
      </c>
    </row>
    <row r="75" spans="1:31">
      <c r="A75" s="394">
        <v>2017</v>
      </c>
      <c r="B75" s="395" t="s">
        <v>154</v>
      </c>
      <c r="C75" s="75"/>
      <c r="D75" s="76">
        <v>18825985.160844527</v>
      </c>
      <c r="E75" s="76"/>
      <c r="F75" s="400">
        <v>10456572.338871771</v>
      </c>
      <c r="G75" s="77">
        <v>15409</v>
      </c>
      <c r="H75" s="76">
        <f t="shared" si="0"/>
        <v>2345007.3829533742</v>
      </c>
      <c r="I75" s="77">
        <f t="shared" si="1"/>
        <v>1014</v>
      </c>
      <c r="J75" s="78">
        <f t="shared" si="2"/>
        <v>5157736.4740957385</v>
      </c>
      <c r="K75" s="401">
        <v>12952.481990203984</v>
      </c>
      <c r="L75" s="77">
        <f t="shared" si="3"/>
        <v>85</v>
      </c>
      <c r="M75" s="76">
        <v>8620.3433456756011</v>
      </c>
      <c r="N75" s="402">
        <v>23.946242100420836</v>
      </c>
      <c r="O75" s="77">
        <v>162</v>
      </c>
      <c r="P75" s="78">
        <v>44242.639999999985</v>
      </c>
      <c r="Q75" s="403">
        <v>141.29925691045702</v>
      </c>
      <c r="R75" s="77">
        <v>2909</v>
      </c>
      <c r="S75" s="78">
        <v>38350.71</v>
      </c>
      <c r="T75" s="401"/>
      <c r="U75" s="77">
        <v>74</v>
      </c>
      <c r="V75" s="78">
        <v>64413.600000000013</v>
      </c>
      <c r="W75" s="401">
        <v>144</v>
      </c>
      <c r="X75" s="77">
        <v>1</v>
      </c>
      <c r="Z75" s="256">
        <v>6681.6</v>
      </c>
      <c r="AA75" s="53">
        <v>1</v>
      </c>
      <c r="AB75" s="256">
        <v>2351688.9829533743</v>
      </c>
      <c r="AC75" s="256">
        <v>1015</v>
      </c>
      <c r="AD75" s="256">
        <v>5151054.8740957389</v>
      </c>
      <c r="AE75" s="256">
        <v>84</v>
      </c>
    </row>
    <row r="76" spans="1:31">
      <c r="A76" s="394">
        <v>2017</v>
      </c>
      <c r="B76" s="395" t="s">
        <v>155</v>
      </c>
      <c r="C76" s="75"/>
      <c r="D76" s="76">
        <v>18786333.0832728</v>
      </c>
      <c r="E76" s="76"/>
      <c r="F76" s="400">
        <v>10138957.824948942</v>
      </c>
      <c r="G76" s="77">
        <v>15441</v>
      </c>
      <c r="H76" s="76">
        <f t="shared" si="0"/>
        <v>2460274.7882311414</v>
      </c>
      <c r="I76" s="77">
        <f t="shared" si="1"/>
        <v>1022</v>
      </c>
      <c r="J76" s="78">
        <f t="shared" si="2"/>
        <v>5267015.199137304</v>
      </c>
      <c r="K76" s="401">
        <v>13751.885809033038</v>
      </c>
      <c r="L76" s="77">
        <f t="shared" si="3"/>
        <v>85</v>
      </c>
      <c r="M76" s="76">
        <v>8621.482220499629</v>
      </c>
      <c r="N76" s="402">
        <v>23.949405753092737</v>
      </c>
      <c r="O76" s="77">
        <v>162</v>
      </c>
      <c r="P76" s="78">
        <v>46088.489999999991</v>
      </c>
      <c r="Q76" s="403">
        <v>141.67226436662759</v>
      </c>
      <c r="R76" s="77">
        <v>2916</v>
      </c>
      <c r="S76" s="78">
        <v>38349.29</v>
      </c>
      <c r="T76" s="401"/>
      <c r="U76" s="77">
        <v>73</v>
      </c>
      <c r="V76" s="78">
        <v>64924.800000000003</v>
      </c>
      <c r="W76" s="401">
        <v>145.80000000000001</v>
      </c>
      <c r="X76" s="77">
        <v>1</v>
      </c>
      <c r="Z76" s="256">
        <v>6302.04</v>
      </c>
      <c r="AA76" s="53">
        <v>1</v>
      </c>
      <c r="AB76" s="256">
        <v>2466576.8282311414</v>
      </c>
      <c r="AC76" s="256">
        <v>1023</v>
      </c>
      <c r="AD76" s="256">
        <v>5260713.1591373039</v>
      </c>
      <c r="AE76" s="256">
        <v>84</v>
      </c>
    </row>
    <row r="77" spans="1:31">
      <c r="A77" s="394">
        <v>2017</v>
      </c>
      <c r="B77" s="395" t="s">
        <v>156</v>
      </c>
      <c r="C77" s="75"/>
      <c r="D77" s="76">
        <v>19567266.152046304</v>
      </c>
      <c r="E77" s="76"/>
      <c r="F77" s="400">
        <v>10696936.404772243</v>
      </c>
      <c r="G77" s="77">
        <v>15475</v>
      </c>
      <c r="H77" s="76">
        <f t="shared" si="0"/>
        <v>2618230.3194255214</v>
      </c>
      <c r="I77" s="77">
        <f t="shared" si="1"/>
        <v>1027</v>
      </c>
      <c r="J77" s="78">
        <f t="shared" si="2"/>
        <v>5273814.0504279798</v>
      </c>
      <c r="K77" s="401">
        <v>13482.508313528235</v>
      </c>
      <c r="L77" s="77">
        <f t="shared" si="3"/>
        <v>85</v>
      </c>
      <c r="M77" s="76">
        <v>8620.3433456756011</v>
      </c>
      <c r="N77" s="402">
        <v>23.946242100420836</v>
      </c>
      <c r="O77" s="77">
        <v>161</v>
      </c>
      <c r="P77" s="78">
        <v>45568.829999999987</v>
      </c>
      <c r="Q77" s="403">
        <v>145.83583408009926</v>
      </c>
      <c r="R77" s="77">
        <v>2985</v>
      </c>
      <c r="S77" s="78">
        <v>38349</v>
      </c>
      <c r="T77" s="401"/>
      <c r="U77" s="77">
        <v>73</v>
      </c>
      <c r="V77" s="78">
        <v>72950.10000000002</v>
      </c>
      <c r="W77" s="401">
        <v>223.2</v>
      </c>
      <c r="X77" s="77">
        <v>1</v>
      </c>
      <c r="Z77" s="256">
        <v>6833.5199999999995</v>
      </c>
      <c r="AA77" s="53">
        <v>1</v>
      </c>
      <c r="AB77" s="256">
        <v>2625063.8394255214</v>
      </c>
      <c r="AC77" s="256">
        <v>1028</v>
      </c>
      <c r="AD77" s="256">
        <v>5266980.5304279802</v>
      </c>
      <c r="AE77" s="256">
        <v>84</v>
      </c>
    </row>
    <row r="78" spans="1:31">
      <c r="A78" s="394">
        <v>2017</v>
      </c>
      <c r="B78" s="395" t="s">
        <v>157</v>
      </c>
      <c r="C78" s="75"/>
      <c r="D78" s="76">
        <v>22381676.491002649</v>
      </c>
      <c r="E78" s="76"/>
      <c r="F78" s="400">
        <v>12709627.034476332</v>
      </c>
      <c r="G78" s="77">
        <v>15592</v>
      </c>
      <c r="H78" s="76">
        <f t="shared" si="0"/>
        <v>2862369.9845522945</v>
      </c>
      <c r="I78" s="77">
        <f t="shared" si="1"/>
        <v>1036</v>
      </c>
      <c r="J78" s="78">
        <f t="shared" si="2"/>
        <v>5002440.9012290956</v>
      </c>
      <c r="K78" s="401">
        <v>14267.898216348718</v>
      </c>
      <c r="L78" s="77">
        <f t="shared" si="3"/>
        <v>89</v>
      </c>
      <c r="M78" s="76">
        <v>8625.857897455111</v>
      </c>
      <c r="N78" s="402">
        <v>23.961560839674263</v>
      </c>
      <c r="O78" s="77">
        <v>161</v>
      </c>
      <c r="P78" s="78">
        <v>34622.259999999995</v>
      </c>
      <c r="Q78" s="403">
        <v>145.83583408009926</v>
      </c>
      <c r="R78" s="77">
        <v>2985</v>
      </c>
      <c r="S78" s="78">
        <v>38349</v>
      </c>
      <c r="T78" s="401"/>
      <c r="U78" s="77">
        <v>73</v>
      </c>
      <c r="V78" s="78">
        <v>84888.6</v>
      </c>
      <c r="W78" s="401">
        <v>209.7</v>
      </c>
      <c r="X78" s="77">
        <v>1</v>
      </c>
      <c r="Z78" s="256">
        <v>6735.72</v>
      </c>
      <c r="AA78" s="53">
        <v>1</v>
      </c>
      <c r="AB78" s="256">
        <v>2869105.7045522947</v>
      </c>
      <c r="AC78" s="256">
        <v>1037</v>
      </c>
      <c r="AD78" s="256">
        <v>4995705.1812290959</v>
      </c>
      <c r="AE78" s="256">
        <v>88</v>
      </c>
    </row>
    <row r="79" spans="1:31">
      <c r="A79" s="394">
        <v>2017</v>
      </c>
      <c r="B79" s="395" t="s">
        <v>158</v>
      </c>
      <c r="C79" s="75"/>
      <c r="D79" s="76">
        <v>21132315.915526163</v>
      </c>
      <c r="E79" s="76"/>
      <c r="F79" s="400">
        <v>11762478.962795964</v>
      </c>
      <c r="G79" s="77">
        <v>15641</v>
      </c>
      <c r="H79" s="76">
        <f t="shared" si="0"/>
        <v>2837106.6955785314</v>
      </c>
      <c r="I79" s="77">
        <f t="shared" si="1"/>
        <v>1043</v>
      </c>
      <c r="J79" s="78">
        <f t="shared" si="2"/>
        <v>5086221.8129487261</v>
      </c>
      <c r="K79" s="401">
        <v>14124.866183601216</v>
      </c>
      <c r="L79" s="77">
        <f t="shared" si="3"/>
        <v>89</v>
      </c>
      <c r="M79" s="76">
        <v>8636.9469417943383</v>
      </c>
      <c r="N79" s="402">
        <v>23.992364826216477</v>
      </c>
      <c r="O79" s="77">
        <v>161</v>
      </c>
      <c r="P79" s="78">
        <v>34859.409999999989</v>
      </c>
      <c r="Q79" s="403">
        <v>151.14867000988028</v>
      </c>
      <c r="R79" s="77">
        <v>3025</v>
      </c>
      <c r="S79" s="78">
        <v>38349</v>
      </c>
      <c r="T79" s="401"/>
      <c r="U79" s="77">
        <v>73</v>
      </c>
      <c r="V79" s="78">
        <v>78034.500000000015</v>
      </c>
      <c r="W79" s="401">
        <v>200.7</v>
      </c>
      <c r="X79" s="77">
        <v>1</v>
      </c>
      <c r="Z79" s="256">
        <v>2226.7200000000003</v>
      </c>
      <c r="AA79" s="53">
        <v>1</v>
      </c>
      <c r="AB79" s="256">
        <v>2839333.4155785316</v>
      </c>
      <c r="AC79" s="256">
        <v>1044</v>
      </c>
      <c r="AD79" s="256">
        <v>5083995.0929487264</v>
      </c>
      <c r="AE79" s="256">
        <v>88</v>
      </c>
    </row>
    <row r="80" spans="1:31">
      <c r="A80" s="394">
        <v>2017</v>
      </c>
      <c r="B80" s="395" t="s">
        <v>159</v>
      </c>
      <c r="C80" s="75"/>
      <c r="D80" s="76">
        <v>19954544.032724753</v>
      </c>
      <c r="E80" s="76"/>
      <c r="F80" s="400">
        <v>10889986.618889587</v>
      </c>
      <c r="G80" s="77">
        <v>15721</v>
      </c>
      <c r="H80" s="76">
        <f t="shared" si="0"/>
        <v>2668996.0503903124</v>
      </c>
      <c r="I80" s="77">
        <f t="shared" si="1"/>
        <v>1038</v>
      </c>
      <c r="J80" s="78">
        <f t="shared" si="2"/>
        <v>4971127.2200684296</v>
      </c>
      <c r="K80" s="401">
        <v>14529.367859248679</v>
      </c>
      <c r="L80" s="77">
        <f t="shared" si="3"/>
        <v>90</v>
      </c>
      <c r="M80" s="76">
        <v>8620.3433456756011</v>
      </c>
      <c r="N80" s="402">
        <v>23.946242100420836</v>
      </c>
      <c r="O80" s="77">
        <v>161</v>
      </c>
      <c r="P80" s="78">
        <v>33771.819999999992</v>
      </c>
      <c r="Q80" s="403">
        <v>151.14867000988028</v>
      </c>
      <c r="R80" s="77">
        <v>3025</v>
      </c>
      <c r="S80" s="78">
        <v>38349</v>
      </c>
      <c r="T80" s="401"/>
      <c r="U80" s="77">
        <v>73</v>
      </c>
      <c r="V80" s="78">
        <v>74783.699999999983</v>
      </c>
      <c r="W80" s="401">
        <v>243.6</v>
      </c>
      <c r="X80" s="77">
        <v>1</v>
      </c>
      <c r="Z80" s="256">
        <v>2404.56</v>
      </c>
      <c r="AA80" s="53">
        <v>1</v>
      </c>
      <c r="AB80" s="256">
        <v>2671400.6103903125</v>
      </c>
      <c r="AC80" s="256">
        <v>1039</v>
      </c>
      <c r="AD80" s="256">
        <v>4968722.66006843</v>
      </c>
      <c r="AE80" s="256">
        <v>89</v>
      </c>
    </row>
    <row r="81" spans="1:31">
      <c r="A81" s="394">
        <v>2017</v>
      </c>
      <c r="B81" s="395" t="s">
        <v>160</v>
      </c>
      <c r="C81" s="75"/>
      <c r="D81" s="76">
        <v>19246234.531076949</v>
      </c>
      <c r="E81" s="76"/>
      <c r="F81" s="400">
        <v>10147906.506676266</v>
      </c>
      <c r="G81" s="77">
        <v>15953</v>
      </c>
      <c r="H81" s="76">
        <f t="shared" si="0"/>
        <v>2704996.4059744757</v>
      </c>
      <c r="I81" s="77">
        <f t="shared" si="1"/>
        <v>1040</v>
      </c>
      <c r="J81" s="78">
        <f t="shared" si="2"/>
        <v>5031508.597024858</v>
      </c>
      <c r="K81" s="401">
        <v>15500.171880802589</v>
      </c>
      <c r="L81" s="77">
        <f t="shared" si="3"/>
        <v>92</v>
      </c>
      <c r="M81" s="76">
        <v>8796.5692394990238</v>
      </c>
      <c r="N81" s="402">
        <v>24.435775724389032</v>
      </c>
      <c r="O81" s="77">
        <v>161</v>
      </c>
      <c r="P81" s="78">
        <v>53743.459999999992</v>
      </c>
      <c r="Q81" s="403">
        <v>151.97533518301506</v>
      </c>
      <c r="R81" s="77">
        <v>3044</v>
      </c>
      <c r="S81" s="78">
        <v>38349</v>
      </c>
      <c r="T81" s="401"/>
      <c r="U81" s="77">
        <v>73</v>
      </c>
      <c r="V81" s="78">
        <v>65995.8</v>
      </c>
      <c r="W81" s="401">
        <v>144.9</v>
      </c>
      <c r="X81" s="77">
        <v>1</v>
      </c>
      <c r="Z81" s="256">
        <v>6098.16</v>
      </c>
      <c r="AA81" s="53">
        <v>1</v>
      </c>
      <c r="AB81" s="256">
        <v>2711094.5659744758</v>
      </c>
      <c r="AC81" s="256">
        <v>1041</v>
      </c>
      <c r="AD81" s="256">
        <v>5025410.4370248578</v>
      </c>
      <c r="AE81" s="256">
        <v>91</v>
      </c>
    </row>
    <row r="82" spans="1:31">
      <c r="A82" s="394">
        <v>2017</v>
      </c>
      <c r="B82" s="395" t="s">
        <v>161</v>
      </c>
      <c r="C82" s="75"/>
      <c r="D82" s="76">
        <v>21849761.600563686</v>
      </c>
      <c r="E82" s="76"/>
      <c r="F82" s="400">
        <v>12250314.936079456</v>
      </c>
      <c r="G82" s="77">
        <v>16090</v>
      </c>
      <c r="H82" s="76">
        <f t="shared" si="0"/>
        <v>2761046.0105470386</v>
      </c>
      <c r="I82" s="77">
        <f t="shared" si="1"/>
        <v>1042</v>
      </c>
      <c r="J82" s="78">
        <f t="shared" si="2"/>
        <v>5259844.4832665995</v>
      </c>
      <c r="K82" s="401">
        <v>14215.866548196887</v>
      </c>
      <c r="L82" s="77">
        <f t="shared" si="3"/>
        <v>93</v>
      </c>
      <c r="M82" s="76">
        <v>8653.0710116713781</v>
      </c>
      <c r="N82" s="402">
        <v>24.037155487729208</v>
      </c>
      <c r="O82" s="77">
        <v>161</v>
      </c>
      <c r="P82" s="78">
        <v>52009.799999999988</v>
      </c>
      <c r="Q82" s="403">
        <v>151.97533518301506</v>
      </c>
      <c r="R82" s="77">
        <v>3044</v>
      </c>
      <c r="S82" s="78">
        <v>38349</v>
      </c>
      <c r="T82" s="401"/>
      <c r="U82" s="77">
        <v>73</v>
      </c>
      <c r="V82" s="78">
        <v>76188.299999999988</v>
      </c>
      <c r="W82" s="401">
        <v>192.6</v>
      </c>
      <c r="X82" s="77">
        <v>1</v>
      </c>
      <c r="Z82" s="256">
        <v>6612.6</v>
      </c>
      <c r="AA82" s="53">
        <v>1</v>
      </c>
      <c r="AB82" s="256">
        <v>2767658.6105470387</v>
      </c>
      <c r="AC82" s="256">
        <v>1043</v>
      </c>
      <c r="AD82" s="256">
        <v>5253231.8832665998</v>
      </c>
      <c r="AE82" s="256">
        <v>92</v>
      </c>
    </row>
    <row r="83" spans="1:31">
      <c r="A83" s="394">
        <v>2017</v>
      </c>
      <c r="B83" s="395" t="s">
        <v>162</v>
      </c>
      <c r="C83" s="75"/>
      <c r="D83" s="76">
        <v>26178109.375145946</v>
      </c>
      <c r="E83" s="76"/>
      <c r="F83" s="400">
        <v>15830963.506634967</v>
      </c>
      <c r="G83" s="77">
        <v>16103</v>
      </c>
      <c r="H83" s="76">
        <f t="shared" si="0"/>
        <v>3074899.7134012836</v>
      </c>
      <c r="I83" s="77">
        <f t="shared" si="1"/>
        <v>1033</v>
      </c>
      <c r="J83" s="78">
        <f t="shared" si="2"/>
        <v>5412088.537002014</v>
      </c>
      <c r="K83" s="401">
        <v>13123.3316462285</v>
      </c>
      <c r="L83" s="77">
        <f t="shared" si="3"/>
        <v>91</v>
      </c>
      <c r="M83" s="76">
        <v>8626.8768907187132</v>
      </c>
      <c r="N83" s="402">
        <v>23.964391476275434</v>
      </c>
      <c r="O83" s="77">
        <v>160</v>
      </c>
      <c r="P83" s="78">
        <v>53826.029999999984</v>
      </c>
      <c r="Q83" s="403">
        <v>151.97533518301506</v>
      </c>
      <c r="R83" s="77">
        <v>3044</v>
      </c>
      <c r="S83" s="78">
        <v>38349</v>
      </c>
      <c r="T83" s="401"/>
      <c r="U83" s="77">
        <v>73</v>
      </c>
      <c r="V83" s="78">
        <v>95617.200000000012</v>
      </c>
      <c r="W83" s="401">
        <v>223.2</v>
      </c>
      <c r="X83" s="77">
        <v>1</v>
      </c>
      <c r="Z83" s="256">
        <v>7210.2</v>
      </c>
      <c r="AA83" s="53">
        <v>1</v>
      </c>
      <c r="AB83" s="256">
        <v>3082109.9134012838</v>
      </c>
      <c r="AC83" s="256">
        <v>1034</v>
      </c>
      <c r="AD83" s="256">
        <v>5404878.3370020138</v>
      </c>
      <c r="AE83" s="256">
        <v>90</v>
      </c>
    </row>
    <row r="84" spans="1:31">
      <c r="A84" s="394">
        <v>2018</v>
      </c>
      <c r="B84" s="395" t="s">
        <v>151</v>
      </c>
      <c r="C84" s="75"/>
      <c r="D84" s="72">
        <v>27156877.702999998</v>
      </c>
      <c r="E84" s="72"/>
      <c r="F84" s="396">
        <v>16388385.936435128</v>
      </c>
      <c r="G84" s="73">
        <v>16261</v>
      </c>
      <c r="H84" s="72">
        <f t="shared" si="0"/>
        <v>3037489.3833252196</v>
      </c>
      <c r="I84" s="73">
        <f t="shared" si="1"/>
        <v>1048</v>
      </c>
      <c r="J84" s="74">
        <f t="shared" si="2"/>
        <v>6040545.014032647</v>
      </c>
      <c r="K84" s="397">
        <v>12645.41174840074</v>
      </c>
      <c r="L84" s="73">
        <f t="shared" si="3"/>
        <v>91</v>
      </c>
      <c r="M84" s="72">
        <v>8675.659999999998</v>
      </c>
      <c r="N84" s="398">
        <v>24.097972395859106</v>
      </c>
      <c r="O84" s="73">
        <v>158</v>
      </c>
      <c r="P84" s="74">
        <v>66225.429999999993</v>
      </c>
      <c r="Q84" s="399">
        <v>153.8523051694938</v>
      </c>
      <c r="R84" s="73">
        <v>3044</v>
      </c>
      <c r="S84" s="74">
        <v>40675.050156161458</v>
      </c>
      <c r="T84" s="397"/>
      <c r="U84" s="73">
        <v>73</v>
      </c>
      <c r="V84" s="74">
        <v>95373.60000000002</v>
      </c>
      <c r="W84" s="397">
        <v>216.9</v>
      </c>
      <c r="X84" s="73">
        <v>1</v>
      </c>
      <c r="Z84" s="256">
        <v>5859.36</v>
      </c>
      <c r="AA84" s="53">
        <v>1</v>
      </c>
      <c r="AB84" s="256">
        <v>3043348.7433252195</v>
      </c>
      <c r="AC84" s="256">
        <v>1049</v>
      </c>
      <c r="AD84" s="256">
        <v>6034685.6540326467</v>
      </c>
      <c r="AE84" s="256">
        <v>90</v>
      </c>
    </row>
    <row r="85" spans="1:31">
      <c r="A85" s="394">
        <v>2018</v>
      </c>
      <c r="B85" s="395" t="s">
        <v>152</v>
      </c>
      <c r="C85" s="75"/>
      <c r="D85" s="76">
        <v>22662310.571999997</v>
      </c>
      <c r="E85" s="76"/>
      <c r="F85" s="400">
        <v>13379153.818138581</v>
      </c>
      <c r="G85" s="77">
        <v>16295</v>
      </c>
      <c r="H85" s="76">
        <f t="shared" si="0"/>
        <v>2759804.988010284</v>
      </c>
      <c r="I85" s="77">
        <f t="shared" si="1"/>
        <v>1062</v>
      </c>
      <c r="J85" s="78">
        <f t="shared" si="2"/>
        <v>5338221.8814127678</v>
      </c>
      <c r="K85" s="401">
        <v>17111.0297273783</v>
      </c>
      <c r="L85" s="77">
        <f t="shared" si="3"/>
        <v>90</v>
      </c>
      <c r="M85" s="76">
        <v>8810.66</v>
      </c>
      <c r="N85" s="402">
        <v>24.472955541053938</v>
      </c>
      <c r="O85" s="77">
        <v>158</v>
      </c>
      <c r="P85" s="78">
        <v>60073.219999999994</v>
      </c>
      <c r="Q85" s="403">
        <v>153.8523051694938</v>
      </c>
      <c r="R85" s="77">
        <v>3069</v>
      </c>
      <c r="S85" s="78">
        <v>40675.050156161458</v>
      </c>
      <c r="T85" s="401"/>
      <c r="U85" s="77">
        <v>73</v>
      </c>
      <c r="V85" s="78">
        <v>79207.199999999968</v>
      </c>
      <c r="W85" s="401">
        <v>183.9</v>
      </c>
      <c r="X85" s="77">
        <v>1</v>
      </c>
      <c r="Z85" s="256">
        <v>6122.76</v>
      </c>
      <c r="AA85" s="53">
        <v>1</v>
      </c>
      <c r="AB85" s="256">
        <v>2765927.7480102838</v>
      </c>
      <c r="AC85" s="256">
        <v>1063</v>
      </c>
      <c r="AD85" s="256">
        <v>5332099.121412768</v>
      </c>
      <c r="AE85" s="256">
        <v>89</v>
      </c>
    </row>
    <row r="86" spans="1:31">
      <c r="A86" s="394">
        <v>2018</v>
      </c>
      <c r="B86" s="395" t="s">
        <v>153</v>
      </c>
      <c r="C86" s="75"/>
      <c r="D86" s="76">
        <v>23534615.378000002</v>
      </c>
      <c r="E86" s="76"/>
      <c r="F86" s="400">
        <v>13650252.750150304</v>
      </c>
      <c r="G86" s="77">
        <v>16323</v>
      </c>
      <c r="H86" s="76">
        <f t="shared" si="0"/>
        <v>2932103.2358320942</v>
      </c>
      <c r="I86" s="77">
        <f t="shared" si="1"/>
        <v>1065</v>
      </c>
      <c r="J86" s="78">
        <f t="shared" si="2"/>
        <v>5814982.6057040403</v>
      </c>
      <c r="K86" s="401">
        <v>13159.20102538295</v>
      </c>
      <c r="L86" s="77">
        <f t="shared" si="3"/>
        <v>90</v>
      </c>
      <c r="M86" s="76">
        <v>8815.2199999999993</v>
      </c>
      <c r="N86" s="402">
        <v>24.485621638402744</v>
      </c>
      <c r="O86" s="77">
        <v>160</v>
      </c>
      <c r="P86" s="78">
        <v>66509.63</v>
      </c>
      <c r="Q86" s="403">
        <v>153.8523051694938</v>
      </c>
      <c r="R86" s="77">
        <v>3079</v>
      </c>
      <c r="S86" s="78">
        <v>40675.050156161458</v>
      </c>
      <c r="T86" s="401"/>
      <c r="U86" s="77">
        <v>73</v>
      </c>
      <c r="V86" s="78">
        <v>81331.799999999988</v>
      </c>
      <c r="W86" s="401">
        <v>165</v>
      </c>
      <c r="X86" s="77">
        <v>1</v>
      </c>
      <c r="Z86" s="256">
        <v>6577.92</v>
      </c>
      <c r="AA86" s="53">
        <v>1</v>
      </c>
      <c r="AB86" s="256">
        <v>2938681.1558320941</v>
      </c>
      <c r="AC86" s="256">
        <v>1066</v>
      </c>
      <c r="AD86" s="256">
        <v>5808404.6857040403</v>
      </c>
      <c r="AE86" s="256">
        <v>89</v>
      </c>
    </row>
    <row r="87" spans="1:31">
      <c r="A87" s="394">
        <v>2018</v>
      </c>
      <c r="B87" s="395" t="s">
        <v>154</v>
      </c>
      <c r="C87" s="75"/>
      <c r="D87" s="76">
        <v>21736721.348000001</v>
      </c>
      <c r="E87" s="76"/>
      <c r="F87" s="400">
        <v>12548080.829442222</v>
      </c>
      <c r="G87" s="77">
        <v>16361</v>
      </c>
      <c r="H87" s="76">
        <f t="shared" si="0"/>
        <v>2778920.2920663012</v>
      </c>
      <c r="I87" s="77">
        <f t="shared" si="1"/>
        <v>1074</v>
      </c>
      <c r="J87" s="78">
        <f t="shared" si="2"/>
        <v>5277168.4156077253</v>
      </c>
      <c r="K87" s="401">
        <v>13853.591242336201</v>
      </c>
      <c r="L87" s="77">
        <f t="shared" si="3"/>
        <v>90</v>
      </c>
      <c r="M87" s="76">
        <v>8810.659999999998</v>
      </c>
      <c r="N87" s="402">
        <v>24.472955541053935</v>
      </c>
      <c r="O87" s="77">
        <v>161</v>
      </c>
      <c r="P87" s="78">
        <v>48273.119999999995</v>
      </c>
      <c r="Q87" s="403">
        <v>161.28138874700934</v>
      </c>
      <c r="R87" s="77">
        <v>3079</v>
      </c>
      <c r="S87" s="78">
        <v>40685.964293847108</v>
      </c>
      <c r="T87" s="401"/>
      <c r="U87" s="77">
        <v>73</v>
      </c>
      <c r="V87" s="78">
        <v>76112.100000000006</v>
      </c>
      <c r="W87" s="401">
        <v>185.4</v>
      </c>
      <c r="X87" s="77">
        <v>1</v>
      </c>
      <c r="Z87" s="256">
        <v>6416.64</v>
      </c>
      <c r="AA87" s="53">
        <v>1</v>
      </c>
      <c r="AB87" s="256">
        <v>2785336.9320663013</v>
      </c>
      <c r="AC87" s="256">
        <v>1075</v>
      </c>
      <c r="AD87" s="256">
        <v>5270751.7756077256</v>
      </c>
      <c r="AE87" s="256">
        <v>89</v>
      </c>
    </row>
    <row r="88" spans="1:31">
      <c r="A88" s="394">
        <v>2018</v>
      </c>
      <c r="B88" s="395" t="s">
        <v>155</v>
      </c>
      <c r="C88" s="75"/>
      <c r="D88" s="76">
        <v>19774022.555</v>
      </c>
      <c r="E88" s="76"/>
      <c r="F88" s="400">
        <v>10597782.562830482</v>
      </c>
      <c r="G88" s="77">
        <v>16387</v>
      </c>
      <c r="H88" s="76">
        <f t="shared" si="0"/>
        <v>2743601.4258489059</v>
      </c>
      <c r="I88" s="77">
        <f t="shared" si="1"/>
        <v>1075</v>
      </c>
      <c r="J88" s="78">
        <f t="shared" si="2"/>
        <v>5490000.8117011357</v>
      </c>
      <c r="K88" s="401">
        <v>12489.428161435664</v>
      </c>
      <c r="L88" s="77">
        <f t="shared" si="3"/>
        <v>92</v>
      </c>
      <c r="M88" s="76">
        <v>8811.7999999999993</v>
      </c>
      <c r="N88" s="402">
        <v>24.476122065391142</v>
      </c>
      <c r="O88" s="77">
        <v>163</v>
      </c>
      <c r="P88" s="78">
        <v>49882.22</v>
      </c>
      <c r="Q88" s="403">
        <v>153.8523051694938</v>
      </c>
      <c r="R88" s="77">
        <v>3079</v>
      </c>
      <c r="S88" s="78">
        <v>40759.59494867098</v>
      </c>
      <c r="T88" s="401"/>
      <c r="U88" s="77">
        <v>73</v>
      </c>
      <c r="V88" s="78">
        <v>70274.39999999998</v>
      </c>
      <c r="W88" s="401">
        <v>216.3</v>
      </c>
      <c r="X88" s="77">
        <v>1</v>
      </c>
      <c r="Z88" s="256">
        <v>6972.7199999999993</v>
      </c>
      <c r="AA88" s="53">
        <v>1</v>
      </c>
      <c r="AB88" s="256">
        <v>2750574.1458489061</v>
      </c>
      <c r="AC88" s="256">
        <v>1076</v>
      </c>
      <c r="AD88" s="256">
        <v>5483028.091701136</v>
      </c>
      <c r="AE88" s="256">
        <v>91</v>
      </c>
    </row>
    <row r="89" spans="1:31">
      <c r="A89" s="394">
        <v>2018</v>
      </c>
      <c r="B89" s="395" t="s">
        <v>156</v>
      </c>
      <c r="C89" s="75"/>
      <c r="D89" s="76">
        <v>21054153.723000001</v>
      </c>
      <c r="E89" s="76"/>
      <c r="F89" s="400">
        <v>11693203.236396383</v>
      </c>
      <c r="G89" s="77">
        <v>16453</v>
      </c>
      <c r="H89" s="76">
        <f t="shared" ref="H89:H149" si="4">AB89-Z89</f>
        <v>2836379.5924121174</v>
      </c>
      <c r="I89" s="77">
        <f t="shared" ref="I89:I149" si="5">AC89-AA89</f>
        <v>1081</v>
      </c>
      <c r="J89" s="78">
        <f t="shared" ref="J89:J149" si="6">AD89+Z89</f>
        <v>5381539.82408923</v>
      </c>
      <c r="K89" s="401">
        <v>16269.899990711197</v>
      </c>
      <c r="L89" s="77">
        <f t="shared" ref="L89:L149" si="7">AE89+AA89</f>
        <v>92</v>
      </c>
      <c r="M89" s="76">
        <v>8808.5400000000009</v>
      </c>
      <c r="N89" s="402">
        <v>24.467066916847919</v>
      </c>
      <c r="O89" s="77">
        <v>163</v>
      </c>
      <c r="P89" s="78">
        <v>48273.119999999995</v>
      </c>
      <c r="Q89" s="403">
        <v>160.72922712976157</v>
      </c>
      <c r="R89" s="77">
        <v>3079</v>
      </c>
      <c r="S89" s="78">
        <v>40770.509086356629</v>
      </c>
      <c r="T89" s="401"/>
      <c r="U89" s="77">
        <v>73</v>
      </c>
      <c r="V89" s="78">
        <v>77570.700000000026</v>
      </c>
      <c r="W89" s="401">
        <v>250.5</v>
      </c>
      <c r="X89" s="77">
        <v>1</v>
      </c>
      <c r="Z89" s="256">
        <v>7083.46</v>
      </c>
      <c r="AA89" s="53">
        <v>1</v>
      </c>
      <c r="AB89" s="256">
        <v>2843463.0524121174</v>
      </c>
      <c r="AC89" s="256">
        <v>1082</v>
      </c>
      <c r="AD89" s="256">
        <v>5374456.3640892301</v>
      </c>
      <c r="AE89" s="256">
        <v>91</v>
      </c>
    </row>
    <row r="90" spans="1:31">
      <c r="A90" s="394">
        <v>2018</v>
      </c>
      <c r="B90" s="395" t="s">
        <v>157</v>
      </c>
      <c r="C90" s="75"/>
      <c r="D90" s="76">
        <v>26045488.691000003</v>
      </c>
      <c r="E90" s="76"/>
      <c r="F90" s="400">
        <v>15488922.61470633</v>
      </c>
      <c r="G90" s="77">
        <v>16461</v>
      </c>
      <c r="H90" s="76">
        <f t="shared" si="4"/>
        <v>3286000.0897492925</v>
      </c>
      <c r="I90" s="77">
        <f t="shared" si="5"/>
        <v>1081</v>
      </c>
      <c r="J90" s="78">
        <f t="shared" si="6"/>
        <v>5446713.2406986076</v>
      </c>
      <c r="K90" s="401">
        <v>14213.647661771034</v>
      </c>
      <c r="L90" s="77">
        <f t="shared" si="7"/>
        <v>91</v>
      </c>
      <c r="M90" s="76">
        <v>8815.06</v>
      </c>
      <c r="N90" s="402">
        <v>24.485177213934364</v>
      </c>
      <c r="O90" s="77">
        <v>163</v>
      </c>
      <c r="P90" s="78">
        <v>35630.159999999996</v>
      </c>
      <c r="Q90" s="403">
        <v>153.8523051694938</v>
      </c>
      <c r="R90" s="77">
        <v>3079</v>
      </c>
      <c r="S90" s="78">
        <v>40770.509086356629</v>
      </c>
      <c r="T90" s="401"/>
      <c r="U90" s="77">
        <v>76</v>
      </c>
      <c r="V90" s="78">
        <v>94350.299999999974</v>
      </c>
      <c r="W90" s="401">
        <v>255.3</v>
      </c>
      <c r="X90" s="77">
        <v>1</v>
      </c>
      <c r="Z90" s="256">
        <v>6976.7999999999993</v>
      </c>
      <c r="AA90" s="53">
        <v>1</v>
      </c>
      <c r="AB90" s="256">
        <v>3292976.8897492923</v>
      </c>
      <c r="AC90" s="256">
        <v>1082</v>
      </c>
      <c r="AD90" s="256">
        <v>5439736.4406986078</v>
      </c>
      <c r="AE90" s="256">
        <v>90</v>
      </c>
    </row>
    <row r="91" spans="1:31">
      <c r="A91" s="394">
        <v>2018</v>
      </c>
      <c r="B91" s="395" t="s">
        <v>158</v>
      </c>
      <c r="C91" s="75"/>
      <c r="D91" s="76">
        <v>25645894.579999998</v>
      </c>
      <c r="E91" s="76"/>
      <c r="F91" s="400">
        <v>15061276.291714642</v>
      </c>
      <c r="G91" s="77">
        <v>16511</v>
      </c>
      <c r="H91" s="76">
        <f t="shared" si="4"/>
        <v>3268952.2504089251</v>
      </c>
      <c r="I91" s="77">
        <f t="shared" si="5"/>
        <v>1088</v>
      </c>
      <c r="J91" s="78">
        <f t="shared" si="6"/>
        <v>5642327.7199526848</v>
      </c>
      <c r="K91" s="401">
        <v>12290.399374357325</v>
      </c>
      <c r="L91" s="77">
        <f t="shared" si="7"/>
        <v>91</v>
      </c>
      <c r="M91" s="76">
        <v>8812.9399999999987</v>
      </c>
      <c r="N91" s="402">
        <v>24.479288589728338</v>
      </c>
      <c r="O91" s="77">
        <v>163</v>
      </c>
      <c r="P91" s="78">
        <v>35630.159999999996</v>
      </c>
      <c r="Q91" s="403">
        <v>153.8523051694938</v>
      </c>
      <c r="R91" s="77">
        <v>3079</v>
      </c>
      <c r="S91" s="78">
        <v>38893.150125851644</v>
      </c>
      <c r="T91" s="401"/>
      <c r="U91" s="77">
        <v>75</v>
      </c>
      <c r="V91" s="78">
        <v>91221.299999999988</v>
      </c>
      <c r="W91" s="401">
        <v>242.4</v>
      </c>
      <c r="X91" s="77">
        <v>1</v>
      </c>
      <c r="Z91" s="256">
        <v>3251.6400000000003</v>
      </c>
      <c r="AA91" s="53">
        <v>1</v>
      </c>
      <c r="AB91" s="256">
        <v>3272203.8904089252</v>
      </c>
      <c r="AC91" s="256">
        <v>1089</v>
      </c>
      <c r="AD91" s="256">
        <v>5639076.0799526852</v>
      </c>
      <c r="AE91" s="256">
        <v>90</v>
      </c>
    </row>
    <row r="92" spans="1:31">
      <c r="A92" s="394">
        <v>2018</v>
      </c>
      <c r="B92" s="395" t="s">
        <v>159</v>
      </c>
      <c r="C92" s="75"/>
      <c r="D92" s="76">
        <v>21607296.151000001</v>
      </c>
      <c r="E92" s="76"/>
      <c r="F92" s="400">
        <v>12009292.900925944</v>
      </c>
      <c r="G92" s="77">
        <v>16537</v>
      </c>
      <c r="H92" s="76">
        <f t="shared" si="4"/>
        <v>2889162.191352847</v>
      </c>
      <c r="I92" s="77">
        <f t="shared" si="5"/>
        <v>1092</v>
      </c>
      <c r="J92" s="78">
        <f t="shared" si="6"/>
        <v>5237134.3719362281</v>
      </c>
      <c r="K92" s="401">
        <v>13603.820564368039</v>
      </c>
      <c r="L92" s="77">
        <f t="shared" si="7"/>
        <v>91</v>
      </c>
      <c r="M92" s="76">
        <v>8788.9999999999982</v>
      </c>
      <c r="N92" s="402">
        <v>24.41279157864712</v>
      </c>
      <c r="O92" s="77">
        <v>163</v>
      </c>
      <c r="P92" s="78">
        <v>35193.47</v>
      </c>
      <c r="Q92" s="403">
        <v>153.14955402026936</v>
      </c>
      <c r="R92" s="77">
        <v>3079</v>
      </c>
      <c r="S92" s="78">
        <v>39809.555855725266</v>
      </c>
      <c r="T92" s="401"/>
      <c r="U92" s="77">
        <v>75</v>
      </c>
      <c r="V92" s="78">
        <v>74371.200000000012</v>
      </c>
      <c r="W92" s="401">
        <v>250.8</v>
      </c>
      <c r="X92" s="77">
        <v>1</v>
      </c>
      <c r="Z92" s="256">
        <v>2708.88</v>
      </c>
      <c r="AA92" s="53">
        <v>1</v>
      </c>
      <c r="AB92" s="256">
        <v>2891871.0713528469</v>
      </c>
      <c r="AC92" s="256">
        <v>1093</v>
      </c>
      <c r="AD92" s="256">
        <v>5234425.4919362282</v>
      </c>
      <c r="AE92" s="256">
        <v>90</v>
      </c>
    </row>
    <row r="93" spans="1:31">
      <c r="A93" s="394">
        <v>2018</v>
      </c>
      <c r="B93" s="395" t="s">
        <v>160</v>
      </c>
      <c r="C93" s="75"/>
      <c r="D93" s="76">
        <v>21087346.497000001</v>
      </c>
      <c r="E93" s="76"/>
      <c r="F93" s="400">
        <v>11556727.543098697</v>
      </c>
      <c r="G93" s="77">
        <v>16629</v>
      </c>
      <c r="H93" s="76">
        <f t="shared" si="4"/>
        <v>2890825.0587278795</v>
      </c>
      <c r="I93" s="77">
        <f t="shared" si="5"/>
        <v>1093</v>
      </c>
      <c r="J93" s="78">
        <f t="shared" si="6"/>
        <v>5235295.0734096486</v>
      </c>
      <c r="K93" s="401">
        <v>14186.5585255653</v>
      </c>
      <c r="L93" s="77">
        <f t="shared" si="7"/>
        <v>91</v>
      </c>
      <c r="M93" s="76">
        <v>8778.74</v>
      </c>
      <c r="N93" s="402">
        <v>24.384292859612319</v>
      </c>
      <c r="O93" s="77">
        <v>162</v>
      </c>
      <c r="P93" s="78">
        <v>57139.409999999996</v>
      </c>
      <c r="Q93" s="403">
        <v>161.28138874700934</v>
      </c>
      <c r="R93" s="77">
        <v>3153</v>
      </c>
      <c r="S93" s="78">
        <v>39733.188711569128</v>
      </c>
      <c r="T93" s="401"/>
      <c r="U93" s="77">
        <v>74</v>
      </c>
      <c r="V93" s="78">
        <v>68327.099999999991</v>
      </c>
      <c r="W93" s="401">
        <v>156.6</v>
      </c>
      <c r="X93" s="77">
        <v>1</v>
      </c>
      <c r="Z93" s="256">
        <v>6328.56</v>
      </c>
      <c r="AA93" s="53">
        <v>1</v>
      </c>
      <c r="AB93" s="256">
        <v>2897153.6187278796</v>
      </c>
      <c r="AC93" s="256">
        <v>1094</v>
      </c>
      <c r="AD93" s="256">
        <v>5228966.513409649</v>
      </c>
      <c r="AE93" s="256">
        <v>90</v>
      </c>
    </row>
    <row r="94" spans="1:31">
      <c r="A94" s="394">
        <v>2018</v>
      </c>
      <c r="B94" s="395" t="s">
        <v>161</v>
      </c>
      <c r="C94" s="75"/>
      <c r="D94" s="76">
        <v>23149553.112999998</v>
      </c>
      <c r="E94" s="76"/>
      <c r="F94" s="400">
        <v>13258355.004961779</v>
      </c>
      <c r="G94" s="77">
        <v>16704</v>
      </c>
      <c r="H94" s="76">
        <f t="shared" si="4"/>
        <v>3031384.5055867299</v>
      </c>
      <c r="I94" s="77">
        <f t="shared" si="5"/>
        <v>1107</v>
      </c>
      <c r="J94" s="78">
        <f t="shared" si="6"/>
        <v>5419193.1302071419</v>
      </c>
      <c r="K94" s="401">
        <v>12692.044048523441</v>
      </c>
      <c r="L94" s="77">
        <f t="shared" si="7"/>
        <v>93</v>
      </c>
      <c r="M94" s="76">
        <v>8776.4599999999991</v>
      </c>
      <c r="N94" s="402">
        <v>24.377959810937913</v>
      </c>
      <c r="O94" s="77">
        <v>162</v>
      </c>
      <c r="P94" s="78">
        <v>55224.969999999994</v>
      </c>
      <c r="Q94" s="403">
        <v>153.8523051694938</v>
      </c>
      <c r="R94" s="77">
        <v>3153</v>
      </c>
      <c r="S94" s="78">
        <v>39733.188711569128</v>
      </c>
      <c r="T94" s="401"/>
      <c r="U94" s="77">
        <v>75</v>
      </c>
      <c r="V94" s="78">
        <v>76557.000000000015</v>
      </c>
      <c r="W94" s="401">
        <v>186.3</v>
      </c>
      <c r="X94" s="77">
        <v>1</v>
      </c>
      <c r="Z94" s="256">
        <v>7413.1200000000008</v>
      </c>
      <c r="AA94" s="53">
        <v>1</v>
      </c>
      <c r="AB94" s="256">
        <v>3038797.62558673</v>
      </c>
      <c r="AC94" s="256">
        <v>1108</v>
      </c>
      <c r="AD94" s="256">
        <v>5411780.0102071417</v>
      </c>
      <c r="AE94" s="256">
        <v>92</v>
      </c>
    </row>
    <row r="95" spans="1:31">
      <c r="A95" s="394">
        <v>2018</v>
      </c>
      <c r="B95" s="395" t="s">
        <v>162</v>
      </c>
      <c r="C95" s="75"/>
      <c r="D95" s="76">
        <v>25358955.434999999</v>
      </c>
      <c r="E95" s="76"/>
      <c r="F95" s="400">
        <v>15222319.921199508</v>
      </c>
      <c r="G95" s="77">
        <v>16966</v>
      </c>
      <c r="H95" s="76">
        <f t="shared" si="4"/>
        <v>3509282.1666794084</v>
      </c>
      <c r="I95" s="77">
        <f t="shared" si="5"/>
        <v>1106</v>
      </c>
      <c r="J95" s="78">
        <f t="shared" si="6"/>
        <v>5155183.9512481391</v>
      </c>
      <c r="K95" s="401">
        <v>16103.747929769783</v>
      </c>
      <c r="L95" s="77">
        <f t="shared" si="7"/>
        <v>90</v>
      </c>
      <c r="M95" s="76">
        <v>8754.7999999999993</v>
      </c>
      <c r="N95" s="402">
        <v>24.317795848531102</v>
      </c>
      <c r="O95" s="77">
        <v>162</v>
      </c>
      <c r="P95" s="78">
        <v>56990.799999999996</v>
      </c>
      <c r="Q95" s="403">
        <v>153.8523051694938</v>
      </c>
      <c r="R95" s="77">
        <v>3195</v>
      </c>
      <c r="S95" s="78">
        <v>39733.188711569128</v>
      </c>
      <c r="T95" s="401"/>
      <c r="U95" s="77">
        <v>75</v>
      </c>
      <c r="V95" s="78">
        <v>87193.200000000012</v>
      </c>
      <c r="W95" s="401">
        <v>194.7</v>
      </c>
      <c r="X95" s="77">
        <v>1</v>
      </c>
      <c r="Z95" s="256">
        <v>7765.2000000000007</v>
      </c>
      <c r="AA95" s="53">
        <v>1</v>
      </c>
      <c r="AB95" s="256">
        <v>3517047.3666794086</v>
      </c>
      <c r="AC95" s="256">
        <v>1107</v>
      </c>
      <c r="AD95" s="256">
        <v>5147418.751248139</v>
      </c>
      <c r="AE95" s="256">
        <v>89</v>
      </c>
    </row>
    <row r="96" spans="1:31">
      <c r="A96" s="394">
        <v>2019</v>
      </c>
      <c r="B96" s="395" t="s">
        <v>151</v>
      </c>
      <c r="C96" s="75"/>
      <c r="D96" s="72">
        <v>27894969.359999999</v>
      </c>
      <c r="E96" s="72"/>
      <c r="F96" s="396">
        <v>16891336.427068219</v>
      </c>
      <c r="G96" s="73">
        <v>17093</v>
      </c>
      <c r="H96" s="72">
        <f t="shared" si="4"/>
        <v>4201387.2862621862</v>
      </c>
      <c r="I96" s="73">
        <f t="shared" si="5"/>
        <v>1111</v>
      </c>
      <c r="J96" s="74">
        <f t="shared" si="6"/>
        <v>5729442.4899999993</v>
      </c>
      <c r="K96" s="397">
        <v>13068.476772748225</v>
      </c>
      <c r="L96" s="73">
        <f t="shared" si="7"/>
        <v>92</v>
      </c>
      <c r="M96" s="72">
        <v>8742.26</v>
      </c>
      <c r="N96" s="398">
        <v>24.029166666666669</v>
      </c>
      <c r="O96" s="73">
        <v>162</v>
      </c>
      <c r="P96" s="74">
        <v>70406.760000000009</v>
      </c>
      <c r="Q96" s="399">
        <v>160.35498019255971</v>
      </c>
      <c r="R96" s="73">
        <v>3195</v>
      </c>
      <c r="S96" s="74">
        <v>40954.727446905752</v>
      </c>
      <c r="T96" s="397"/>
      <c r="U96" s="73">
        <v>75</v>
      </c>
      <c r="V96" s="74">
        <v>93737.7</v>
      </c>
      <c r="W96" s="397">
        <v>206.7</v>
      </c>
      <c r="X96" s="73">
        <v>1</v>
      </c>
      <c r="Z96" s="256">
        <v>6185.76</v>
      </c>
      <c r="AA96" s="53">
        <v>1</v>
      </c>
      <c r="AB96" s="256">
        <v>4207573.046262186</v>
      </c>
      <c r="AC96" s="256">
        <v>1112</v>
      </c>
      <c r="AD96" s="256">
        <v>5723256.7299999995</v>
      </c>
      <c r="AE96" s="256">
        <v>91</v>
      </c>
    </row>
    <row r="97" spans="1:31">
      <c r="A97" s="394">
        <v>2019</v>
      </c>
      <c r="B97" s="395" t="s">
        <v>152</v>
      </c>
      <c r="C97" s="75"/>
      <c r="D97" s="76">
        <v>24435650.726</v>
      </c>
      <c r="E97" s="76"/>
      <c r="F97" s="400">
        <v>14652737.645843703</v>
      </c>
      <c r="G97" s="77">
        <v>17173</v>
      </c>
      <c r="H97" s="76">
        <f t="shared" si="4"/>
        <v>3773521.8833655384</v>
      </c>
      <c r="I97" s="77">
        <f t="shared" si="5"/>
        <v>1113</v>
      </c>
      <c r="J97" s="78">
        <f t="shared" si="6"/>
        <v>5111573.1099999994</v>
      </c>
      <c r="K97" s="401">
        <v>13046.997620855267</v>
      </c>
      <c r="L97" s="77">
        <f t="shared" si="7"/>
        <v>92</v>
      </c>
      <c r="M97" s="76">
        <v>8742.26</v>
      </c>
      <c r="N97" s="402">
        <v>24.029166666666669</v>
      </c>
      <c r="O97" s="77">
        <v>161</v>
      </c>
      <c r="P97" s="78">
        <v>64719.200000000012</v>
      </c>
      <c r="Q97" s="403">
        <v>165.61120499056432</v>
      </c>
      <c r="R97" s="77">
        <v>3304</v>
      </c>
      <c r="S97" s="78">
        <v>40954.727446905752</v>
      </c>
      <c r="T97" s="401"/>
      <c r="U97" s="77">
        <v>75</v>
      </c>
      <c r="V97" s="78">
        <v>80017.799999999988</v>
      </c>
      <c r="W97" s="401">
        <v>181.2</v>
      </c>
      <c r="X97" s="77">
        <v>1</v>
      </c>
      <c r="Z97" s="256">
        <v>7001.52</v>
      </c>
      <c r="AA97" s="53">
        <v>1</v>
      </c>
      <c r="AB97" s="256">
        <v>3780523.4033655385</v>
      </c>
      <c r="AC97" s="256">
        <v>1114</v>
      </c>
      <c r="AD97" s="256">
        <v>5104571.59</v>
      </c>
      <c r="AE97" s="256">
        <v>91</v>
      </c>
    </row>
    <row r="98" spans="1:31">
      <c r="A98" s="394">
        <v>2019</v>
      </c>
      <c r="B98" s="395" t="s">
        <v>153</v>
      </c>
      <c r="C98" s="75"/>
      <c r="D98" s="76">
        <v>25143357.008000001</v>
      </c>
      <c r="E98" s="76"/>
      <c r="F98" s="400">
        <v>14687602.25063845</v>
      </c>
      <c r="G98" s="77">
        <v>17271</v>
      </c>
      <c r="H98" s="76">
        <f t="shared" si="4"/>
        <v>3874265.8473120397</v>
      </c>
      <c r="I98" s="77">
        <f t="shared" si="5"/>
        <v>1114</v>
      </c>
      <c r="J98" s="78">
        <f t="shared" si="6"/>
        <v>5572710.0999999987</v>
      </c>
      <c r="K98" s="401">
        <v>12097.348740239804</v>
      </c>
      <c r="L98" s="77">
        <f t="shared" si="7"/>
        <v>84</v>
      </c>
      <c r="M98" s="76">
        <v>8742.2599999999984</v>
      </c>
      <c r="N98" s="402">
        <v>24.029166666666669</v>
      </c>
      <c r="O98" s="77">
        <v>161</v>
      </c>
      <c r="P98" s="78">
        <v>71653.400000000009</v>
      </c>
      <c r="Q98" s="403">
        <v>165.61120499056432</v>
      </c>
      <c r="R98" s="77">
        <v>3304</v>
      </c>
      <c r="S98" s="78">
        <v>40954.727446905752</v>
      </c>
      <c r="T98" s="401"/>
      <c r="U98" s="77">
        <v>75</v>
      </c>
      <c r="V98" s="78">
        <v>80993.39999999998</v>
      </c>
      <c r="W98" s="401">
        <v>166.2</v>
      </c>
      <c r="X98" s="77">
        <v>1</v>
      </c>
      <c r="Z98" s="256">
        <v>6492.2399999999989</v>
      </c>
      <c r="AA98" s="53">
        <v>1</v>
      </c>
      <c r="AB98" s="256">
        <v>3880758.0873120399</v>
      </c>
      <c r="AC98" s="256">
        <v>1115</v>
      </c>
      <c r="AD98" s="256">
        <v>5566217.8599999985</v>
      </c>
      <c r="AE98" s="256">
        <v>83</v>
      </c>
    </row>
    <row r="99" spans="1:31">
      <c r="A99" s="394">
        <v>2019</v>
      </c>
      <c r="B99" s="395" t="s">
        <v>154</v>
      </c>
      <c r="C99" s="75"/>
      <c r="D99" s="76">
        <v>21419957.239</v>
      </c>
      <c r="E99" s="76"/>
      <c r="F99" s="400">
        <v>12139578.086767755</v>
      </c>
      <c r="G99" s="77">
        <v>17285</v>
      </c>
      <c r="H99" s="76">
        <f t="shared" si="4"/>
        <v>3230869.9378628419</v>
      </c>
      <c r="I99" s="77">
        <f t="shared" si="5"/>
        <v>1109</v>
      </c>
      <c r="J99" s="78">
        <f t="shared" si="6"/>
        <v>5237422.17</v>
      </c>
      <c r="K99" s="401">
        <v>12817.516164477262</v>
      </c>
      <c r="L99" s="77">
        <f t="shared" si="7"/>
        <v>84</v>
      </c>
      <c r="M99" s="76">
        <v>8742.26</v>
      </c>
      <c r="N99" s="402">
        <v>24.029166666666669</v>
      </c>
      <c r="O99" s="77">
        <v>161</v>
      </c>
      <c r="P99" s="78">
        <v>52006.500000000007</v>
      </c>
      <c r="Q99" s="403">
        <v>165.61120499056432</v>
      </c>
      <c r="R99" s="77">
        <v>3304</v>
      </c>
      <c r="S99" s="78">
        <v>40954.727446905752</v>
      </c>
      <c r="T99" s="401"/>
      <c r="U99" s="77">
        <v>75</v>
      </c>
      <c r="V99" s="78">
        <v>68968.2</v>
      </c>
      <c r="W99" s="401">
        <v>167.1</v>
      </c>
      <c r="X99" s="77">
        <v>1</v>
      </c>
      <c r="Z99" s="256">
        <v>32150.760000000002</v>
      </c>
      <c r="AA99" s="53">
        <v>3</v>
      </c>
      <c r="AB99" s="256">
        <v>3263020.6978628417</v>
      </c>
      <c r="AC99" s="256">
        <v>1112</v>
      </c>
      <c r="AD99" s="256">
        <v>5205271.41</v>
      </c>
      <c r="AE99" s="256">
        <v>81</v>
      </c>
    </row>
    <row r="100" spans="1:31">
      <c r="A100" s="394">
        <v>2019</v>
      </c>
      <c r="B100" s="395" t="s">
        <v>155</v>
      </c>
      <c r="C100" s="75"/>
      <c r="D100" s="76">
        <v>20126479.741</v>
      </c>
      <c r="E100" s="76"/>
      <c r="F100" s="400">
        <v>10931012.367285296</v>
      </c>
      <c r="G100" s="77">
        <v>17299</v>
      </c>
      <c r="H100" s="76">
        <f t="shared" si="4"/>
        <v>3128196.5466251136</v>
      </c>
      <c r="I100" s="77">
        <f t="shared" si="5"/>
        <v>1105</v>
      </c>
      <c r="J100" s="78">
        <f t="shared" si="6"/>
        <v>5283439.2499999991</v>
      </c>
      <c r="K100" s="401">
        <v>12902.040882952051</v>
      </c>
      <c r="L100" s="77">
        <f t="shared" si="7"/>
        <v>86</v>
      </c>
      <c r="M100" s="76">
        <v>8726.9600000000028</v>
      </c>
      <c r="N100" s="402">
        <v>24.029166666666669</v>
      </c>
      <c r="O100" s="77">
        <v>161</v>
      </c>
      <c r="P100" s="78">
        <v>53740.050000000017</v>
      </c>
      <c r="Q100" s="403">
        <v>165.61120499056432</v>
      </c>
      <c r="R100" s="77">
        <v>3304</v>
      </c>
      <c r="S100" s="78">
        <v>40818.747387648225</v>
      </c>
      <c r="T100" s="401"/>
      <c r="U100" s="77">
        <v>75</v>
      </c>
      <c r="V100" s="78">
        <v>65946.000000000015</v>
      </c>
      <c r="W100" s="401">
        <v>138.30000000000001</v>
      </c>
      <c r="X100" s="77">
        <v>1</v>
      </c>
      <c r="Z100" s="256">
        <v>53068.679999999993</v>
      </c>
      <c r="AA100" s="53">
        <v>3</v>
      </c>
      <c r="AB100" s="256">
        <v>3181265.2266251137</v>
      </c>
      <c r="AC100" s="256">
        <v>1108</v>
      </c>
      <c r="AD100" s="256">
        <v>5230370.5699999994</v>
      </c>
      <c r="AE100" s="256">
        <v>83</v>
      </c>
    </row>
    <row r="101" spans="1:31">
      <c r="A101" s="394">
        <v>2019</v>
      </c>
      <c r="B101" s="395" t="s">
        <v>156</v>
      </c>
      <c r="C101" s="75"/>
      <c r="D101" s="76">
        <v>20273580.334999997</v>
      </c>
      <c r="E101" s="76"/>
      <c r="F101" s="400">
        <v>11117176.846313413</v>
      </c>
      <c r="G101" s="77">
        <v>17304</v>
      </c>
      <c r="H101" s="76">
        <f t="shared" si="4"/>
        <v>3135776.3155378294</v>
      </c>
      <c r="I101" s="77">
        <f t="shared" si="5"/>
        <v>1112</v>
      </c>
      <c r="J101" s="78">
        <f t="shared" si="6"/>
        <v>5302674.5499999989</v>
      </c>
      <c r="K101" s="401">
        <v>12897.704998210955</v>
      </c>
      <c r="L101" s="77">
        <f t="shared" si="7"/>
        <v>86</v>
      </c>
      <c r="M101" s="76">
        <v>8708.0600000000013</v>
      </c>
      <c r="N101" s="402">
        <v>24.029166666666669</v>
      </c>
      <c r="O101" s="77">
        <v>160</v>
      </c>
      <c r="P101" s="78">
        <v>52001.210000000006</v>
      </c>
      <c r="Q101" s="403">
        <v>165.61120499056432</v>
      </c>
      <c r="R101" s="77">
        <v>3304</v>
      </c>
      <c r="S101" s="78">
        <v>40252.174740039125</v>
      </c>
      <c r="T101" s="401"/>
      <c r="U101" s="77">
        <v>75</v>
      </c>
      <c r="V101" s="78">
        <v>71465.7</v>
      </c>
      <c r="W101" s="401">
        <v>199.5</v>
      </c>
      <c r="X101" s="77">
        <v>1</v>
      </c>
      <c r="Z101" s="256">
        <v>45436.08</v>
      </c>
      <c r="AA101" s="53">
        <v>3</v>
      </c>
      <c r="AB101" s="256">
        <v>3181212.3955378295</v>
      </c>
      <c r="AC101" s="256">
        <v>1115</v>
      </c>
      <c r="AD101" s="256">
        <v>5257238.4699999988</v>
      </c>
      <c r="AE101" s="256">
        <v>83</v>
      </c>
    </row>
    <row r="102" spans="1:31">
      <c r="A102" s="394">
        <v>2019</v>
      </c>
      <c r="B102" s="395" t="s">
        <v>157</v>
      </c>
      <c r="C102" s="75"/>
      <c r="D102" s="76">
        <v>26858420.012999997</v>
      </c>
      <c r="E102" s="76"/>
      <c r="F102" s="400">
        <v>16221048.994180053</v>
      </c>
      <c r="G102" s="77">
        <v>17322</v>
      </c>
      <c r="H102" s="76">
        <f t="shared" si="4"/>
        <v>3818304.4711683108</v>
      </c>
      <c r="I102" s="77">
        <f t="shared" si="5"/>
        <v>1124</v>
      </c>
      <c r="J102" s="78">
        <f t="shared" si="6"/>
        <v>5879416.879999999</v>
      </c>
      <c r="K102" s="401">
        <v>15480.390265309738</v>
      </c>
      <c r="L102" s="77">
        <f t="shared" si="7"/>
        <v>86</v>
      </c>
      <c r="M102" s="76">
        <v>8649.9200000000019</v>
      </c>
      <c r="N102" s="402">
        <v>24.029166666666669</v>
      </c>
      <c r="O102" s="77">
        <v>159</v>
      </c>
      <c r="P102" s="78">
        <v>38289.790000000008</v>
      </c>
      <c r="Q102" s="403">
        <v>165.10965682281577</v>
      </c>
      <c r="R102" s="77">
        <v>3304</v>
      </c>
      <c r="S102" s="78">
        <v>40116.194680781606</v>
      </c>
      <c r="T102" s="401"/>
      <c r="U102" s="77">
        <v>74</v>
      </c>
      <c r="V102" s="78">
        <v>95638.499999999971</v>
      </c>
      <c r="W102" s="401">
        <v>249</v>
      </c>
      <c r="X102" s="77">
        <v>1</v>
      </c>
      <c r="Z102" s="256">
        <v>41259.360000000001</v>
      </c>
      <c r="AA102" s="53">
        <v>3</v>
      </c>
      <c r="AB102" s="256">
        <v>3859563.8311683107</v>
      </c>
      <c r="AC102" s="256">
        <v>1127</v>
      </c>
      <c r="AD102" s="256">
        <v>5838157.5199999986</v>
      </c>
      <c r="AE102" s="256">
        <v>83</v>
      </c>
    </row>
    <row r="103" spans="1:31">
      <c r="A103" s="394">
        <v>2019</v>
      </c>
      <c r="B103" s="395" t="s">
        <v>158</v>
      </c>
      <c r="C103" s="75"/>
      <c r="D103" s="76">
        <v>23828311.434</v>
      </c>
      <c r="E103" s="76"/>
      <c r="F103" s="400">
        <v>13665505.744210795</v>
      </c>
      <c r="G103" s="77">
        <v>17327</v>
      </c>
      <c r="H103" s="76">
        <f t="shared" si="4"/>
        <v>3643927.1464580526</v>
      </c>
      <c r="I103" s="77">
        <f t="shared" si="5"/>
        <v>1125</v>
      </c>
      <c r="J103" s="78">
        <f t="shared" si="6"/>
        <v>5612181.3500000006</v>
      </c>
      <c r="K103" s="401">
        <v>15066.8690268149</v>
      </c>
      <c r="L103" s="77">
        <f t="shared" si="7"/>
        <v>86</v>
      </c>
      <c r="M103" s="76">
        <v>8572.4000000000015</v>
      </c>
      <c r="N103" s="402">
        <v>24.029166666666669</v>
      </c>
      <c r="O103" s="77">
        <v>159</v>
      </c>
      <c r="P103" s="78">
        <v>38423.630000000005</v>
      </c>
      <c r="Q103" s="403">
        <v>165.61120499056432</v>
      </c>
      <c r="R103" s="77">
        <v>3310</v>
      </c>
      <c r="S103" s="78">
        <v>40116.194680781606</v>
      </c>
      <c r="T103" s="401"/>
      <c r="U103" s="77">
        <v>74</v>
      </c>
      <c r="V103" s="78">
        <v>82108.199999999968</v>
      </c>
      <c r="W103" s="401">
        <v>220.2</v>
      </c>
      <c r="X103" s="77">
        <v>1</v>
      </c>
      <c r="Z103" s="256">
        <v>44701.32</v>
      </c>
      <c r="AA103" s="53">
        <v>3</v>
      </c>
      <c r="AB103" s="256">
        <v>3688628.4664580524</v>
      </c>
      <c r="AC103" s="256">
        <v>1128</v>
      </c>
      <c r="AD103" s="256">
        <v>5567480.0300000003</v>
      </c>
      <c r="AE103" s="256">
        <v>83</v>
      </c>
    </row>
    <row r="104" spans="1:31">
      <c r="A104" s="394">
        <v>2019</v>
      </c>
      <c r="B104" s="395" t="s">
        <v>159</v>
      </c>
      <c r="C104" s="75"/>
      <c r="D104" s="76">
        <v>19656048.893999998</v>
      </c>
      <c r="E104" s="76"/>
      <c r="F104" s="400">
        <v>10400827.09320703</v>
      </c>
      <c r="G104" s="77">
        <v>17338</v>
      </c>
      <c r="H104" s="76">
        <f t="shared" si="4"/>
        <v>3115571.4951038226</v>
      </c>
      <c r="I104" s="77">
        <f t="shared" si="5"/>
        <v>1125</v>
      </c>
      <c r="J104" s="78">
        <f t="shared" si="6"/>
        <v>5147528.33</v>
      </c>
      <c r="K104" s="401">
        <v>14368.631366048572</v>
      </c>
      <c r="L104" s="77">
        <f t="shared" si="7"/>
        <v>86</v>
      </c>
      <c r="M104" s="76">
        <v>8571.2599999999984</v>
      </c>
      <c r="N104" s="402">
        <v>24.029166666666669</v>
      </c>
      <c r="O104" s="77">
        <v>159</v>
      </c>
      <c r="P104" s="78">
        <v>37184.160000000011</v>
      </c>
      <c r="Q104" s="403">
        <v>165.77170040424383</v>
      </c>
      <c r="R104" s="77">
        <v>3310</v>
      </c>
      <c r="S104" s="78">
        <v>40116.194680781606</v>
      </c>
      <c r="T104" s="401"/>
      <c r="U104" s="77">
        <v>74</v>
      </c>
      <c r="V104" s="78">
        <v>61870.200000000004</v>
      </c>
      <c r="W104" s="401">
        <v>174.6</v>
      </c>
      <c r="X104" s="77">
        <v>1</v>
      </c>
      <c r="Z104" s="256">
        <v>38439.599999999999</v>
      </c>
      <c r="AA104" s="53">
        <v>3</v>
      </c>
      <c r="AB104" s="256">
        <v>3154011.0951038226</v>
      </c>
      <c r="AC104" s="256">
        <v>1128</v>
      </c>
      <c r="AD104" s="256">
        <v>5109088.7300000004</v>
      </c>
      <c r="AE104" s="256">
        <v>83</v>
      </c>
    </row>
    <row r="105" spans="1:31">
      <c r="A105" s="394">
        <v>2019</v>
      </c>
      <c r="B105" s="395" t="s">
        <v>160</v>
      </c>
      <c r="C105" s="75"/>
      <c r="D105" s="76">
        <v>20804823.366999999</v>
      </c>
      <c r="E105" s="76"/>
      <c r="F105" s="400">
        <v>11139572.217157541</v>
      </c>
      <c r="G105" s="77">
        <v>17347</v>
      </c>
      <c r="H105" s="76">
        <f t="shared" si="4"/>
        <v>3133242.6170521802</v>
      </c>
      <c r="I105" s="77">
        <f t="shared" si="5"/>
        <v>1124</v>
      </c>
      <c r="J105" s="78">
        <f t="shared" si="6"/>
        <v>5424931.1400000006</v>
      </c>
      <c r="K105" s="401">
        <v>14847.190875659833</v>
      </c>
      <c r="L105" s="77">
        <f t="shared" si="7"/>
        <v>86</v>
      </c>
      <c r="M105" s="76">
        <v>8574.92</v>
      </c>
      <c r="N105" s="402">
        <v>24.029166666666669</v>
      </c>
      <c r="O105" s="77">
        <v>159</v>
      </c>
      <c r="P105" s="78">
        <v>58916.240000000005</v>
      </c>
      <c r="Q105" s="403">
        <v>165.77170040424383</v>
      </c>
      <c r="R105" s="77">
        <v>3310</v>
      </c>
      <c r="S105" s="78">
        <v>40116.194680781606</v>
      </c>
      <c r="T105" s="401"/>
      <c r="U105" s="77">
        <v>74</v>
      </c>
      <c r="V105" s="78">
        <v>61303.5</v>
      </c>
      <c r="W105" s="401">
        <v>136.80000000000001</v>
      </c>
      <c r="X105" s="77">
        <v>1</v>
      </c>
      <c r="Z105" s="256">
        <v>44081.16</v>
      </c>
      <c r="AA105" s="53">
        <v>3</v>
      </c>
      <c r="AB105" s="256">
        <v>3177323.7770521804</v>
      </c>
      <c r="AC105" s="256">
        <v>1127</v>
      </c>
      <c r="AD105" s="256">
        <v>5380849.9800000004</v>
      </c>
      <c r="AE105" s="256">
        <v>83</v>
      </c>
    </row>
    <row r="106" spans="1:31">
      <c r="A106" s="394">
        <v>2019</v>
      </c>
      <c r="B106" s="395" t="s">
        <v>161</v>
      </c>
      <c r="C106" s="75"/>
      <c r="D106" s="76">
        <v>23741040.090999998</v>
      </c>
      <c r="E106" s="76"/>
      <c r="F106" s="400">
        <v>13623296.071327399</v>
      </c>
      <c r="G106" s="77">
        <v>17364</v>
      </c>
      <c r="H106" s="76">
        <f t="shared" si="4"/>
        <v>3391763.1494478006</v>
      </c>
      <c r="I106" s="77">
        <f t="shared" si="5"/>
        <v>1124</v>
      </c>
      <c r="J106" s="78">
        <f t="shared" si="6"/>
        <v>5503057.1199999992</v>
      </c>
      <c r="K106" s="401">
        <v>14582.832083131174</v>
      </c>
      <c r="L106" s="77">
        <f t="shared" si="7"/>
        <v>86</v>
      </c>
      <c r="M106" s="76">
        <v>8525.66</v>
      </c>
      <c r="N106" s="402">
        <v>24.029166666666669</v>
      </c>
      <c r="O106" s="77">
        <v>159</v>
      </c>
      <c r="P106" s="78">
        <v>57148.610000000015</v>
      </c>
      <c r="Q106" s="403">
        <v>165.77170040424383</v>
      </c>
      <c r="R106" s="77">
        <v>3412</v>
      </c>
      <c r="S106" s="78">
        <v>40116.194680781606</v>
      </c>
      <c r="T106" s="401"/>
      <c r="U106" s="77">
        <v>74</v>
      </c>
      <c r="V106" s="78">
        <v>73416.900000000009</v>
      </c>
      <c r="W106" s="401">
        <v>164.4</v>
      </c>
      <c r="X106" s="77">
        <v>1</v>
      </c>
      <c r="Z106" s="256">
        <v>54796.92</v>
      </c>
      <c r="AA106" s="53">
        <v>3</v>
      </c>
      <c r="AB106" s="256">
        <v>3446560.0694478005</v>
      </c>
      <c r="AC106" s="256">
        <v>1127</v>
      </c>
      <c r="AD106" s="256">
        <v>5448260.1999999993</v>
      </c>
      <c r="AE106" s="256">
        <v>83</v>
      </c>
    </row>
    <row r="107" spans="1:31">
      <c r="A107" s="394">
        <v>2019</v>
      </c>
      <c r="B107" s="395" t="s">
        <v>162</v>
      </c>
      <c r="C107" s="75"/>
      <c r="D107" s="76">
        <v>26398898.682</v>
      </c>
      <c r="E107" s="76"/>
      <c r="F107" s="400">
        <v>15814825.926000301</v>
      </c>
      <c r="G107" s="77">
        <v>17409</v>
      </c>
      <c r="H107" s="76">
        <f t="shared" si="4"/>
        <v>3598029.3938042819</v>
      </c>
      <c r="I107" s="77">
        <f t="shared" si="5"/>
        <v>1137</v>
      </c>
      <c r="J107" s="78">
        <f t="shared" si="6"/>
        <v>5721554.8999999994</v>
      </c>
      <c r="K107" s="401">
        <v>12961.221203552221</v>
      </c>
      <c r="L107" s="77">
        <f t="shared" si="7"/>
        <v>85</v>
      </c>
      <c r="M107" s="76">
        <v>8506.2800000000007</v>
      </c>
      <c r="N107" s="402">
        <v>24.029166666666669</v>
      </c>
      <c r="O107" s="77">
        <v>158</v>
      </c>
      <c r="P107" s="78">
        <v>59163.700000000004</v>
      </c>
      <c r="Q107" s="403">
        <v>166.20303182850759</v>
      </c>
      <c r="R107" s="77">
        <v>3320</v>
      </c>
      <c r="S107" s="78">
        <v>40116.194680781606</v>
      </c>
      <c r="T107" s="401"/>
      <c r="U107" s="77">
        <v>74</v>
      </c>
      <c r="V107" s="78">
        <v>87488.1</v>
      </c>
      <c r="W107" s="401">
        <v>181.2</v>
      </c>
      <c r="X107" s="77">
        <v>1</v>
      </c>
      <c r="Z107" s="256">
        <v>62193.479999999996</v>
      </c>
      <c r="AA107" s="53">
        <v>3</v>
      </c>
      <c r="AB107" s="256">
        <v>3660222.8738042819</v>
      </c>
      <c r="AC107" s="256">
        <v>1140</v>
      </c>
      <c r="AD107" s="256">
        <v>5659361.419999999</v>
      </c>
      <c r="AE107" s="256">
        <v>82</v>
      </c>
    </row>
    <row r="108" spans="1:31">
      <c r="A108" s="394">
        <v>2020</v>
      </c>
      <c r="B108" s="395" t="s">
        <v>151</v>
      </c>
      <c r="C108" s="75"/>
      <c r="D108" s="72">
        <v>26523401.686000001</v>
      </c>
      <c r="E108" s="72"/>
      <c r="F108" s="396">
        <v>15639139.076997533</v>
      </c>
      <c r="G108" s="73">
        <v>17443</v>
      </c>
      <c r="H108" s="72">
        <f t="shared" si="4"/>
        <v>3630338.8181387885</v>
      </c>
      <c r="I108" s="73">
        <f t="shared" si="5"/>
        <v>1137</v>
      </c>
      <c r="J108" s="74">
        <f t="shared" si="6"/>
        <v>5683453.8711618399</v>
      </c>
      <c r="K108" s="397">
        <v>13070.594332174469</v>
      </c>
      <c r="L108" s="73">
        <f t="shared" si="7"/>
        <v>86</v>
      </c>
      <c r="M108" s="72">
        <v>8509.4437558496138</v>
      </c>
      <c r="N108" s="398">
        <v>23.63730162751461</v>
      </c>
      <c r="O108" s="73">
        <v>156</v>
      </c>
      <c r="P108" s="74">
        <v>72511.320000000007</v>
      </c>
      <c r="Q108" s="399">
        <v>167.3222433031375</v>
      </c>
      <c r="R108" s="73">
        <v>3328</v>
      </c>
      <c r="S108" s="74">
        <v>36694</v>
      </c>
      <c r="T108" s="397"/>
      <c r="U108" s="73">
        <v>74</v>
      </c>
      <c r="V108" s="74">
        <v>85531.5</v>
      </c>
      <c r="W108" s="397">
        <v>180.3</v>
      </c>
      <c r="X108" s="73">
        <v>1</v>
      </c>
      <c r="Z108" s="256">
        <v>61028.639999999999</v>
      </c>
      <c r="AA108" s="53">
        <v>3</v>
      </c>
      <c r="AB108" s="256">
        <v>3691367.4581387886</v>
      </c>
      <c r="AC108" s="256">
        <v>1140</v>
      </c>
      <c r="AD108" s="256">
        <v>5622425.2311618403</v>
      </c>
      <c r="AE108" s="256">
        <v>83</v>
      </c>
    </row>
    <row r="109" spans="1:31">
      <c r="A109" s="394">
        <v>2020</v>
      </c>
      <c r="B109" s="395" t="s">
        <v>152</v>
      </c>
      <c r="C109" s="75"/>
      <c r="D109" s="76">
        <v>24898397.280999999</v>
      </c>
      <c r="E109" s="76"/>
      <c r="F109" s="400">
        <v>14621181.315026164</v>
      </c>
      <c r="G109" s="77">
        <v>17447</v>
      </c>
      <c r="H109" s="76">
        <f t="shared" si="4"/>
        <v>3687428.3273591632</v>
      </c>
      <c r="I109" s="77">
        <f t="shared" si="5"/>
        <v>1144</v>
      </c>
      <c r="J109" s="78">
        <f t="shared" si="6"/>
        <v>5317947.8070785059</v>
      </c>
      <c r="K109" s="401">
        <v>13207.62163985312</v>
      </c>
      <c r="L109" s="77">
        <f t="shared" si="7"/>
        <v>85</v>
      </c>
      <c r="M109" s="76">
        <v>8504.6400392144969</v>
      </c>
      <c r="N109" s="402">
        <v>23.623957993982827</v>
      </c>
      <c r="O109" s="77">
        <v>156</v>
      </c>
      <c r="P109" s="78">
        <v>68199.88</v>
      </c>
      <c r="Q109" s="403">
        <v>169.33841685782048</v>
      </c>
      <c r="R109" s="77">
        <v>3328</v>
      </c>
      <c r="S109" s="78">
        <v>36694</v>
      </c>
      <c r="T109" s="401"/>
      <c r="U109" s="77">
        <v>74</v>
      </c>
      <c r="V109" s="78">
        <v>79345.800000000017</v>
      </c>
      <c r="W109" s="401">
        <v>174</v>
      </c>
      <c r="X109" s="77">
        <v>1</v>
      </c>
      <c r="Z109" s="256">
        <v>61991.88</v>
      </c>
      <c r="AA109" s="53">
        <v>3</v>
      </c>
      <c r="AB109" s="256">
        <v>3749420.2073591631</v>
      </c>
      <c r="AC109" s="256">
        <v>1147</v>
      </c>
      <c r="AD109" s="256">
        <v>5255955.927078506</v>
      </c>
      <c r="AE109" s="256">
        <v>82</v>
      </c>
    </row>
    <row r="110" spans="1:31">
      <c r="A110" s="394">
        <v>2020</v>
      </c>
      <c r="B110" s="395" t="s">
        <v>153</v>
      </c>
      <c r="C110" s="75"/>
      <c r="D110" s="76">
        <v>24574269.381999999</v>
      </c>
      <c r="E110" s="76"/>
      <c r="F110" s="400">
        <v>14387282.127787087</v>
      </c>
      <c r="G110" s="77">
        <v>17461</v>
      </c>
      <c r="H110" s="76">
        <f t="shared" si="4"/>
        <v>3314433.8390357709</v>
      </c>
      <c r="I110" s="77">
        <f t="shared" si="5"/>
        <v>1147</v>
      </c>
      <c r="J110" s="78">
        <f t="shared" si="6"/>
        <v>5331813.3747632969</v>
      </c>
      <c r="K110" s="401">
        <v>12865.404266524827</v>
      </c>
      <c r="L110" s="77">
        <f t="shared" si="7"/>
        <v>85</v>
      </c>
      <c r="M110" s="76">
        <v>8520.4322576524482</v>
      </c>
      <c r="N110" s="402">
        <v>23.667825189218576</v>
      </c>
      <c r="O110" s="77">
        <v>156</v>
      </c>
      <c r="P110" s="78">
        <v>72903.320000000007</v>
      </c>
      <c r="Q110" s="403">
        <v>169.33841685782048</v>
      </c>
      <c r="R110" s="77">
        <v>3328</v>
      </c>
      <c r="S110" s="78">
        <v>36694</v>
      </c>
      <c r="T110" s="401"/>
      <c r="U110" s="77">
        <v>74</v>
      </c>
      <c r="V110" s="78">
        <v>77453.699999999983</v>
      </c>
      <c r="W110" s="401">
        <v>161.4</v>
      </c>
      <c r="X110" s="77">
        <v>1</v>
      </c>
      <c r="Z110" s="256">
        <v>102630.12</v>
      </c>
      <c r="AA110" s="53">
        <v>3</v>
      </c>
      <c r="AB110" s="256">
        <v>3417063.959035771</v>
      </c>
      <c r="AC110" s="256">
        <v>1150</v>
      </c>
      <c r="AD110" s="256">
        <v>5229183.2547632968</v>
      </c>
      <c r="AE110" s="256">
        <v>82</v>
      </c>
    </row>
    <row r="111" spans="1:31">
      <c r="A111" s="394">
        <v>2020</v>
      </c>
      <c r="B111" s="395" t="s">
        <v>154</v>
      </c>
      <c r="C111" s="75"/>
      <c r="D111" s="76">
        <v>21967925.707000002</v>
      </c>
      <c r="E111" s="76"/>
      <c r="F111" s="400">
        <v>13265200.04250267</v>
      </c>
      <c r="G111" s="77">
        <v>17461</v>
      </c>
      <c r="H111" s="76">
        <f t="shared" si="4"/>
        <v>2799222.7968089925</v>
      </c>
      <c r="I111" s="77">
        <f t="shared" si="5"/>
        <v>1147</v>
      </c>
      <c r="J111" s="78">
        <f t="shared" si="6"/>
        <v>4531953.6746976636</v>
      </c>
      <c r="K111" s="401">
        <v>12887.6639142845</v>
      </c>
      <c r="L111" s="77">
        <f t="shared" si="7"/>
        <v>85</v>
      </c>
      <c r="M111" s="76">
        <v>8504.8802250462522</v>
      </c>
      <c r="N111" s="402">
        <v>23.624625175659418</v>
      </c>
      <c r="O111" s="77">
        <v>156</v>
      </c>
      <c r="P111" s="78">
        <v>52913.7</v>
      </c>
      <c r="Q111" s="403">
        <v>169.33841685782048</v>
      </c>
      <c r="R111" s="77">
        <v>3328</v>
      </c>
      <c r="S111" s="78">
        <v>36694</v>
      </c>
      <c r="T111" s="401"/>
      <c r="U111" s="77">
        <v>74</v>
      </c>
      <c r="V111" s="78">
        <v>71087.400000000009</v>
      </c>
      <c r="W111" s="401">
        <v>159</v>
      </c>
      <c r="X111" s="77">
        <v>1</v>
      </c>
      <c r="Z111" s="256">
        <v>11992.68</v>
      </c>
      <c r="AA111" s="53">
        <v>3</v>
      </c>
      <c r="AB111" s="256">
        <v>2811215.4768089927</v>
      </c>
      <c r="AC111" s="256">
        <v>1150</v>
      </c>
      <c r="AD111" s="256">
        <v>4519960.9946976639</v>
      </c>
      <c r="AE111" s="256">
        <v>82</v>
      </c>
    </row>
    <row r="112" spans="1:31">
      <c r="A112" s="394">
        <v>2020</v>
      </c>
      <c r="B112" s="395" t="s">
        <v>155</v>
      </c>
      <c r="C112" s="75"/>
      <c r="D112" s="76">
        <v>21748680.120000001</v>
      </c>
      <c r="E112" s="76"/>
      <c r="F112" s="400">
        <v>13184066.33688782</v>
      </c>
      <c r="G112" s="77">
        <v>17481</v>
      </c>
      <c r="H112" s="76">
        <f t="shared" si="4"/>
        <v>2765387.2278258125</v>
      </c>
      <c r="I112" s="77">
        <f t="shared" si="5"/>
        <v>1150</v>
      </c>
      <c r="J112" s="78">
        <f t="shared" si="6"/>
        <v>4466882.9798953822</v>
      </c>
      <c r="K112" s="401">
        <v>10696.600921727493</v>
      </c>
      <c r="L112" s="77">
        <f t="shared" si="7"/>
        <v>81</v>
      </c>
      <c r="M112" s="76">
        <v>8442.1316765000247</v>
      </c>
      <c r="N112" s="402">
        <v>23.450323962650479</v>
      </c>
      <c r="O112" s="77">
        <v>156</v>
      </c>
      <c r="P112" s="78">
        <v>54677.49</v>
      </c>
      <c r="Q112" s="403">
        <v>169.33841685782048</v>
      </c>
      <c r="R112" s="77">
        <v>3328</v>
      </c>
      <c r="S112" s="78">
        <v>36694</v>
      </c>
      <c r="T112" s="401"/>
      <c r="U112" s="77">
        <v>74</v>
      </c>
      <c r="V112" s="78">
        <v>72853.5</v>
      </c>
      <c r="W112" s="401">
        <v>232.5</v>
      </c>
      <c r="X112" s="77">
        <v>1</v>
      </c>
      <c r="Z112" s="256">
        <v>45258.960000000006</v>
      </c>
      <c r="AA112" s="53">
        <v>3</v>
      </c>
      <c r="AB112" s="256">
        <v>2810646.1878258125</v>
      </c>
      <c r="AC112" s="256">
        <v>1153</v>
      </c>
      <c r="AD112" s="256">
        <v>4421624.0198953822</v>
      </c>
      <c r="AE112" s="256">
        <v>78</v>
      </c>
    </row>
    <row r="113" spans="1:31">
      <c r="A113" s="394">
        <v>2020</v>
      </c>
      <c r="B113" s="395" t="s">
        <v>156</v>
      </c>
      <c r="C113" s="75"/>
      <c r="D113" s="76">
        <v>23703342.888</v>
      </c>
      <c r="E113" s="76"/>
      <c r="F113" s="400">
        <v>14487270.600410927</v>
      </c>
      <c r="G113" s="77">
        <v>17517</v>
      </c>
      <c r="H113" s="76">
        <f t="shared" si="4"/>
        <v>2998980.1327683516</v>
      </c>
      <c r="I113" s="77">
        <f t="shared" si="5"/>
        <v>1152</v>
      </c>
      <c r="J113" s="78">
        <f t="shared" si="6"/>
        <v>4909425.6923125628</v>
      </c>
      <c r="K113" s="401">
        <v>12828.120344966446</v>
      </c>
      <c r="L113" s="77">
        <f t="shared" si="7"/>
        <v>81</v>
      </c>
      <c r="M113" s="76">
        <v>8440.9907937991866</v>
      </c>
      <c r="N113" s="402">
        <v>23.447154849686687</v>
      </c>
      <c r="O113" s="77">
        <v>155</v>
      </c>
      <c r="P113" s="78">
        <v>52913.7</v>
      </c>
      <c r="Q113" s="403">
        <v>169.33841685782048</v>
      </c>
      <c r="R113" s="77">
        <v>3328</v>
      </c>
      <c r="S113" s="78">
        <v>36694</v>
      </c>
      <c r="T113" s="401"/>
      <c r="U113" s="77">
        <v>74</v>
      </c>
      <c r="V113" s="78">
        <v>83999.699999999983</v>
      </c>
      <c r="W113" s="401">
        <v>231</v>
      </c>
      <c r="X113" s="77">
        <v>1</v>
      </c>
      <c r="Z113" s="256">
        <v>47272.56</v>
      </c>
      <c r="AA113" s="53">
        <v>3</v>
      </c>
      <c r="AB113" s="256">
        <v>3046252.6927683516</v>
      </c>
      <c r="AC113" s="256">
        <v>1155</v>
      </c>
      <c r="AD113" s="256">
        <v>4862153.1323125632</v>
      </c>
      <c r="AE113" s="256">
        <v>78</v>
      </c>
    </row>
    <row r="114" spans="1:31">
      <c r="A114" s="394">
        <v>2020</v>
      </c>
      <c r="B114" s="395" t="s">
        <v>157</v>
      </c>
      <c r="C114" s="75"/>
      <c r="D114" s="76">
        <v>29815954.280999999</v>
      </c>
      <c r="E114" s="76"/>
      <c r="F114" s="400">
        <v>19146321.806169357</v>
      </c>
      <c r="G114" s="77">
        <v>17529</v>
      </c>
      <c r="H114" s="76">
        <f t="shared" si="4"/>
        <v>3788099.1697056675</v>
      </c>
      <c r="I114" s="77">
        <f t="shared" si="5"/>
        <v>1154</v>
      </c>
      <c r="J114" s="78">
        <f t="shared" si="6"/>
        <v>5279831.6296697669</v>
      </c>
      <c r="K114" s="401">
        <v>11371.269890414907</v>
      </c>
      <c r="L114" s="77">
        <f t="shared" si="7"/>
        <v>81</v>
      </c>
      <c r="M114" s="76">
        <v>8434.6258692576539</v>
      </c>
      <c r="N114" s="402">
        <v>23.429474535257068</v>
      </c>
      <c r="O114" s="77">
        <v>155</v>
      </c>
      <c r="P114" s="78">
        <v>39055.35</v>
      </c>
      <c r="Q114" s="403">
        <v>169.33841685782048</v>
      </c>
      <c r="R114" s="77">
        <v>3328</v>
      </c>
      <c r="S114" s="78">
        <v>36694</v>
      </c>
      <c r="T114" s="401"/>
      <c r="U114" s="77">
        <v>74</v>
      </c>
      <c r="V114" s="78">
        <v>102486.3</v>
      </c>
      <c r="W114" s="401">
        <v>268.5</v>
      </c>
      <c r="X114" s="77">
        <v>1</v>
      </c>
      <c r="Z114" s="256">
        <v>51905.64</v>
      </c>
      <c r="AA114" s="53">
        <v>3</v>
      </c>
      <c r="AB114" s="256">
        <v>3840004.8097056677</v>
      </c>
      <c r="AC114" s="256">
        <v>1157</v>
      </c>
      <c r="AD114" s="256">
        <v>5227925.9896697672</v>
      </c>
      <c r="AE114" s="256">
        <v>78</v>
      </c>
    </row>
    <row r="115" spans="1:31">
      <c r="A115" s="394">
        <v>2020</v>
      </c>
      <c r="B115" s="395" t="s">
        <v>158</v>
      </c>
      <c r="C115" s="75"/>
      <c r="D115" s="76">
        <v>26121737.241</v>
      </c>
      <c r="E115" s="76"/>
      <c r="F115" s="400">
        <v>16230751.358099891</v>
      </c>
      <c r="G115" s="77">
        <v>17563</v>
      </c>
      <c r="H115" s="76">
        <f t="shared" si="4"/>
        <v>3477489.5784267257</v>
      </c>
      <c r="I115" s="77">
        <f t="shared" si="5"/>
        <v>1154</v>
      </c>
      <c r="J115" s="78">
        <f t="shared" si="6"/>
        <v>5021398.719920285</v>
      </c>
      <c r="K115" s="401">
        <v>12719.757770193235</v>
      </c>
      <c r="L115" s="77">
        <f t="shared" si="7"/>
        <v>80</v>
      </c>
      <c r="M115" s="76">
        <v>8379.8634996173132</v>
      </c>
      <c r="N115" s="402">
        <v>23.277357112994732</v>
      </c>
      <c r="O115" s="77">
        <v>155</v>
      </c>
      <c r="P115" s="78">
        <v>39055.35</v>
      </c>
      <c r="Q115" s="403">
        <v>169.33841685782048</v>
      </c>
      <c r="R115" s="77">
        <v>3328</v>
      </c>
      <c r="S115" s="78">
        <v>36694</v>
      </c>
      <c r="T115" s="401"/>
      <c r="U115" s="77">
        <v>74</v>
      </c>
      <c r="V115" s="78">
        <v>89652</v>
      </c>
      <c r="W115" s="401">
        <v>253.8</v>
      </c>
      <c r="X115" s="77">
        <v>1</v>
      </c>
      <c r="Z115" s="256">
        <v>62382</v>
      </c>
      <c r="AA115" s="53">
        <v>3</v>
      </c>
      <c r="AB115" s="256">
        <v>3539871.5784267257</v>
      </c>
      <c r="AC115" s="256">
        <v>1157</v>
      </c>
      <c r="AD115" s="256">
        <v>4959016.719920285</v>
      </c>
      <c r="AE115" s="256">
        <v>77</v>
      </c>
    </row>
    <row r="116" spans="1:31">
      <c r="A116" s="394">
        <v>2020</v>
      </c>
      <c r="B116" s="395" t="s">
        <v>159</v>
      </c>
      <c r="C116" s="75"/>
      <c r="D116" s="76">
        <v>20682425.02699</v>
      </c>
      <c r="E116" s="76"/>
      <c r="F116" s="400">
        <v>11678531.741970228</v>
      </c>
      <c r="G116" s="77">
        <v>17583</v>
      </c>
      <c r="H116" s="76">
        <f t="shared" si="4"/>
        <v>3067206.1369532873</v>
      </c>
      <c r="I116" s="77">
        <f t="shared" si="5"/>
        <v>1159</v>
      </c>
      <c r="J116" s="78">
        <f t="shared" si="6"/>
        <v>4869603.2273723651</v>
      </c>
      <c r="K116" s="401">
        <v>15398.131106533332</v>
      </c>
      <c r="L116" s="77">
        <f t="shared" si="7"/>
        <v>80</v>
      </c>
      <c r="M116" s="76">
        <v>8370.2560663470758</v>
      </c>
      <c r="N116" s="402">
        <v>23.250669845931156</v>
      </c>
      <c r="O116" s="77">
        <v>155</v>
      </c>
      <c r="P116" s="78">
        <v>40761.549999999996</v>
      </c>
      <c r="Q116" s="403">
        <v>169.33841685782048</v>
      </c>
      <c r="R116" s="77">
        <v>3587</v>
      </c>
      <c r="S116" s="78">
        <v>36604</v>
      </c>
      <c r="T116" s="401"/>
      <c r="U116" s="77">
        <v>71</v>
      </c>
      <c r="V116" s="78">
        <v>66125.700000000012</v>
      </c>
      <c r="W116" s="401">
        <v>181.2</v>
      </c>
      <c r="X116" s="77">
        <v>1</v>
      </c>
      <c r="Z116" s="256">
        <v>56038.44</v>
      </c>
      <c r="AA116" s="53">
        <v>3</v>
      </c>
      <c r="AB116" s="256">
        <v>3123244.5769532872</v>
      </c>
      <c r="AC116" s="256">
        <v>1162</v>
      </c>
      <c r="AD116" s="256">
        <v>4813564.7873723647</v>
      </c>
      <c r="AE116" s="256">
        <v>77</v>
      </c>
    </row>
    <row r="117" spans="1:31">
      <c r="A117" s="394">
        <v>2020</v>
      </c>
      <c r="B117" s="395" t="s">
        <v>160</v>
      </c>
      <c r="C117" s="75"/>
      <c r="D117" s="76">
        <v>21791036.214000002</v>
      </c>
      <c r="E117" s="76"/>
      <c r="F117" s="400">
        <v>12441980.152812891</v>
      </c>
      <c r="G117" s="77">
        <v>17736</v>
      </c>
      <c r="H117" s="76">
        <f t="shared" si="4"/>
        <v>3178138.9816966946</v>
      </c>
      <c r="I117" s="77">
        <f t="shared" si="5"/>
        <v>1153</v>
      </c>
      <c r="J117" s="78">
        <f t="shared" si="6"/>
        <v>5048364.4447514974</v>
      </c>
      <c r="K117" s="401">
        <v>13241.208799305761</v>
      </c>
      <c r="L117" s="77">
        <f t="shared" si="7"/>
        <v>80</v>
      </c>
      <c r="M117" s="76">
        <v>8308.64840050169</v>
      </c>
      <c r="N117" s="402">
        <v>23.079537745886022</v>
      </c>
      <c r="O117" s="77">
        <v>155</v>
      </c>
      <c r="P117" s="78">
        <v>65103.349999999991</v>
      </c>
      <c r="Q117" s="403">
        <v>184.0161603359123</v>
      </c>
      <c r="R117" s="77">
        <v>3587</v>
      </c>
      <c r="S117" s="78">
        <v>36604</v>
      </c>
      <c r="T117" s="401"/>
      <c r="U117" s="77">
        <v>72</v>
      </c>
      <c r="V117" s="78">
        <v>65244</v>
      </c>
      <c r="W117" s="401">
        <v>161.69999999999999</v>
      </c>
      <c r="X117" s="77">
        <v>1</v>
      </c>
      <c r="Z117" s="256">
        <v>53029.32</v>
      </c>
      <c r="AA117" s="53">
        <v>3</v>
      </c>
      <c r="AB117" s="256">
        <v>3231168.3016966945</v>
      </c>
      <c r="AC117" s="256">
        <v>1156</v>
      </c>
      <c r="AD117" s="256">
        <v>4995335.1247514971</v>
      </c>
      <c r="AE117" s="256">
        <v>77</v>
      </c>
    </row>
    <row r="118" spans="1:31">
      <c r="A118" s="394">
        <v>2020</v>
      </c>
      <c r="B118" s="395" t="s">
        <v>161</v>
      </c>
      <c r="C118" s="75"/>
      <c r="D118" s="76">
        <v>22640626.522999998</v>
      </c>
      <c r="E118" s="76"/>
      <c r="F118" s="400">
        <v>13130636.363059942</v>
      </c>
      <c r="G118" s="77">
        <v>17736</v>
      </c>
      <c r="H118" s="76">
        <f t="shared" si="4"/>
        <v>3088592.1586983316</v>
      </c>
      <c r="I118" s="77">
        <f t="shared" si="5"/>
        <v>1152</v>
      </c>
      <c r="J118" s="78">
        <f t="shared" si="6"/>
        <v>5030917.6413678825</v>
      </c>
      <c r="K118" s="401">
        <v>12941.079161395181</v>
      </c>
      <c r="L118" s="77">
        <f t="shared" si="7"/>
        <v>80</v>
      </c>
      <c r="M118" s="76">
        <v>8304.0848696983267</v>
      </c>
      <c r="N118" s="402">
        <v>23.066861294030822</v>
      </c>
      <c r="O118" s="77">
        <v>153</v>
      </c>
      <c r="P118" s="78">
        <v>63003.239999999991</v>
      </c>
      <c r="Q118" s="403">
        <v>184.0161603359123</v>
      </c>
      <c r="R118" s="77">
        <v>3587</v>
      </c>
      <c r="S118" s="78">
        <v>36604</v>
      </c>
      <c r="T118" s="401"/>
      <c r="U118" s="77">
        <v>72</v>
      </c>
      <c r="V118" s="78">
        <v>68411.100000000006</v>
      </c>
      <c r="W118" s="401">
        <v>177.3</v>
      </c>
      <c r="X118" s="77">
        <v>1</v>
      </c>
      <c r="Z118" s="256">
        <v>53594.76</v>
      </c>
      <c r="AA118" s="53">
        <v>3</v>
      </c>
      <c r="AB118" s="256">
        <v>3142186.9186983313</v>
      </c>
      <c r="AC118" s="256">
        <v>1155</v>
      </c>
      <c r="AD118" s="256">
        <v>4977322.8813678827</v>
      </c>
      <c r="AE118" s="256">
        <v>77</v>
      </c>
    </row>
    <row r="119" spans="1:31">
      <c r="A119" s="394">
        <v>2020</v>
      </c>
      <c r="B119" s="395" t="s">
        <v>162</v>
      </c>
      <c r="C119" s="75"/>
      <c r="D119" s="76">
        <v>26936455.295999996</v>
      </c>
      <c r="E119" s="76"/>
      <c r="F119" s="400">
        <v>16745238.598275494</v>
      </c>
      <c r="G119" s="77">
        <v>18037</v>
      </c>
      <c r="H119" s="76">
        <f t="shared" si="4"/>
        <v>3415407.7625824222</v>
      </c>
      <c r="I119" s="77">
        <f t="shared" si="5"/>
        <v>1162</v>
      </c>
      <c r="J119" s="78">
        <f t="shared" si="6"/>
        <v>5005765.97700895</v>
      </c>
      <c r="K119" s="401">
        <v>12381.177852626743</v>
      </c>
      <c r="L119" s="77">
        <f t="shared" si="7"/>
        <v>81</v>
      </c>
      <c r="M119" s="76">
        <v>8249.3825465159207</v>
      </c>
      <c r="N119" s="402">
        <v>22.91491066718762</v>
      </c>
      <c r="O119" s="77">
        <v>153</v>
      </c>
      <c r="P119" s="78">
        <v>65103.349999999991</v>
      </c>
      <c r="Q119" s="403">
        <v>184.25810116247425</v>
      </c>
      <c r="R119" s="77">
        <v>3588</v>
      </c>
      <c r="S119" s="78">
        <v>36604</v>
      </c>
      <c r="T119" s="401"/>
      <c r="U119" s="77">
        <v>71</v>
      </c>
      <c r="V119" s="78">
        <v>83120.700000000012</v>
      </c>
      <c r="W119" s="401">
        <v>180.9</v>
      </c>
      <c r="X119" s="77">
        <v>1</v>
      </c>
      <c r="Z119" s="256">
        <v>55687.08</v>
      </c>
      <c r="AA119" s="53">
        <v>3</v>
      </c>
      <c r="AB119" s="256">
        <v>3471094.8425824223</v>
      </c>
      <c r="AC119" s="256">
        <v>1165</v>
      </c>
      <c r="AD119" s="256">
        <v>4950078.8970089499</v>
      </c>
      <c r="AE119" s="256">
        <v>78</v>
      </c>
    </row>
    <row r="120" spans="1:31">
      <c r="A120" s="394">
        <v>2021</v>
      </c>
      <c r="B120" s="395" t="s">
        <v>151</v>
      </c>
      <c r="C120" s="75"/>
      <c r="D120" s="72">
        <v>27383194.68</v>
      </c>
      <c r="E120" s="72"/>
      <c r="F120" s="396">
        <v>17289139.820500553</v>
      </c>
      <c r="G120" s="73">
        <v>18067</v>
      </c>
      <c r="H120" s="72">
        <f t="shared" si="4"/>
        <v>3387878.1711615538</v>
      </c>
      <c r="I120" s="73">
        <f t="shared" si="5"/>
        <v>1161</v>
      </c>
      <c r="J120" s="74">
        <f t="shared" si="6"/>
        <v>5016199.1318266811</v>
      </c>
      <c r="K120" s="397">
        <v>12210.99634142367</v>
      </c>
      <c r="L120" s="73">
        <f t="shared" si="7"/>
        <v>83</v>
      </c>
      <c r="M120" s="72">
        <v>8311.4430351460651</v>
      </c>
      <c r="N120" s="398">
        <v>23.087230057746705</v>
      </c>
      <c r="O120" s="73">
        <v>153</v>
      </c>
      <c r="P120" s="74">
        <v>79257.08</v>
      </c>
      <c r="Q120" s="399">
        <v>183.80835177933662</v>
      </c>
      <c r="R120" s="73">
        <v>3588</v>
      </c>
      <c r="S120" s="74">
        <v>36604</v>
      </c>
      <c r="T120" s="397"/>
      <c r="U120" s="73">
        <v>71</v>
      </c>
      <c r="V120" s="74">
        <v>83785.2</v>
      </c>
      <c r="W120" s="397">
        <v>189.6</v>
      </c>
      <c r="X120" s="73">
        <v>1</v>
      </c>
      <c r="Z120" s="256">
        <v>58302.239999999998</v>
      </c>
      <c r="AA120" s="53">
        <v>3</v>
      </c>
      <c r="AB120" s="256">
        <v>3446180.411161554</v>
      </c>
      <c r="AC120" s="256">
        <v>1164</v>
      </c>
      <c r="AD120" s="256">
        <v>4957896.8918266809</v>
      </c>
      <c r="AE120" s="256">
        <v>80</v>
      </c>
    </row>
    <row r="121" spans="1:31">
      <c r="A121" s="394">
        <v>2021</v>
      </c>
      <c r="B121" s="395" t="s">
        <v>152</v>
      </c>
      <c r="C121" s="75"/>
      <c r="D121" s="76">
        <v>26118374.440000001</v>
      </c>
      <c r="E121" s="76"/>
      <c r="F121" s="400">
        <v>16234407.968466196</v>
      </c>
      <c r="G121" s="77">
        <v>18080</v>
      </c>
      <c r="H121" s="76">
        <f t="shared" si="4"/>
        <v>3254403.615086263</v>
      </c>
      <c r="I121" s="77">
        <f t="shared" si="5"/>
        <v>1164</v>
      </c>
      <c r="J121" s="78">
        <f t="shared" si="6"/>
        <v>4828425.5284033325</v>
      </c>
      <c r="K121" s="401">
        <v>12057.789820024309</v>
      </c>
      <c r="L121" s="77">
        <f t="shared" si="7"/>
        <v>83</v>
      </c>
      <c r="M121" s="76">
        <v>8365.8224280661434</v>
      </c>
      <c r="N121" s="402">
        <v>23.238283196105172</v>
      </c>
      <c r="O121" s="77">
        <v>153</v>
      </c>
      <c r="P121" s="78">
        <v>71587.040000000008</v>
      </c>
      <c r="Q121" s="403">
        <v>183.80835177933662</v>
      </c>
      <c r="R121" s="77">
        <v>3588</v>
      </c>
      <c r="S121" s="78">
        <v>36604</v>
      </c>
      <c r="T121" s="401"/>
      <c r="U121" s="77">
        <v>71</v>
      </c>
      <c r="V121" s="78">
        <v>77469.000000000015</v>
      </c>
      <c r="W121" s="401">
        <v>194.4</v>
      </c>
      <c r="X121" s="77">
        <v>1</v>
      </c>
      <c r="Z121" s="256">
        <v>109587.22</v>
      </c>
      <c r="AA121" s="53">
        <v>3</v>
      </c>
      <c r="AB121" s="256">
        <v>3363990.8350862633</v>
      </c>
      <c r="AC121" s="256">
        <v>1167</v>
      </c>
      <c r="AD121" s="256">
        <v>4718838.3084033327</v>
      </c>
      <c r="AE121" s="256">
        <v>80</v>
      </c>
    </row>
    <row r="122" spans="1:31">
      <c r="A122" s="394">
        <v>2021</v>
      </c>
      <c r="B122" s="395" t="s">
        <v>153</v>
      </c>
      <c r="C122" s="75"/>
      <c r="D122" s="76">
        <v>25209899.25</v>
      </c>
      <c r="E122" s="76"/>
      <c r="F122" s="400">
        <v>15041383.122092202</v>
      </c>
      <c r="G122" s="77">
        <v>18098</v>
      </c>
      <c r="H122" s="76">
        <f t="shared" si="4"/>
        <v>3488020.4046757002</v>
      </c>
      <c r="I122" s="77">
        <f t="shared" si="5"/>
        <v>1171</v>
      </c>
      <c r="J122" s="78">
        <f t="shared" si="6"/>
        <v>5054160.2458425276</v>
      </c>
      <c r="K122" s="401">
        <v>12304.636488469594</v>
      </c>
      <c r="L122" s="77">
        <f t="shared" si="7"/>
        <v>79</v>
      </c>
      <c r="M122" s="76">
        <v>8374.4464727583145</v>
      </c>
      <c r="N122" s="402">
        <v>23.262238759897706</v>
      </c>
      <c r="O122" s="77">
        <v>153</v>
      </c>
      <c r="P122" s="78">
        <v>80932.320000000007</v>
      </c>
      <c r="Q122" s="403">
        <v>183.80835177933662</v>
      </c>
      <c r="R122" s="77">
        <v>3700</v>
      </c>
      <c r="S122" s="78">
        <v>36604</v>
      </c>
      <c r="T122" s="401"/>
      <c r="U122" s="77">
        <v>71</v>
      </c>
      <c r="V122" s="78">
        <v>73164.89999999998</v>
      </c>
      <c r="W122" s="401">
        <v>170.4</v>
      </c>
      <c r="X122" s="77">
        <v>1</v>
      </c>
      <c r="Z122" s="256">
        <v>12896.28</v>
      </c>
      <c r="AA122" s="53">
        <v>3</v>
      </c>
      <c r="AB122" s="256">
        <v>3500916.6846757</v>
      </c>
      <c r="AC122" s="256">
        <v>1174</v>
      </c>
      <c r="AD122" s="256">
        <v>5041263.9658425273</v>
      </c>
      <c r="AE122" s="256">
        <v>76</v>
      </c>
    </row>
    <row r="123" spans="1:31">
      <c r="A123" s="394">
        <v>2021</v>
      </c>
      <c r="B123" s="395" t="s">
        <v>154</v>
      </c>
      <c r="C123" s="75"/>
      <c r="D123" s="76">
        <v>21444082.049999997</v>
      </c>
      <c r="E123" s="76"/>
      <c r="F123" s="400">
        <v>12737618.311237721</v>
      </c>
      <c r="G123" s="77">
        <v>18106</v>
      </c>
      <c r="H123" s="76">
        <f t="shared" si="4"/>
        <v>2908815.151975858</v>
      </c>
      <c r="I123" s="77">
        <f t="shared" si="5"/>
        <v>1171</v>
      </c>
      <c r="J123" s="78">
        <f t="shared" si="6"/>
        <v>4487112.3952045478</v>
      </c>
      <c r="K123" s="401">
        <v>11827.423014542519</v>
      </c>
      <c r="L123" s="77">
        <f t="shared" si="7"/>
        <v>81</v>
      </c>
      <c r="M123" s="76">
        <v>8370.3740072092332</v>
      </c>
      <c r="N123" s="402">
        <v>23.250926410329008</v>
      </c>
      <c r="O123" s="77">
        <v>153</v>
      </c>
      <c r="P123" s="78">
        <v>58741.2</v>
      </c>
      <c r="Q123" s="403">
        <v>187.6934697175046</v>
      </c>
      <c r="R123" s="77">
        <v>3587</v>
      </c>
      <c r="S123" s="78">
        <v>36604</v>
      </c>
      <c r="T123" s="401"/>
      <c r="U123" s="77">
        <v>71</v>
      </c>
      <c r="V123" s="78">
        <v>65409.9</v>
      </c>
      <c r="W123" s="401">
        <v>153.6</v>
      </c>
      <c r="X123" s="77">
        <v>1</v>
      </c>
      <c r="Z123" s="256">
        <v>93909.239999999991</v>
      </c>
      <c r="AA123" s="53">
        <v>4</v>
      </c>
      <c r="AB123" s="256">
        <v>3002724.3919758578</v>
      </c>
      <c r="AC123" s="256">
        <v>1175</v>
      </c>
      <c r="AD123" s="256">
        <v>4393203.1552045476</v>
      </c>
      <c r="AE123" s="256">
        <v>77</v>
      </c>
    </row>
    <row r="124" spans="1:31">
      <c r="A124" s="394">
        <v>2021</v>
      </c>
      <c r="B124" s="395" t="s">
        <v>155</v>
      </c>
      <c r="C124" s="75"/>
      <c r="D124" s="76">
        <v>21915007.870000001</v>
      </c>
      <c r="E124" s="76"/>
      <c r="F124" s="400">
        <v>13014011.793436823</v>
      </c>
      <c r="G124" s="77">
        <v>18267</v>
      </c>
      <c r="H124" s="76">
        <f t="shared" si="4"/>
        <v>2902381.3885972733</v>
      </c>
      <c r="I124" s="77">
        <f t="shared" si="5"/>
        <v>1181</v>
      </c>
      <c r="J124" s="78">
        <f t="shared" si="6"/>
        <v>4657347.3238005973</v>
      </c>
      <c r="K124" s="401">
        <v>13304.398114159378</v>
      </c>
      <c r="L124" s="77">
        <f t="shared" si="7"/>
        <v>80</v>
      </c>
      <c r="M124" s="76">
        <v>8377.3810435216219</v>
      </c>
      <c r="N124" s="402">
        <v>23.270390305910443</v>
      </c>
      <c r="O124" s="77">
        <v>153</v>
      </c>
      <c r="P124" s="78">
        <v>60699.240000000005</v>
      </c>
      <c r="Q124" s="403">
        <v>187.6934697175046</v>
      </c>
      <c r="R124" s="77">
        <v>3587</v>
      </c>
      <c r="S124" s="78">
        <v>36604</v>
      </c>
      <c r="T124" s="401"/>
      <c r="U124" s="77">
        <v>71</v>
      </c>
      <c r="V124" s="78">
        <v>67577.7</v>
      </c>
      <c r="W124" s="401">
        <v>204</v>
      </c>
      <c r="X124" s="77">
        <v>1</v>
      </c>
      <c r="Z124" s="256">
        <v>106278.24</v>
      </c>
      <c r="AA124" s="53">
        <v>5</v>
      </c>
      <c r="AB124" s="256">
        <v>3008659.6285972735</v>
      </c>
      <c r="AC124" s="256">
        <v>1186</v>
      </c>
      <c r="AD124" s="256">
        <v>4551069.0838005971</v>
      </c>
      <c r="AE124" s="256">
        <v>75</v>
      </c>
    </row>
    <row r="125" spans="1:31">
      <c r="A125" s="394">
        <v>2021</v>
      </c>
      <c r="B125" s="395" t="s">
        <v>156</v>
      </c>
      <c r="C125" s="75"/>
      <c r="D125" s="76">
        <v>24946416.130000003</v>
      </c>
      <c r="E125" s="76"/>
      <c r="F125" s="400">
        <v>15438079.010299664</v>
      </c>
      <c r="G125" s="77">
        <v>18296</v>
      </c>
      <c r="H125" s="76">
        <f t="shared" si="4"/>
        <v>3168144.3788061878</v>
      </c>
      <c r="I125" s="77">
        <f t="shared" si="5"/>
        <v>1178</v>
      </c>
      <c r="J125" s="78">
        <f t="shared" si="6"/>
        <v>4873224.30281711</v>
      </c>
      <c r="K125" s="401">
        <v>12502.013458652351</v>
      </c>
      <c r="L125" s="77">
        <f t="shared" si="7"/>
        <v>81</v>
      </c>
      <c r="M125" s="76">
        <v>8367.5691963776335</v>
      </c>
      <c r="N125" s="402">
        <v>23.243135306827035</v>
      </c>
      <c r="O125" s="77">
        <v>153</v>
      </c>
      <c r="P125" s="78">
        <v>58741.2</v>
      </c>
      <c r="Q125" s="403">
        <v>187.6934697175046</v>
      </c>
      <c r="R125" s="77">
        <v>3587</v>
      </c>
      <c r="S125" s="78">
        <v>36604</v>
      </c>
      <c r="T125" s="401"/>
      <c r="U125" s="77">
        <v>71</v>
      </c>
      <c r="V125" s="78">
        <v>81729</v>
      </c>
      <c r="W125" s="401">
        <v>256.8</v>
      </c>
      <c r="X125" s="77">
        <v>1</v>
      </c>
      <c r="Z125" s="256">
        <v>84134.400000000009</v>
      </c>
      <c r="AA125" s="53">
        <v>5</v>
      </c>
      <c r="AB125" s="256">
        <v>3252278.7788061877</v>
      </c>
      <c r="AC125" s="256">
        <v>1183</v>
      </c>
      <c r="AD125" s="256">
        <v>4789089.9028171096</v>
      </c>
      <c r="AE125" s="256">
        <v>76</v>
      </c>
    </row>
    <row r="126" spans="1:31">
      <c r="A126" s="394">
        <v>2021</v>
      </c>
      <c r="B126" s="395" t="s">
        <v>157</v>
      </c>
      <c r="C126" s="75"/>
      <c r="D126" s="76">
        <v>25413113.779999997</v>
      </c>
      <c r="E126" s="76"/>
      <c r="F126" s="400">
        <v>15678288.376294909</v>
      </c>
      <c r="G126" s="77">
        <v>18319</v>
      </c>
      <c r="H126" s="76">
        <f t="shared" si="4"/>
        <v>3359208.5476017096</v>
      </c>
      <c r="I126" s="77">
        <f t="shared" si="5"/>
        <v>1198</v>
      </c>
      <c r="J126" s="78">
        <f t="shared" si="6"/>
        <v>4925286.9206398483</v>
      </c>
      <c r="K126" s="401">
        <v>14628.196801748918</v>
      </c>
      <c r="L126" s="77">
        <f t="shared" si="7"/>
        <v>81</v>
      </c>
      <c r="M126" s="76">
        <v>8256.3948795010165</v>
      </c>
      <c r="N126" s="402">
        <v>22.934319254140441</v>
      </c>
      <c r="O126" s="77">
        <v>153</v>
      </c>
      <c r="P126" s="78">
        <v>43356.6</v>
      </c>
      <c r="Q126" s="403">
        <v>187.6934697175046</v>
      </c>
      <c r="R126" s="77">
        <v>3587</v>
      </c>
      <c r="S126" s="78">
        <v>36604</v>
      </c>
      <c r="T126" s="401"/>
      <c r="U126" s="77">
        <v>71</v>
      </c>
      <c r="V126" s="78">
        <v>83564.699999999983</v>
      </c>
      <c r="W126" s="401">
        <v>242.4</v>
      </c>
      <c r="X126" s="77">
        <v>1</v>
      </c>
      <c r="Z126" s="256">
        <v>74221.040000000008</v>
      </c>
      <c r="AA126" s="53">
        <v>5</v>
      </c>
      <c r="AB126" s="256">
        <v>3433429.5876017096</v>
      </c>
      <c r="AC126" s="256">
        <v>1203</v>
      </c>
      <c r="AD126" s="256">
        <v>4851065.8806398483</v>
      </c>
      <c r="AE126" s="256">
        <v>76</v>
      </c>
    </row>
    <row r="127" spans="1:31">
      <c r="A127" s="394">
        <v>2021</v>
      </c>
      <c r="B127" s="395" t="s">
        <v>158</v>
      </c>
      <c r="C127" s="75"/>
      <c r="D127" s="76">
        <v>29121956.240000002</v>
      </c>
      <c r="E127" s="76"/>
      <c r="F127" s="400">
        <v>18300572.368777413</v>
      </c>
      <c r="G127" s="77">
        <v>18313</v>
      </c>
      <c r="H127" s="76">
        <f t="shared" si="4"/>
        <v>3711500.0603328929</v>
      </c>
      <c r="I127" s="77">
        <f t="shared" si="5"/>
        <v>1198</v>
      </c>
      <c r="J127" s="78">
        <f t="shared" si="6"/>
        <v>5356955.9745782195</v>
      </c>
      <c r="K127" s="401">
        <v>13581.886086884535</v>
      </c>
      <c r="L127" s="77">
        <f t="shared" si="7"/>
        <v>81</v>
      </c>
      <c r="M127" s="76">
        <v>8173.2187632743289</v>
      </c>
      <c r="N127" s="402">
        <v>22.703275604738629</v>
      </c>
      <c r="O127" s="77">
        <v>153</v>
      </c>
      <c r="P127" s="78">
        <v>44796.899999999994</v>
      </c>
      <c r="Q127" s="403">
        <v>187.6934697175046</v>
      </c>
      <c r="R127" s="77">
        <v>3587</v>
      </c>
      <c r="S127" s="78">
        <v>36604</v>
      </c>
      <c r="T127" s="401"/>
      <c r="U127" s="77">
        <v>71</v>
      </c>
      <c r="V127" s="78">
        <v>94657.500000000044</v>
      </c>
      <c r="W127" s="401">
        <v>259.2</v>
      </c>
      <c r="X127" s="77">
        <v>1</v>
      </c>
      <c r="Z127" s="256">
        <v>87507.08</v>
      </c>
      <c r="AA127" s="53">
        <v>5</v>
      </c>
      <c r="AB127" s="256">
        <v>3799007.140332893</v>
      </c>
      <c r="AC127" s="256">
        <v>1203</v>
      </c>
      <c r="AD127" s="256">
        <v>5269448.8945782194</v>
      </c>
      <c r="AE127" s="256">
        <v>76</v>
      </c>
    </row>
    <row r="128" spans="1:31">
      <c r="A128" s="394">
        <v>2021</v>
      </c>
      <c r="B128" s="395" t="s">
        <v>159</v>
      </c>
      <c r="C128" s="75"/>
      <c r="D128" s="76">
        <v>21448441.290000003</v>
      </c>
      <c r="E128" s="76"/>
      <c r="F128" s="400">
        <v>12143702.279816575</v>
      </c>
      <c r="G128" s="77">
        <v>18344</v>
      </c>
      <c r="H128" s="76">
        <f t="shared" si="4"/>
        <v>3122558.8932484328</v>
      </c>
      <c r="I128" s="77">
        <f t="shared" si="5"/>
        <v>1203</v>
      </c>
      <c r="J128" s="78">
        <f t="shared" si="6"/>
        <v>4880071.0038417187</v>
      </c>
      <c r="K128" s="401">
        <v>14850.624769469365</v>
      </c>
      <c r="L128" s="77">
        <f t="shared" si="7"/>
        <v>81</v>
      </c>
      <c r="M128" s="76">
        <v>8170.9429737027813</v>
      </c>
      <c r="N128" s="402">
        <v>22.6969539976267</v>
      </c>
      <c r="O128" s="77">
        <v>153</v>
      </c>
      <c r="P128" s="78">
        <v>44219.360000000001</v>
      </c>
      <c r="Q128" s="403">
        <v>194.08479067796227</v>
      </c>
      <c r="R128" s="77">
        <v>3587</v>
      </c>
      <c r="S128" s="78">
        <v>36604</v>
      </c>
      <c r="T128" s="401"/>
      <c r="U128" s="77">
        <v>71</v>
      </c>
      <c r="V128" s="78">
        <v>66114.299999999988</v>
      </c>
      <c r="W128" s="401">
        <v>162</v>
      </c>
      <c r="X128" s="77">
        <v>1</v>
      </c>
      <c r="Z128" s="256">
        <v>70216.98</v>
      </c>
      <c r="AA128" s="53">
        <v>5</v>
      </c>
      <c r="AB128" s="256">
        <v>3192775.8732484328</v>
      </c>
      <c r="AC128" s="256">
        <v>1208</v>
      </c>
      <c r="AD128" s="256">
        <v>4809854.0238417182</v>
      </c>
      <c r="AE128" s="256">
        <v>76</v>
      </c>
    </row>
    <row r="129" spans="1:31">
      <c r="A129" s="394">
        <v>2021</v>
      </c>
      <c r="B129" s="395" t="s">
        <v>160</v>
      </c>
      <c r="C129" s="75"/>
      <c r="D129" s="76">
        <v>21738524.600000001</v>
      </c>
      <c r="E129" s="76"/>
      <c r="F129" s="400">
        <v>12182881.184673565</v>
      </c>
      <c r="G129" s="77">
        <v>18367</v>
      </c>
      <c r="H129" s="76">
        <f t="shared" si="4"/>
        <v>3209955.9886575285</v>
      </c>
      <c r="I129" s="77">
        <f t="shared" si="5"/>
        <v>1206</v>
      </c>
      <c r="J129" s="78">
        <f t="shared" si="6"/>
        <v>4981686.7097467044</v>
      </c>
      <c r="K129" s="401">
        <v>14108.248092439042</v>
      </c>
      <c r="L129" s="77">
        <f t="shared" si="7"/>
        <v>81</v>
      </c>
      <c r="M129" s="76">
        <v>8173.4583200713314</v>
      </c>
      <c r="N129" s="402">
        <v>22.70394103706619</v>
      </c>
      <c r="O129" s="77">
        <v>153</v>
      </c>
      <c r="P129" s="78">
        <v>70358.840000000011</v>
      </c>
      <c r="Q129" s="403">
        <v>198.64426846550145</v>
      </c>
      <c r="R129" s="77">
        <v>3587</v>
      </c>
      <c r="S129" s="78">
        <v>36604</v>
      </c>
      <c r="T129" s="401"/>
      <c r="U129" s="77">
        <v>71</v>
      </c>
      <c r="V129" s="78">
        <v>62634.000000000007</v>
      </c>
      <c r="W129" s="401">
        <v>148.80000000000001</v>
      </c>
      <c r="X129" s="77">
        <v>1</v>
      </c>
      <c r="Z129" s="256">
        <v>109519</v>
      </c>
      <c r="AA129" s="53">
        <v>5</v>
      </c>
      <c r="AB129" s="256">
        <v>3319474.9886575285</v>
      </c>
      <c r="AC129" s="256">
        <v>1211</v>
      </c>
      <c r="AD129" s="256">
        <v>4872167.7097467044</v>
      </c>
      <c r="AE129" s="256">
        <v>76</v>
      </c>
    </row>
    <row r="130" spans="1:31">
      <c r="A130" s="394">
        <v>2021</v>
      </c>
      <c r="B130" s="395" t="s">
        <v>161</v>
      </c>
      <c r="C130" s="75"/>
      <c r="D130" s="76">
        <v>23740519.789999999</v>
      </c>
      <c r="E130" s="76"/>
      <c r="F130" s="400">
        <v>13914864.538258938</v>
      </c>
      <c r="G130" s="77">
        <v>18368</v>
      </c>
      <c r="H130" s="76">
        <f t="shared" si="4"/>
        <v>3303914.5205680844</v>
      </c>
      <c r="I130" s="77">
        <f t="shared" si="5"/>
        <v>1206</v>
      </c>
      <c r="J130" s="78">
        <f t="shared" si="6"/>
        <v>5083229.463987858</v>
      </c>
      <c r="K130" s="401">
        <v>13323.66811226529</v>
      </c>
      <c r="L130" s="77">
        <f t="shared" si="7"/>
        <v>81</v>
      </c>
      <c r="M130" s="76">
        <v>8147.58618599482</v>
      </c>
      <c r="N130" s="402">
        <v>22.632074345688597</v>
      </c>
      <c r="O130" s="77">
        <v>152</v>
      </c>
      <c r="P130" s="78">
        <v>68089.200000000012</v>
      </c>
      <c r="Q130" s="403">
        <v>198.64426846550145</v>
      </c>
      <c r="R130" s="77">
        <v>3587</v>
      </c>
      <c r="S130" s="78">
        <v>36604</v>
      </c>
      <c r="T130" s="401"/>
      <c r="U130" s="77">
        <v>71</v>
      </c>
      <c r="V130" s="78">
        <v>69990.3</v>
      </c>
      <c r="W130" s="401">
        <v>184.8</v>
      </c>
      <c r="X130" s="77">
        <v>1</v>
      </c>
      <c r="Z130" s="256">
        <v>119845.84</v>
      </c>
      <c r="AA130" s="53">
        <v>5</v>
      </c>
      <c r="AB130" s="256">
        <v>3423760.3605680843</v>
      </c>
      <c r="AC130" s="256">
        <v>1211</v>
      </c>
      <c r="AD130" s="256">
        <v>4963383.6239878582</v>
      </c>
      <c r="AE130" s="256">
        <v>76</v>
      </c>
    </row>
    <row r="131" spans="1:31">
      <c r="A131" s="394">
        <v>2021</v>
      </c>
      <c r="B131" s="395" t="s">
        <v>162</v>
      </c>
      <c r="C131" s="75"/>
      <c r="D131" s="76">
        <v>26760724.010000002</v>
      </c>
      <c r="E131" s="76"/>
      <c r="F131" s="400">
        <v>16524760.426145453</v>
      </c>
      <c r="G131" s="77">
        <v>18415</v>
      </c>
      <c r="H131" s="76">
        <f t="shared" si="4"/>
        <v>3588595.4092885135</v>
      </c>
      <c r="I131" s="77">
        <f t="shared" si="5"/>
        <v>1205</v>
      </c>
      <c r="J131" s="78">
        <f t="shared" si="6"/>
        <v>5034755.7093108585</v>
      </c>
      <c r="K131" s="401">
        <v>13205.508899921066</v>
      </c>
      <c r="L131" s="77">
        <f t="shared" si="7"/>
        <v>82</v>
      </c>
      <c r="M131" s="76">
        <v>8117.0426943767152</v>
      </c>
      <c r="N131" s="402">
        <v>22.547231723923382</v>
      </c>
      <c r="O131" s="77">
        <v>151</v>
      </c>
      <c r="P131" s="78">
        <v>70358.84</v>
      </c>
      <c r="Q131" s="403">
        <v>198.64426846550145</v>
      </c>
      <c r="R131" s="77">
        <v>3587</v>
      </c>
      <c r="S131" s="78">
        <v>36604</v>
      </c>
      <c r="T131" s="401"/>
      <c r="U131" s="77">
        <v>71</v>
      </c>
      <c r="V131" s="78">
        <v>84074.39999999998</v>
      </c>
      <c r="W131" s="401">
        <v>193.2</v>
      </c>
      <c r="X131" s="77">
        <v>1</v>
      </c>
      <c r="Z131" s="256">
        <v>156166.57999999999</v>
      </c>
      <c r="AA131" s="53">
        <v>5</v>
      </c>
      <c r="AB131" s="256">
        <v>3744761.9892885135</v>
      </c>
      <c r="AC131" s="256">
        <v>1210</v>
      </c>
      <c r="AD131" s="256">
        <v>4878589.1293108584</v>
      </c>
      <c r="AE131" s="256">
        <v>77</v>
      </c>
    </row>
    <row r="132" spans="1:31">
      <c r="A132" s="394">
        <v>2022</v>
      </c>
      <c r="B132" s="395" t="s">
        <v>151</v>
      </c>
      <c r="C132" s="75"/>
      <c r="D132" s="72">
        <v>30693913.289999999</v>
      </c>
      <c r="E132" s="72"/>
      <c r="F132" s="396">
        <v>19654957.582718987</v>
      </c>
      <c r="G132" s="73">
        <v>18495</v>
      </c>
      <c r="H132" s="72">
        <f t="shared" si="4"/>
        <v>3794834.7160364636</v>
      </c>
      <c r="I132" s="73">
        <f t="shared" si="5"/>
        <v>1209</v>
      </c>
      <c r="J132" s="74">
        <f t="shared" si="6"/>
        <v>5463510.6227187812</v>
      </c>
      <c r="K132" s="397">
        <v>12704.472374667394</v>
      </c>
      <c r="L132" s="73">
        <f t="shared" si="7"/>
        <v>82</v>
      </c>
      <c r="M132" s="72">
        <v>8101.2799999999943</v>
      </c>
      <c r="N132" s="398">
        <v>22.810185083780528</v>
      </c>
      <c r="O132" s="73">
        <v>151</v>
      </c>
      <c r="P132" s="74">
        <v>85654.239999999991</v>
      </c>
      <c r="Q132" s="399">
        <v>198.69210732119623</v>
      </c>
      <c r="R132" s="73">
        <v>3852</v>
      </c>
      <c r="S132" s="74">
        <v>36604</v>
      </c>
      <c r="T132" s="397"/>
      <c r="U132" s="73">
        <v>71</v>
      </c>
      <c r="V132" s="74">
        <v>95235.900000000009</v>
      </c>
      <c r="W132" s="397">
        <v>200.4</v>
      </c>
      <c r="X132" s="73">
        <v>1</v>
      </c>
      <c r="Z132" s="256">
        <v>273424.68</v>
      </c>
      <c r="AA132" s="53">
        <v>5</v>
      </c>
      <c r="AB132" s="256">
        <v>4068259.3960364638</v>
      </c>
      <c r="AC132" s="256">
        <v>1214</v>
      </c>
      <c r="AD132" s="256">
        <v>5190085.9427187815</v>
      </c>
      <c r="AE132" s="256">
        <v>77</v>
      </c>
    </row>
    <row r="133" spans="1:31">
      <c r="A133" s="394">
        <v>2022</v>
      </c>
      <c r="B133" s="395" t="s">
        <v>152</v>
      </c>
      <c r="C133" s="75"/>
      <c r="D133" s="76">
        <v>26556495.73</v>
      </c>
      <c r="E133" s="76"/>
      <c r="F133" s="400">
        <v>16612048.199578671</v>
      </c>
      <c r="G133" s="77">
        <v>18509</v>
      </c>
      <c r="H133" s="76">
        <f t="shared" si="4"/>
        <v>3471237.4910881855</v>
      </c>
      <c r="I133" s="77">
        <f t="shared" si="5"/>
        <v>1217</v>
      </c>
      <c r="J133" s="78">
        <f t="shared" si="6"/>
        <v>4966513.3519290918</v>
      </c>
      <c r="K133" s="401">
        <v>13009.025189486836</v>
      </c>
      <c r="L133" s="77">
        <f t="shared" si="7"/>
        <v>82</v>
      </c>
      <c r="M133" s="76">
        <v>8086.4599999999955</v>
      </c>
      <c r="N133" s="402">
        <v>22.315387142700686</v>
      </c>
      <c r="O133" s="77">
        <v>151</v>
      </c>
      <c r="P133" s="78">
        <v>77365.119999999981</v>
      </c>
      <c r="Q133" s="403">
        <v>198.69210732119626</v>
      </c>
      <c r="R133" s="77">
        <v>3852</v>
      </c>
      <c r="S133" s="78">
        <v>36604</v>
      </c>
      <c r="T133" s="401"/>
      <c r="U133" s="77">
        <v>71</v>
      </c>
      <c r="V133" s="78">
        <v>82373.400000000009</v>
      </c>
      <c r="W133" s="401">
        <v>206.4</v>
      </c>
      <c r="X133" s="77">
        <v>1</v>
      </c>
      <c r="Z133" s="256">
        <v>175878</v>
      </c>
      <c r="AA133" s="53">
        <v>5</v>
      </c>
      <c r="AB133" s="256">
        <v>3647115.4910881855</v>
      </c>
      <c r="AC133" s="256">
        <v>1222</v>
      </c>
      <c r="AD133" s="256">
        <v>4790635.3519290918</v>
      </c>
      <c r="AE133" s="256">
        <v>77</v>
      </c>
    </row>
    <row r="134" spans="1:31">
      <c r="A134" s="394">
        <v>2022</v>
      </c>
      <c r="B134" s="395" t="s">
        <v>153</v>
      </c>
      <c r="C134" s="75"/>
      <c r="D134" s="76">
        <v>26436228.200000003</v>
      </c>
      <c r="E134" s="76"/>
      <c r="F134" s="400">
        <v>16053314.099730158</v>
      </c>
      <c r="G134" s="77">
        <v>18551</v>
      </c>
      <c r="H134" s="76">
        <f t="shared" si="4"/>
        <v>3632253.2164308955</v>
      </c>
      <c r="I134" s="77">
        <f t="shared" si="5"/>
        <v>1221</v>
      </c>
      <c r="J134" s="78">
        <f t="shared" si="6"/>
        <v>5186301.1905744784</v>
      </c>
      <c r="K134" s="401">
        <v>13031.013302406416</v>
      </c>
      <c r="L134" s="77">
        <f t="shared" si="7"/>
        <v>80</v>
      </c>
      <c r="M134" s="76">
        <v>8100.1399999999958</v>
      </c>
      <c r="N134" s="402">
        <v>22.196635636841528</v>
      </c>
      <c r="O134" s="77">
        <v>150</v>
      </c>
      <c r="P134" s="78">
        <v>85671.599999999991</v>
      </c>
      <c r="Q134" s="403">
        <v>198.69210732119626</v>
      </c>
      <c r="R134" s="77">
        <v>3852</v>
      </c>
      <c r="S134" s="78">
        <v>36604</v>
      </c>
      <c r="T134" s="401"/>
      <c r="U134" s="77">
        <v>71</v>
      </c>
      <c r="V134" s="78">
        <v>80510.100000000006</v>
      </c>
      <c r="W134" s="401">
        <v>175.2</v>
      </c>
      <c r="X134" s="77">
        <v>1</v>
      </c>
      <c r="Z134" s="256">
        <v>149665.32</v>
      </c>
      <c r="AA134" s="53">
        <v>5</v>
      </c>
      <c r="AB134" s="256">
        <v>3781918.5364308953</v>
      </c>
      <c r="AC134" s="256">
        <v>1226</v>
      </c>
      <c r="AD134" s="256">
        <v>5036635.8705744781</v>
      </c>
      <c r="AE134" s="256">
        <v>75</v>
      </c>
    </row>
    <row r="135" spans="1:31">
      <c r="A135" s="394">
        <v>2022</v>
      </c>
      <c r="B135" s="395" t="s">
        <v>154</v>
      </c>
      <c r="C135" s="75"/>
      <c r="D135" s="76">
        <v>22507686.228</v>
      </c>
      <c r="E135" s="76"/>
      <c r="F135" s="400">
        <v>13373472.9884461</v>
      </c>
      <c r="G135" s="77">
        <v>18595</v>
      </c>
      <c r="H135" s="76">
        <f t="shared" si="4"/>
        <v>3192884.8344852431</v>
      </c>
      <c r="I135" s="77">
        <f t="shared" si="5"/>
        <v>1240</v>
      </c>
      <c r="J135" s="78">
        <f t="shared" si="6"/>
        <v>4632856.2630811892</v>
      </c>
      <c r="K135" s="401">
        <v>13166.541847844062</v>
      </c>
      <c r="L135" s="77">
        <f t="shared" si="7"/>
        <v>82</v>
      </c>
      <c r="M135" s="76">
        <v>8097.8599999999951</v>
      </c>
      <c r="N135" s="402">
        <v>22.404450772095061</v>
      </c>
      <c r="O135" s="77">
        <v>150</v>
      </c>
      <c r="P135" s="78">
        <v>62180.999999999985</v>
      </c>
      <c r="Q135" s="403">
        <v>198.73237730646611</v>
      </c>
      <c r="R135" s="77">
        <v>3853</v>
      </c>
      <c r="S135" s="78">
        <v>36604</v>
      </c>
      <c r="T135" s="401"/>
      <c r="U135" s="77">
        <v>71</v>
      </c>
      <c r="V135" s="78">
        <v>68367.3</v>
      </c>
      <c r="W135" s="401">
        <v>148.80000000000001</v>
      </c>
      <c r="X135" s="77">
        <v>1</v>
      </c>
      <c r="Z135" s="256">
        <v>211591.88</v>
      </c>
      <c r="AA135" s="53">
        <v>5</v>
      </c>
      <c r="AB135" s="256">
        <v>3404476.714485243</v>
      </c>
      <c r="AC135" s="256">
        <v>1245</v>
      </c>
      <c r="AD135" s="256">
        <v>4421264.3830811894</v>
      </c>
      <c r="AE135" s="256">
        <v>77</v>
      </c>
    </row>
    <row r="136" spans="1:31">
      <c r="A136" s="394">
        <v>2022</v>
      </c>
      <c r="B136" s="395" t="s">
        <v>155</v>
      </c>
      <c r="C136" s="75"/>
      <c r="D136" s="76">
        <v>22133009.34</v>
      </c>
      <c r="E136" s="76"/>
      <c r="F136" s="400">
        <v>12888548.782218738</v>
      </c>
      <c r="G136" s="77">
        <v>18636</v>
      </c>
      <c r="H136" s="76">
        <f t="shared" si="4"/>
        <v>3294463.7025867174</v>
      </c>
      <c r="I136" s="77">
        <f t="shared" si="5"/>
        <v>1241</v>
      </c>
      <c r="J136" s="78">
        <f t="shared" si="6"/>
        <v>4649564.5942557892</v>
      </c>
      <c r="K136" s="401">
        <v>12475.078021106388</v>
      </c>
      <c r="L136" s="77">
        <f t="shared" si="7"/>
        <v>82</v>
      </c>
      <c r="M136" s="76">
        <v>8100.3799999999937</v>
      </c>
      <c r="N136" s="402">
        <v>22.602369948526999</v>
      </c>
      <c r="O136" s="77">
        <v>150</v>
      </c>
      <c r="P136" s="78">
        <v>64840.459999999992</v>
      </c>
      <c r="Q136" s="403">
        <v>198.73237730646608</v>
      </c>
      <c r="R136" s="77">
        <v>3853</v>
      </c>
      <c r="S136" s="78">
        <v>36604</v>
      </c>
      <c r="T136" s="401"/>
      <c r="U136" s="77">
        <v>71</v>
      </c>
      <c r="V136" s="78">
        <v>68463.900000000009</v>
      </c>
      <c r="W136" s="401">
        <v>226.8</v>
      </c>
      <c r="X136" s="77">
        <v>1</v>
      </c>
      <c r="Z136" s="256">
        <v>160208.20000000001</v>
      </c>
      <c r="AA136" s="53">
        <v>5</v>
      </c>
      <c r="AB136" s="256">
        <v>3454671.9025867176</v>
      </c>
      <c r="AC136" s="256">
        <v>1246</v>
      </c>
      <c r="AD136" s="256">
        <v>4489356.394255789</v>
      </c>
      <c r="AE136" s="256">
        <v>77</v>
      </c>
    </row>
    <row r="137" spans="1:31">
      <c r="A137" s="394">
        <v>2022</v>
      </c>
      <c r="B137" s="395" t="s">
        <v>156</v>
      </c>
      <c r="C137" s="75"/>
      <c r="D137" s="76">
        <v>23221729.140000001</v>
      </c>
      <c r="E137" s="76"/>
      <c r="F137" s="400">
        <v>13740149.805155654</v>
      </c>
      <c r="G137" s="77">
        <v>18687</v>
      </c>
      <c r="H137" s="76">
        <f t="shared" si="4"/>
        <v>3325095.1506078881</v>
      </c>
      <c r="I137" s="77">
        <f t="shared" si="5"/>
        <v>1243</v>
      </c>
      <c r="J137" s="78">
        <f t="shared" si="6"/>
        <v>4693099.5839551101</v>
      </c>
      <c r="K137" s="401">
        <v>13416.647906862647</v>
      </c>
      <c r="L137" s="77">
        <f t="shared" si="7"/>
        <v>83</v>
      </c>
      <c r="M137" s="76">
        <v>8166.2599999999948</v>
      </c>
      <c r="N137" s="402">
        <v>22.295595225057497</v>
      </c>
      <c r="O137" s="77">
        <v>150</v>
      </c>
      <c r="P137" s="78">
        <v>62817.299999999988</v>
      </c>
      <c r="Q137" s="403">
        <v>201.32979135636822</v>
      </c>
      <c r="R137" s="77">
        <v>4009</v>
      </c>
      <c r="S137" s="78">
        <v>36604</v>
      </c>
      <c r="T137" s="401"/>
      <c r="U137" s="77">
        <v>71</v>
      </c>
      <c r="V137" s="78">
        <v>74554.200000000012</v>
      </c>
      <c r="W137" s="401">
        <v>244.8</v>
      </c>
      <c r="X137" s="77">
        <v>1</v>
      </c>
      <c r="Z137" s="256">
        <v>139721.85999999999</v>
      </c>
      <c r="AA137" s="53">
        <v>5</v>
      </c>
      <c r="AB137" s="256">
        <v>3464817.010607888</v>
      </c>
      <c r="AC137" s="256">
        <v>1248</v>
      </c>
      <c r="AD137" s="256">
        <v>4553377.7239551097</v>
      </c>
      <c r="AE137" s="256">
        <v>78</v>
      </c>
    </row>
    <row r="138" spans="1:31">
      <c r="A138" s="394">
        <v>2022</v>
      </c>
      <c r="B138" s="395" t="s">
        <v>157</v>
      </c>
      <c r="C138" s="75"/>
      <c r="D138" s="76">
        <v>26415918.866999999</v>
      </c>
      <c r="E138" s="76"/>
      <c r="F138" s="400">
        <v>16455502.005066652</v>
      </c>
      <c r="G138" s="77">
        <v>18727</v>
      </c>
      <c r="H138" s="76">
        <f t="shared" si="4"/>
        <v>3665709.4839144456</v>
      </c>
      <c r="I138" s="77">
        <f t="shared" si="5"/>
        <v>1249</v>
      </c>
      <c r="J138" s="78">
        <f t="shared" si="6"/>
        <v>4751434.6775373733</v>
      </c>
      <c r="K138" s="401">
        <v>14262.796362901236</v>
      </c>
      <c r="L138" s="77">
        <f t="shared" si="7"/>
        <v>83</v>
      </c>
      <c r="M138" s="76">
        <v>8167.3999999999951</v>
      </c>
      <c r="N138" s="402">
        <v>22.899248713174895</v>
      </c>
      <c r="O138" s="77">
        <v>151</v>
      </c>
      <c r="P138" s="78">
        <v>47017.97</v>
      </c>
      <c r="Q138" s="403">
        <v>201.32979135636822</v>
      </c>
      <c r="R138" s="77">
        <v>4062</v>
      </c>
      <c r="S138" s="78">
        <v>37468</v>
      </c>
      <c r="T138" s="401"/>
      <c r="U138" s="77">
        <v>71</v>
      </c>
      <c r="V138" s="78">
        <v>87826.8</v>
      </c>
      <c r="W138" s="401">
        <v>249.6</v>
      </c>
      <c r="X138" s="77">
        <v>1</v>
      </c>
      <c r="Z138" s="256">
        <v>134993.51999999999</v>
      </c>
      <c r="AA138" s="53">
        <v>5</v>
      </c>
      <c r="AB138" s="256">
        <v>3800703.0039144456</v>
      </c>
      <c r="AC138" s="256">
        <v>1254</v>
      </c>
      <c r="AD138" s="256">
        <v>4616441.1575373737</v>
      </c>
      <c r="AE138" s="256">
        <v>78</v>
      </c>
    </row>
    <row r="139" spans="1:31">
      <c r="A139" s="394">
        <v>2022</v>
      </c>
      <c r="B139" s="395" t="s">
        <v>158</v>
      </c>
      <c r="C139" s="75"/>
      <c r="D139" s="76">
        <v>27237589.953000002</v>
      </c>
      <c r="E139" s="76"/>
      <c r="F139" s="400">
        <v>16878663.743482299</v>
      </c>
      <c r="G139" s="77">
        <v>18818</v>
      </c>
      <c r="H139" s="76">
        <f t="shared" si="4"/>
        <v>3706264.538149734</v>
      </c>
      <c r="I139" s="77">
        <f t="shared" si="5"/>
        <v>1252</v>
      </c>
      <c r="J139" s="78">
        <f t="shared" si="6"/>
        <v>5029767.9789107703</v>
      </c>
      <c r="K139" s="401">
        <v>13206.828458363383</v>
      </c>
      <c r="L139" s="77">
        <f t="shared" si="7"/>
        <v>82</v>
      </c>
      <c r="M139" s="76">
        <v>8168.5399999999936</v>
      </c>
      <c r="N139" s="402">
        <v>22.691433577921369</v>
      </c>
      <c r="O139" s="77">
        <v>151</v>
      </c>
      <c r="P139" s="78">
        <v>47948.459999999992</v>
      </c>
      <c r="Q139" s="403">
        <v>206.73603687883895</v>
      </c>
      <c r="R139" s="77">
        <v>4142</v>
      </c>
      <c r="S139" s="78">
        <v>37468</v>
      </c>
      <c r="T139" s="401"/>
      <c r="U139" s="77">
        <v>71</v>
      </c>
      <c r="V139" s="78">
        <v>89457</v>
      </c>
      <c r="W139" s="401">
        <v>261.60000000000002</v>
      </c>
      <c r="X139" s="77">
        <v>1</v>
      </c>
      <c r="Z139" s="256">
        <v>142416.02000000002</v>
      </c>
      <c r="AA139" s="53">
        <v>5</v>
      </c>
      <c r="AB139" s="256">
        <v>3848680.558149734</v>
      </c>
      <c r="AC139" s="256">
        <v>1257</v>
      </c>
      <c r="AD139" s="256">
        <v>4887351.9589107698</v>
      </c>
      <c r="AE139" s="256">
        <v>77</v>
      </c>
    </row>
    <row r="140" spans="1:31">
      <c r="A140" s="394">
        <v>2022</v>
      </c>
      <c r="B140" s="395" t="s">
        <v>159</v>
      </c>
      <c r="C140" s="75"/>
      <c r="D140" s="76">
        <v>22039776.68</v>
      </c>
      <c r="E140" s="76"/>
      <c r="F140" s="400">
        <v>12822214.378752118</v>
      </c>
      <c r="G140" s="77">
        <v>18831</v>
      </c>
      <c r="H140" s="76">
        <f t="shared" si="4"/>
        <v>3227246.9017453296</v>
      </c>
      <c r="I140" s="77">
        <f t="shared" si="5"/>
        <v>1252</v>
      </c>
      <c r="J140" s="78">
        <f t="shared" si="6"/>
        <v>4651890.3195421342</v>
      </c>
      <c r="K140" s="401">
        <v>13722.108167612108</v>
      </c>
      <c r="L140" s="77">
        <f t="shared" si="7"/>
        <v>82</v>
      </c>
      <c r="M140" s="76">
        <v>8166.2599999999929</v>
      </c>
      <c r="N140" s="402">
        <v>22.503410360311022</v>
      </c>
      <c r="O140" s="77">
        <v>151</v>
      </c>
      <c r="P140" s="78">
        <v>47317.19999999999</v>
      </c>
      <c r="Q140" s="403">
        <v>212.29329484607143</v>
      </c>
      <c r="R140" s="77">
        <v>4142</v>
      </c>
      <c r="S140" s="78">
        <v>37468</v>
      </c>
      <c r="T140" s="401"/>
      <c r="U140" s="77">
        <v>71</v>
      </c>
      <c r="V140" s="78">
        <v>71646.599999999991</v>
      </c>
      <c r="W140" s="401">
        <v>225.6</v>
      </c>
      <c r="X140" s="77">
        <v>1</v>
      </c>
      <c r="Z140" s="256">
        <v>102723</v>
      </c>
      <c r="AA140" s="53">
        <v>5</v>
      </c>
      <c r="AB140" s="256">
        <v>3329969.9017453296</v>
      </c>
      <c r="AC140" s="256">
        <v>1257</v>
      </c>
      <c r="AD140" s="256">
        <v>4549167.3195421342</v>
      </c>
      <c r="AE140" s="256">
        <v>77</v>
      </c>
    </row>
    <row r="141" spans="1:31">
      <c r="A141" s="394">
        <v>2022</v>
      </c>
      <c r="B141" s="395" t="s">
        <v>160</v>
      </c>
      <c r="C141" s="75"/>
      <c r="D141" s="76">
        <v>21742886.627999999</v>
      </c>
      <c r="E141" s="76"/>
      <c r="F141" s="400">
        <v>12438202.56855881</v>
      </c>
      <c r="G141" s="77">
        <v>18968</v>
      </c>
      <c r="H141" s="76">
        <f t="shared" si="4"/>
        <v>3289293.6851368574</v>
      </c>
      <c r="I141" s="77">
        <f t="shared" si="5"/>
        <v>1253</v>
      </c>
      <c r="J141" s="78">
        <f t="shared" si="6"/>
        <v>4709972.639421952</v>
      </c>
      <c r="K141" s="401">
        <v>13397.142805333984</v>
      </c>
      <c r="L141" s="77">
        <f t="shared" si="7"/>
        <v>82</v>
      </c>
      <c r="M141" s="76">
        <v>8167.3999999999951</v>
      </c>
      <c r="N141" s="402">
        <v>22.879456795531702</v>
      </c>
      <c r="O141" s="77">
        <v>151</v>
      </c>
      <c r="P141" s="78">
        <v>75348.44</v>
      </c>
      <c r="Q141" s="403">
        <v>212.29329484607143</v>
      </c>
      <c r="R141" s="77">
        <v>4181</v>
      </c>
      <c r="S141" s="78">
        <v>38620</v>
      </c>
      <c r="T141" s="403"/>
      <c r="U141" s="77">
        <v>74</v>
      </c>
      <c r="V141" s="78">
        <v>63334.7</v>
      </c>
      <c r="W141" s="403">
        <v>141.6</v>
      </c>
      <c r="X141" s="77">
        <v>1</v>
      </c>
      <c r="Z141" s="256">
        <v>127962.15999999999</v>
      </c>
      <c r="AA141" s="53">
        <v>5</v>
      </c>
      <c r="AB141" s="256">
        <v>3417255.8451368576</v>
      </c>
      <c r="AC141" s="256">
        <v>1258</v>
      </c>
      <c r="AD141" s="256">
        <v>4582010.4794219518</v>
      </c>
      <c r="AE141" s="256">
        <v>77</v>
      </c>
    </row>
    <row r="142" spans="1:31">
      <c r="A142" s="394">
        <v>2022</v>
      </c>
      <c r="B142" s="395" t="s">
        <v>161</v>
      </c>
      <c r="C142" s="75"/>
      <c r="D142" s="76">
        <v>23454128.573000003</v>
      </c>
      <c r="E142" s="76"/>
      <c r="F142" s="400">
        <v>13737344.616053369</v>
      </c>
      <c r="G142" s="77">
        <v>19069</v>
      </c>
      <c r="H142" s="76">
        <f t="shared" si="4"/>
        <v>3535236.0132737695</v>
      </c>
      <c r="I142" s="77">
        <f t="shared" si="5"/>
        <v>1259</v>
      </c>
      <c r="J142" s="78">
        <f t="shared" si="6"/>
        <v>4814732.3937883908</v>
      </c>
      <c r="K142" s="401">
        <v>12627.219807416601</v>
      </c>
      <c r="L142" s="77">
        <f t="shared" si="7"/>
        <v>83</v>
      </c>
      <c r="M142" s="76">
        <v>8166.2599999999957</v>
      </c>
      <c r="N142" s="402">
        <v>22.790393166137331</v>
      </c>
      <c r="O142" s="77">
        <v>151</v>
      </c>
      <c r="P142" s="78">
        <v>73495.200000000012</v>
      </c>
      <c r="Q142" s="403">
        <v>214.46787405064066</v>
      </c>
      <c r="R142" s="77">
        <v>4181</v>
      </c>
      <c r="S142" s="78">
        <v>38620</v>
      </c>
      <c r="T142" s="403"/>
      <c r="U142" s="77">
        <v>78</v>
      </c>
      <c r="V142" s="78">
        <v>67936.800000000003</v>
      </c>
      <c r="W142" s="403">
        <v>170.4</v>
      </c>
      <c r="X142" s="77">
        <v>1</v>
      </c>
      <c r="Z142" s="256">
        <v>139743.66</v>
      </c>
      <c r="AA142" s="53">
        <v>5</v>
      </c>
      <c r="AB142" s="256">
        <v>3674979.6732737697</v>
      </c>
      <c r="AC142" s="256">
        <v>1264</v>
      </c>
      <c r="AD142" s="256">
        <v>4674988.7337883906</v>
      </c>
      <c r="AE142" s="256">
        <v>78</v>
      </c>
    </row>
    <row r="143" spans="1:31" ht="13.5" thickBot="1">
      <c r="A143" s="394">
        <v>2022</v>
      </c>
      <c r="B143" s="395" t="s">
        <v>162</v>
      </c>
      <c r="C143" s="75"/>
      <c r="D143" s="79">
        <v>27495141.667000003</v>
      </c>
      <c r="E143" s="79"/>
      <c r="F143" s="80">
        <v>17189244.029281411</v>
      </c>
      <c r="G143" s="81">
        <v>19170</v>
      </c>
      <c r="H143" s="79">
        <f t="shared" si="4"/>
        <v>3873817.9819927406</v>
      </c>
      <c r="I143" s="81">
        <f t="shared" si="5"/>
        <v>1258</v>
      </c>
      <c r="J143" s="82">
        <f t="shared" si="6"/>
        <v>4779434.654284928</v>
      </c>
      <c r="K143" s="83">
        <v>12358.635755998937</v>
      </c>
      <c r="L143" s="81">
        <f t="shared" si="7"/>
        <v>84</v>
      </c>
      <c r="M143" s="79">
        <v>8098.9999999999936</v>
      </c>
      <c r="N143" s="84">
        <v>22.691433577921362</v>
      </c>
      <c r="O143" s="81">
        <v>151</v>
      </c>
      <c r="P143" s="82">
        <v>76124.639999999985</v>
      </c>
      <c r="Q143" s="85">
        <v>211.62884008911973</v>
      </c>
      <c r="R143" s="81">
        <v>4189</v>
      </c>
      <c r="S143" s="82">
        <v>38620</v>
      </c>
      <c r="T143" s="85"/>
      <c r="U143" s="81">
        <v>78</v>
      </c>
      <c r="V143" s="82">
        <v>85882.2</v>
      </c>
      <c r="W143" s="85">
        <v>208.8</v>
      </c>
      <c r="X143" s="81">
        <v>1</v>
      </c>
      <c r="Z143" s="256">
        <v>187193.16</v>
      </c>
      <c r="AA143" s="53">
        <v>5</v>
      </c>
      <c r="AB143" s="256">
        <v>4061011.1419927408</v>
      </c>
      <c r="AC143" s="256">
        <v>1263</v>
      </c>
      <c r="AD143" s="256">
        <v>4592241.4942849278</v>
      </c>
      <c r="AE143" s="256">
        <v>79</v>
      </c>
    </row>
    <row r="144" spans="1:31">
      <c r="A144" s="404">
        <v>2023</v>
      </c>
      <c r="B144" s="405" t="s">
        <v>151</v>
      </c>
      <c r="C144" s="226"/>
      <c r="D144" s="227">
        <v>27816333.475000001</v>
      </c>
      <c r="E144" s="227"/>
      <c r="F144" s="259">
        <v>17220389.980000034</v>
      </c>
      <c r="G144" s="228">
        <v>19355</v>
      </c>
      <c r="H144" s="227">
        <f>AB144-Z144</f>
        <v>3975900.9600000028</v>
      </c>
      <c r="I144" s="228">
        <f t="shared" si="5"/>
        <v>1258</v>
      </c>
      <c r="J144" s="229">
        <f t="shared" si="6"/>
        <v>5087099.299999997</v>
      </c>
      <c r="K144" s="406">
        <v>12036.409999999998</v>
      </c>
      <c r="L144" s="228">
        <f t="shared" si="7"/>
        <v>84</v>
      </c>
      <c r="M144" s="227">
        <v>8150.2999999999947</v>
      </c>
      <c r="N144" s="407">
        <v>22.74</v>
      </c>
      <c r="O144" s="407">
        <v>151</v>
      </c>
      <c r="P144" s="229">
        <v>92793.54</v>
      </c>
      <c r="Q144" s="408">
        <v>213.81</v>
      </c>
      <c r="R144" s="228">
        <v>4185</v>
      </c>
      <c r="S144" s="229">
        <v>38620</v>
      </c>
      <c r="T144" s="406"/>
      <c r="U144" s="228">
        <v>78</v>
      </c>
      <c r="V144" s="229">
        <v>74751</v>
      </c>
      <c r="W144" s="229">
        <v>182.4</v>
      </c>
      <c r="X144" s="228">
        <v>1</v>
      </c>
      <c r="Y144" s="184"/>
      <c r="Z144" s="257">
        <v>218163.34000000003</v>
      </c>
      <c r="AA144" s="53">
        <v>5</v>
      </c>
      <c r="AB144" s="260">
        <v>4194064.3000000026</v>
      </c>
      <c r="AC144" s="256">
        <v>1263</v>
      </c>
      <c r="AD144" s="256">
        <v>4868935.9599999972</v>
      </c>
      <c r="AE144" s="256">
        <v>79</v>
      </c>
    </row>
    <row r="145" spans="1:31">
      <c r="A145" s="404">
        <v>2023</v>
      </c>
      <c r="B145" s="405" t="s">
        <v>152</v>
      </c>
      <c r="C145" s="226"/>
      <c r="D145" s="227">
        <v>25737050.190000001</v>
      </c>
      <c r="E145" s="227"/>
      <c r="F145" s="259">
        <v>15972865.590000046</v>
      </c>
      <c r="G145" s="228">
        <v>19470</v>
      </c>
      <c r="H145" s="227">
        <f t="shared" si="4"/>
        <v>3581873.8499999973</v>
      </c>
      <c r="I145" s="228">
        <f t="shared" si="5"/>
        <v>1259</v>
      </c>
      <c r="J145" s="229">
        <f t="shared" si="6"/>
        <v>4663785.9799999995</v>
      </c>
      <c r="K145" s="406">
        <v>12012.980000000003</v>
      </c>
      <c r="L145" s="228">
        <f t="shared" si="7"/>
        <v>84</v>
      </c>
      <c r="M145" s="227">
        <v>8166.2599999999957</v>
      </c>
      <c r="N145" s="407">
        <v>22.74</v>
      </c>
      <c r="O145" s="407">
        <v>151</v>
      </c>
      <c r="P145" s="229">
        <v>83813.52</v>
      </c>
      <c r="Q145" s="408">
        <v>213.81</v>
      </c>
      <c r="R145" s="228">
        <v>4185</v>
      </c>
      <c r="S145" s="229">
        <v>38620</v>
      </c>
      <c r="T145" s="406"/>
      <c r="U145" s="228">
        <v>78</v>
      </c>
      <c r="V145" s="229">
        <v>81684.600000000006</v>
      </c>
      <c r="W145" s="229">
        <v>206.4</v>
      </c>
      <c r="X145" s="228">
        <v>1</v>
      </c>
      <c r="Y145" s="184"/>
      <c r="Z145" s="257">
        <v>218073.22000000003</v>
      </c>
      <c r="AA145" s="53">
        <v>5</v>
      </c>
      <c r="AB145" s="260">
        <v>3799947.0699999975</v>
      </c>
      <c r="AC145" s="256">
        <v>1264</v>
      </c>
      <c r="AD145" s="256">
        <v>4445712.76</v>
      </c>
      <c r="AE145" s="256">
        <v>79</v>
      </c>
    </row>
    <row r="146" spans="1:31">
      <c r="A146" s="404">
        <v>2023</v>
      </c>
      <c r="B146" s="405" t="s">
        <v>153</v>
      </c>
      <c r="C146" s="226"/>
      <c r="D146" s="227">
        <v>26997986.940000001</v>
      </c>
      <c r="E146" s="227"/>
      <c r="F146" s="259">
        <v>16432583.540000062</v>
      </c>
      <c r="G146" s="228">
        <v>19601</v>
      </c>
      <c r="H146" s="227">
        <f t="shared" si="4"/>
        <v>3681619.3699999978</v>
      </c>
      <c r="I146" s="228">
        <f t="shared" si="5"/>
        <v>1261</v>
      </c>
      <c r="J146" s="229">
        <f t="shared" si="6"/>
        <v>5152400.7200000007</v>
      </c>
      <c r="K146" s="406">
        <v>11844.349999999999</v>
      </c>
      <c r="L146" s="228">
        <f t="shared" si="7"/>
        <v>85</v>
      </c>
      <c r="M146" s="227">
        <v>8166.2599999999957</v>
      </c>
      <c r="N146" s="407">
        <v>23.31</v>
      </c>
      <c r="O146" s="407">
        <v>151</v>
      </c>
      <c r="P146" s="229">
        <v>92793.54</v>
      </c>
      <c r="Q146" s="408">
        <v>213.81</v>
      </c>
      <c r="R146" s="228">
        <v>4185</v>
      </c>
      <c r="S146" s="229">
        <v>38620</v>
      </c>
      <c r="T146" s="406"/>
      <c r="U146" s="228">
        <v>78</v>
      </c>
      <c r="V146" s="229">
        <v>75855.600000000006</v>
      </c>
      <c r="W146" s="229">
        <v>165.6</v>
      </c>
      <c r="X146" s="228">
        <v>1</v>
      </c>
      <c r="Y146" s="184"/>
      <c r="Z146" s="257">
        <v>314481.98</v>
      </c>
      <c r="AA146" s="53">
        <v>5</v>
      </c>
      <c r="AB146" s="260">
        <v>3996101.3499999978</v>
      </c>
      <c r="AC146" s="256">
        <v>1266</v>
      </c>
      <c r="AD146" s="256">
        <v>4837918.74</v>
      </c>
      <c r="AE146" s="256">
        <v>80</v>
      </c>
    </row>
    <row r="147" spans="1:31">
      <c r="A147" s="404">
        <v>2023</v>
      </c>
      <c r="B147" s="405" t="s">
        <v>154</v>
      </c>
      <c r="C147" s="226"/>
      <c r="D147" s="227">
        <v>22470351.425000001</v>
      </c>
      <c r="E147" s="227"/>
      <c r="F147" s="259">
        <v>13380668.090000071</v>
      </c>
      <c r="G147" s="228">
        <v>19703</v>
      </c>
      <c r="H147" s="227">
        <f t="shared" si="4"/>
        <v>3197473.8799999994</v>
      </c>
      <c r="I147" s="228">
        <f t="shared" si="5"/>
        <v>1269</v>
      </c>
      <c r="J147" s="229">
        <f t="shared" si="6"/>
        <v>4293775.5900000008</v>
      </c>
      <c r="K147" s="406">
        <v>12419.610000000002</v>
      </c>
      <c r="L147" s="228">
        <f t="shared" si="7"/>
        <v>85</v>
      </c>
      <c r="M147" s="227">
        <v>8166.2599999999884</v>
      </c>
      <c r="N147" s="407">
        <v>22.93</v>
      </c>
      <c r="O147" s="407">
        <v>151</v>
      </c>
      <c r="P147" s="229">
        <v>68134.5</v>
      </c>
      <c r="Q147" s="408">
        <v>213.81</v>
      </c>
      <c r="R147" s="228">
        <v>4240</v>
      </c>
      <c r="S147" s="229">
        <v>38044</v>
      </c>
      <c r="T147" s="406"/>
      <c r="U147" s="228">
        <v>76</v>
      </c>
      <c r="V147" s="229">
        <v>78546</v>
      </c>
      <c r="W147" s="229">
        <v>153.6</v>
      </c>
      <c r="X147" s="228">
        <v>1</v>
      </c>
      <c r="Y147" s="184"/>
      <c r="Z147" s="257">
        <v>47012.38</v>
      </c>
      <c r="AA147" s="53">
        <v>3</v>
      </c>
      <c r="AB147" s="260">
        <v>3244486.2599999993</v>
      </c>
      <c r="AC147" s="256">
        <v>1272</v>
      </c>
      <c r="AD147" s="256">
        <v>4246763.2100000009</v>
      </c>
      <c r="AE147" s="256">
        <v>82</v>
      </c>
    </row>
    <row r="148" spans="1:31">
      <c r="A148" s="404">
        <v>2023</v>
      </c>
      <c r="B148" s="405" t="s">
        <v>155</v>
      </c>
      <c r="C148" s="226"/>
      <c r="D148" s="227">
        <v>22071224.705000002</v>
      </c>
      <c r="E148" s="227"/>
      <c r="F148" s="259">
        <v>12729643.289999904</v>
      </c>
      <c r="G148" s="228">
        <v>19748</v>
      </c>
      <c r="H148" s="227">
        <f t="shared" si="4"/>
        <v>3267378.8900000015</v>
      </c>
      <c r="I148" s="228">
        <f t="shared" si="5"/>
        <v>1270</v>
      </c>
      <c r="J148" s="229">
        <f t="shared" si="6"/>
        <v>4521343.2100000018</v>
      </c>
      <c r="K148" s="406">
        <v>13900.56</v>
      </c>
      <c r="L148" s="228">
        <f t="shared" si="7"/>
        <v>85</v>
      </c>
      <c r="M148" s="227">
        <v>8166.2599999999902</v>
      </c>
      <c r="N148" s="407">
        <v>22.93</v>
      </c>
      <c r="O148" s="407">
        <v>151</v>
      </c>
      <c r="P148" s="229">
        <v>70247.31</v>
      </c>
      <c r="Q148" s="408">
        <v>216.3</v>
      </c>
      <c r="R148" s="228">
        <v>4240</v>
      </c>
      <c r="S148" s="229">
        <v>38044</v>
      </c>
      <c r="T148" s="406"/>
      <c r="U148" s="228">
        <v>76</v>
      </c>
      <c r="V148" s="229">
        <v>66709.8</v>
      </c>
      <c r="W148" s="229">
        <v>201.6</v>
      </c>
      <c r="X148" s="228">
        <v>1</v>
      </c>
      <c r="Y148" s="184"/>
      <c r="Z148" s="257">
        <v>53798.080000000002</v>
      </c>
      <c r="AA148" s="53">
        <v>1</v>
      </c>
      <c r="AB148" s="260">
        <v>3321176.9700000016</v>
      </c>
      <c r="AC148" s="256">
        <v>1271</v>
      </c>
      <c r="AD148" s="256">
        <v>4467545.1300000018</v>
      </c>
      <c r="AE148" s="256">
        <v>84</v>
      </c>
    </row>
    <row r="149" spans="1:31">
      <c r="A149" s="404">
        <v>2023</v>
      </c>
      <c r="B149" s="405" t="s">
        <v>156</v>
      </c>
      <c r="C149" s="226"/>
      <c r="D149" s="227">
        <v>24243663.09</v>
      </c>
      <c r="E149" s="227"/>
      <c r="F149" s="259">
        <v>14149966.749999985</v>
      </c>
      <c r="G149" s="228">
        <v>19963</v>
      </c>
      <c r="H149" s="227">
        <f t="shared" si="4"/>
        <v>3395835.4799999995</v>
      </c>
      <c r="I149" s="228">
        <f t="shared" si="5"/>
        <v>1275</v>
      </c>
      <c r="J149" s="229">
        <f t="shared" si="6"/>
        <v>4707987.5800000029</v>
      </c>
      <c r="K149" s="406">
        <v>14192.639999999996</v>
      </c>
      <c r="L149" s="228">
        <f t="shared" si="7"/>
        <v>85</v>
      </c>
      <c r="M149" s="227">
        <v>8029.45999999999</v>
      </c>
      <c r="N149" s="407">
        <v>23.22</v>
      </c>
      <c r="O149" s="407">
        <v>151</v>
      </c>
      <c r="P149" s="229">
        <v>69189.900000000009</v>
      </c>
      <c r="Q149" s="408">
        <v>216.30000000000004</v>
      </c>
      <c r="R149" s="228">
        <v>4300</v>
      </c>
      <c r="S149" s="229">
        <v>36892</v>
      </c>
      <c r="T149" s="406"/>
      <c r="U149" s="228">
        <v>76</v>
      </c>
      <c r="V149" s="229">
        <v>65846.399999999994</v>
      </c>
      <c r="W149" s="229">
        <v>240</v>
      </c>
      <c r="X149" s="228">
        <v>1</v>
      </c>
      <c r="Y149" s="184"/>
      <c r="Z149" s="261">
        <v>0</v>
      </c>
      <c r="AA149" s="262">
        <v>0</v>
      </c>
      <c r="AB149" s="260">
        <v>3395835.4799999995</v>
      </c>
      <c r="AC149" s="256">
        <v>1275</v>
      </c>
      <c r="AD149" s="256">
        <v>4707987.5800000029</v>
      </c>
      <c r="AE149" s="256">
        <v>85</v>
      </c>
    </row>
    <row r="152" spans="1:31">
      <c r="J152" s="184"/>
    </row>
    <row r="153" spans="1:31">
      <c r="J153" s="184"/>
    </row>
    <row r="154" spans="1:31">
      <c r="J154" s="253"/>
    </row>
  </sheetData>
  <sheetProtection selectLockedCells="1" selectUnlockedCells="1"/>
  <mergeCells count="14">
    <mergeCell ref="A3:H3"/>
    <mergeCell ref="S21:U21"/>
    <mergeCell ref="V21:X21"/>
    <mergeCell ref="F21:G21"/>
    <mergeCell ref="H21:I21"/>
    <mergeCell ref="J21:L21"/>
    <mergeCell ref="M21:O21"/>
    <mergeCell ref="P21:R21"/>
    <mergeCell ref="Z21:AA21"/>
    <mergeCell ref="AB21:AC21"/>
    <mergeCell ref="AD21:AE21"/>
    <mergeCell ref="A20:B20"/>
    <mergeCell ref="D20:E20"/>
    <mergeCell ref="F20:X20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P65"/>
  <sheetViews>
    <sheetView zoomScaleNormal="100" workbookViewId="0">
      <pane xSplit="1" ySplit="3" topLeftCell="D4" activePane="bottomRight" state="frozen"/>
      <selection pane="bottomRight" activeCell="A66" sqref="A66"/>
      <selection pane="bottomLeft" activeCell="A4" sqref="A4"/>
      <selection pane="topRight" activeCell="B1" sqref="B1"/>
    </sheetView>
  </sheetViews>
  <sheetFormatPr defaultRowHeight="12.75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  <col min="15" max="15" width="12.5703125" customWidth="1"/>
    <col min="16" max="16" width="12.5703125" bestFit="1" customWidth="1"/>
  </cols>
  <sheetData>
    <row r="1" spans="1:14" ht="15.75">
      <c r="A1" s="23" t="s">
        <v>163</v>
      </c>
    </row>
    <row r="2" spans="1:14">
      <c r="L2" s="25" t="s">
        <v>9</v>
      </c>
      <c r="M2" s="25" t="s">
        <v>10</v>
      </c>
    </row>
    <row r="3" spans="1:14" ht="25.5">
      <c r="B3" s="25" t="s">
        <v>164</v>
      </c>
      <c r="C3" s="25" t="s">
        <v>165</v>
      </c>
      <c r="D3" s="25" t="s">
        <v>166</v>
      </c>
      <c r="E3" s="25" t="s">
        <v>167</v>
      </c>
      <c r="F3" s="25" t="s">
        <v>68</v>
      </c>
      <c r="G3" s="25" t="s">
        <v>69</v>
      </c>
      <c r="H3" s="25" t="s">
        <v>70</v>
      </c>
      <c r="I3" s="25" t="s">
        <v>118</v>
      </c>
      <c r="J3" s="25" t="s">
        <v>72</v>
      </c>
      <c r="K3" s="25" t="s">
        <v>73</v>
      </c>
      <c r="L3" s="25" t="s">
        <v>168</v>
      </c>
      <c r="M3" s="25" t="s">
        <v>168</v>
      </c>
    </row>
    <row r="4" spans="1:14">
      <c r="A4" s="11" t="s">
        <v>77</v>
      </c>
      <c r="B4" s="18">
        <f>+'Power Purchased Model'!B152</f>
        <v>251758061.40000001</v>
      </c>
      <c r="C4" s="18">
        <f>+'Power Purchased Model'!B153</f>
        <v>253254986.30000001</v>
      </c>
      <c r="D4" s="18">
        <f>+'Power Purchased Model'!B154</f>
        <v>255774983.09999999</v>
      </c>
      <c r="E4" s="18">
        <f>+'Power Purchased Model'!B155</f>
        <v>259382036</v>
      </c>
      <c r="F4" s="18">
        <f>+'Power Purchased Model'!B156</f>
        <v>256769434.55879995</v>
      </c>
      <c r="G4" s="18">
        <f>+'Power Purchased Model'!B157</f>
        <v>278813235.74599999</v>
      </c>
      <c r="H4" s="18">
        <f>+'Power Purchased Model'!B158</f>
        <v>280581536.88999999</v>
      </c>
      <c r="I4" s="18">
        <f>+'Power Purchased Model'!B159</f>
        <v>291404251.64599001</v>
      </c>
      <c r="J4" s="18">
        <f>+'Power Purchased Model'!B160</f>
        <v>295240254.13</v>
      </c>
      <c r="K4" s="18">
        <f>+'Power Purchased Model'!B161</f>
        <v>299934504.296</v>
      </c>
    </row>
    <row r="5" spans="1:14">
      <c r="A5" s="11" t="s">
        <v>169</v>
      </c>
      <c r="B5" s="18">
        <f>+'Power Purchased Model'!I152</f>
        <v>247528992.67039391</v>
      </c>
      <c r="C5" s="18">
        <f>+'Power Purchased Model'!I153</f>
        <v>251542200.21569908</v>
      </c>
      <c r="D5" s="18">
        <f>+'Power Purchased Model'!I154</f>
        <v>254805593.44736814</v>
      </c>
      <c r="E5" s="18">
        <f>+'Power Purchased Model'!I155</f>
        <v>265077245.1744242</v>
      </c>
      <c r="F5" s="18">
        <f>+'Power Purchased Model'!I156</f>
        <v>259229801.31076357</v>
      </c>
      <c r="G5" s="18">
        <f>+'Power Purchased Model'!I157</f>
        <v>278937077.48432195</v>
      </c>
      <c r="H5" s="18">
        <f>+'Power Purchased Model'!I158</f>
        <v>280607002.24884319</v>
      </c>
      <c r="I5" s="18">
        <f>+'Power Purchased Model'!I159</f>
        <v>292154381.51722866</v>
      </c>
      <c r="J5" s="18">
        <f>+'Power Purchased Model'!I160</f>
        <v>295535748.70630878</v>
      </c>
      <c r="K5" s="18">
        <f>+'Power Purchased Model'!I161</f>
        <v>298475881.46384263</v>
      </c>
      <c r="L5" s="18">
        <f>+'Power Purchased Model'!I162</f>
        <v>302633378.02298784</v>
      </c>
      <c r="M5" s="18">
        <f>+'Power Purchased Model'!I163</f>
        <v>314947391.46328634</v>
      </c>
    </row>
    <row r="6" spans="1:14">
      <c r="A6" s="11" t="s">
        <v>38</v>
      </c>
      <c r="B6" s="24">
        <f t="shared" ref="B6:K6" si="0">(B5-B4)/B4</f>
        <v>-1.6798146228520695E-2</v>
      </c>
      <c r="C6" s="24">
        <f t="shared" si="0"/>
        <v>-6.7630892853260882E-3</v>
      </c>
      <c r="D6" s="24">
        <f t="shared" si="0"/>
        <v>-3.7900096439566497E-3</v>
      </c>
      <c r="E6" s="24">
        <f t="shared" si="0"/>
        <v>2.1956837344064187E-2</v>
      </c>
      <c r="F6" s="24">
        <f t="shared" si="0"/>
        <v>9.5820079060079631E-3</v>
      </c>
      <c r="G6" s="24">
        <f t="shared" si="0"/>
        <v>4.4417453135108805E-4</v>
      </c>
      <c r="H6" s="24">
        <f t="shared" si="0"/>
        <v>9.0759210764430569E-5</v>
      </c>
      <c r="I6" s="24">
        <f t="shared" si="0"/>
        <v>2.5741898651154131E-3</v>
      </c>
      <c r="J6" s="24">
        <f t="shared" si="0"/>
        <v>1.0008614075324392E-3</v>
      </c>
      <c r="K6" s="24">
        <f t="shared" si="0"/>
        <v>-4.8631378226423883E-3</v>
      </c>
    </row>
    <row r="7" spans="1:14">
      <c r="A7" s="11"/>
      <c r="B7" s="24"/>
      <c r="C7" s="24"/>
      <c r="D7" s="24"/>
      <c r="E7" s="24"/>
      <c r="F7" s="24"/>
      <c r="G7" s="24"/>
      <c r="H7" s="24"/>
      <c r="I7" s="24"/>
      <c r="J7" s="24"/>
      <c r="K7" s="24"/>
      <c r="L7" s="18"/>
      <c r="M7" s="18"/>
    </row>
    <row r="8" spans="1:14">
      <c r="A8" s="11"/>
      <c r="B8" s="24"/>
      <c r="C8" s="24"/>
      <c r="D8" s="24"/>
      <c r="E8" s="24"/>
      <c r="F8" s="24"/>
      <c r="G8" s="24"/>
      <c r="H8" s="24"/>
      <c r="I8" s="24"/>
      <c r="J8" s="24"/>
      <c r="K8" s="24"/>
      <c r="L8" s="32"/>
      <c r="M8" s="32"/>
    </row>
    <row r="9" spans="1:14">
      <c r="A9" s="11"/>
      <c r="B9" s="24"/>
      <c r="C9" s="24"/>
      <c r="D9" s="24"/>
      <c r="E9" s="24"/>
      <c r="F9" s="24"/>
      <c r="G9" s="24"/>
      <c r="H9" s="24"/>
      <c r="I9" s="24"/>
      <c r="J9" s="24"/>
      <c r="K9" s="24"/>
    </row>
    <row r="10" spans="1:14">
      <c r="A10" s="11" t="s">
        <v>81</v>
      </c>
      <c r="B10" s="6">
        <f>'Rate Class Energy Model'!G3</f>
        <v>233996583.29999995</v>
      </c>
      <c r="C10" s="6">
        <f>'Rate Class Energy Model'!G4</f>
        <v>236082040.25</v>
      </c>
      <c r="D10" s="6">
        <f>'Rate Class Energy Model'!G5</f>
        <v>239390572.58000004</v>
      </c>
      <c r="E10" s="6">
        <f>'Rate Class Energy Model'!G6</f>
        <v>243089963.12000003</v>
      </c>
      <c r="F10" s="6">
        <f>'Rate Class Energy Model'!G7</f>
        <v>242272212.85000002</v>
      </c>
      <c r="G10" s="6">
        <f>'Rate Class Energy Model'!G8</f>
        <v>263499383.88000003</v>
      </c>
      <c r="H10" s="6">
        <f>'Rate Class Energy Model'!G9</f>
        <v>270098351.89999992</v>
      </c>
      <c r="I10" s="6">
        <f>'Rate Class Energy Model'!G10</f>
        <v>275892822.46999997</v>
      </c>
      <c r="J10" s="6">
        <f>'Rate Class Energy Model'!G11</f>
        <v>278373131.94000006</v>
      </c>
      <c r="K10" s="6">
        <f>'Rate Class Energy Model'!G12</f>
        <v>283532335.65449119</v>
      </c>
      <c r="L10" s="6">
        <f>'Rate Class Energy Model'!G13</f>
        <v>285085206.34618509</v>
      </c>
      <c r="M10" s="6">
        <f>'Rate Class Energy Model'!G14</f>
        <v>296685192.72412699</v>
      </c>
    </row>
    <row r="11" spans="1:14">
      <c r="A11" s="11"/>
      <c r="L11" s="6"/>
      <c r="M11" s="6"/>
    </row>
    <row r="12" spans="1:14" ht="15.75">
      <c r="A12" s="23" t="s">
        <v>170</v>
      </c>
      <c r="C12" s="1"/>
      <c r="E12" s="1"/>
      <c r="H12" s="32"/>
    </row>
    <row r="13" spans="1:14">
      <c r="A13" s="22" t="str">
        <f>'Rate Class Energy Model'!H2</f>
        <v xml:space="preserve">Residential </v>
      </c>
      <c r="C13" s="1"/>
      <c r="D13" s="1"/>
      <c r="E13" s="1"/>
      <c r="H13" s="6"/>
      <c r="I13" s="6"/>
      <c r="J13" s="6"/>
      <c r="K13" s="6"/>
      <c r="L13" s="6"/>
      <c r="M13" s="6"/>
    </row>
    <row r="14" spans="1:14">
      <c r="A14" t="s">
        <v>83</v>
      </c>
      <c r="B14" s="6">
        <f>'Rate Class Customer Model'!B11</f>
        <v>14181</v>
      </c>
      <c r="C14" s="6">
        <f>'Rate Class Customer Model'!B12</f>
        <v>14509.166666666666</v>
      </c>
      <c r="D14" s="6">
        <f>'Rate Class Customer Model'!B13</f>
        <v>14861.583333333334</v>
      </c>
      <c r="E14" s="6">
        <f>'Rate Class Customer Model'!B14</f>
        <v>15201.583333333334</v>
      </c>
      <c r="F14" s="6">
        <f>'Rate Class Customer Model'!B15</f>
        <v>15631.666666666666</v>
      </c>
      <c r="G14" s="6">
        <f>'Rate Class Customer Model'!B16</f>
        <v>16490.666666666668</v>
      </c>
      <c r="H14" s="6">
        <f>'Rate Class Customer Model'!B17</f>
        <v>17294.333333333332</v>
      </c>
      <c r="I14" s="6">
        <f>'Rate Class Customer Model'!B18</f>
        <v>17582.833333333332</v>
      </c>
      <c r="J14" s="6">
        <f>'Rate Class Customer Model'!B19</f>
        <v>18253.333333333332</v>
      </c>
      <c r="K14" s="6">
        <f>'Rate Class Customer Model'!B20</f>
        <v>18754.666666666668</v>
      </c>
      <c r="L14" s="6">
        <f>'Rate Class Customer Model'!B21</f>
        <v>19908.463839301028</v>
      </c>
      <c r="M14" s="6">
        <f>'Rate Class Customer Model'!B22</f>
        <v>20636.220268069355</v>
      </c>
      <c r="N14" s="32"/>
    </row>
    <row r="15" spans="1:14">
      <c r="A15" t="s">
        <v>84</v>
      </c>
      <c r="B15" s="6">
        <f>'Rate Class Energy Model'!H3</f>
        <v>149683532.50999996</v>
      </c>
      <c r="C15" s="6">
        <f>'Rate Class Energy Model'!H4</f>
        <v>150836890.28</v>
      </c>
      <c r="D15" s="6">
        <f>'Rate Class Energy Model'!H5</f>
        <v>149312422.91999999</v>
      </c>
      <c r="E15" s="31">
        <f>'Rate Class Energy Model'!H6</f>
        <v>150135916.50999999</v>
      </c>
      <c r="F15" s="6">
        <f>'Rate Class Energy Model'!H7</f>
        <v>145250460.83000001</v>
      </c>
      <c r="G15" s="6">
        <f>'Rate Class Energy Model'!H8</f>
        <v>160853753.41</v>
      </c>
      <c r="H15" s="6">
        <f>'Rate Class Energy Model'!H9</f>
        <v>161284519.66999996</v>
      </c>
      <c r="I15" s="6">
        <f>'Rate Class Energy Model'!H10</f>
        <v>174957599.51999998</v>
      </c>
      <c r="J15" s="6">
        <f>'Rate Class Energy Model'!H11</f>
        <v>178499709.20000005</v>
      </c>
      <c r="K15" s="6">
        <f>'Rate Class Energy Model'!H12</f>
        <v>181843662.79904294</v>
      </c>
      <c r="L15" s="6">
        <f>'Rate Class Energy Model'!H31</f>
        <v>184240234.88300711</v>
      </c>
      <c r="M15" s="6">
        <f>'Rate Class Energy Model'!H32</f>
        <v>192531906.87263227</v>
      </c>
      <c r="N15" s="32"/>
    </row>
    <row r="16" spans="1:14">
      <c r="C16" s="31"/>
      <c r="F16" s="32"/>
      <c r="G16" s="32"/>
      <c r="I16" s="32"/>
      <c r="J16" s="32"/>
      <c r="K16" s="32"/>
      <c r="L16" s="32"/>
      <c r="M16" s="32"/>
      <c r="N16" s="32"/>
    </row>
    <row r="17" spans="1:14">
      <c r="A17" s="22" t="str">
        <f>'Rate Class Energy Model'!I2</f>
        <v>General Service &lt; 50 kW</v>
      </c>
      <c r="C17" s="42"/>
      <c r="D17" s="1"/>
      <c r="E17" s="1"/>
      <c r="F17" s="1"/>
      <c r="G17" s="6"/>
      <c r="H17" s="6"/>
      <c r="I17" s="6"/>
      <c r="J17" s="6"/>
      <c r="K17" s="6"/>
      <c r="L17" s="6"/>
      <c r="M17" s="6"/>
      <c r="N17" s="32"/>
    </row>
    <row r="18" spans="1:14" ht="13.5" customHeight="1">
      <c r="A18" t="s">
        <v>83</v>
      </c>
      <c r="B18" s="6">
        <f>'Rate Class Customer Model'!C11</f>
        <v>948.25</v>
      </c>
      <c r="C18" s="6">
        <f>'Rate Class Customer Model'!C12</f>
        <v>990.25</v>
      </c>
      <c r="D18" s="6">
        <f>'Rate Class Customer Model'!C13</f>
        <v>999.58333333333337</v>
      </c>
      <c r="E18" s="6">
        <f>'Rate Class Customer Model'!C14</f>
        <v>1015.25</v>
      </c>
      <c r="F18" s="6">
        <f>'Rate Class Customer Model'!C15</f>
        <v>1029.3333333333333</v>
      </c>
      <c r="G18" s="6">
        <f>'Rate Class Customer Model'!C16</f>
        <v>1081</v>
      </c>
      <c r="H18" s="6">
        <f>'Rate Class Customer Model'!C17</f>
        <v>1118.5833333333333</v>
      </c>
      <c r="I18" s="6">
        <f>'Rate Class Customer Model'!C18</f>
        <v>1150.9166666666667</v>
      </c>
      <c r="J18" s="6">
        <f>'Rate Class Customer Model'!C19</f>
        <v>1186.8333333333333</v>
      </c>
      <c r="K18" s="6">
        <f>'Rate Class Customer Model'!C20</f>
        <v>1241.1666666666667</v>
      </c>
      <c r="L18" s="6">
        <f>'Rate Class Customer Model'!C21</f>
        <v>1275.7732893284576</v>
      </c>
      <c r="M18" s="6">
        <f>'Rate Class Customer Model'!C22</f>
        <v>1314.0818521795097</v>
      </c>
      <c r="N18" s="32"/>
    </row>
    <row r="19" spans="1:14">
      <c r="A19" t="s">
        <v>84</v>
      </c>
      <c r="B19" s="6">
        <f>'Rate Class Energy Model'!I3</f>
        <v>31060364.789999999</v>
      </c>
      <c r="C19" s="6">
        <f>'Rate Class Energy Model'!I4</f>
        <v>32218311.560000002</v>
      </c>
      <c r="D19" s="6">
        <f>'Rate Class Energy Model'!I5</f>
        <v>33644640.010000005</v>
      </c>
      <c r="E19" s="6">
        <f>'Rate Class Energy Model'!I6</f>
        <v>33481494.420000006</v>
      </c>
      <c r="F19" s="6">
        <f>'Rate Class Energy Model'!I7</f>
        <v>32706065.800000004</v>
      </c>
      <c r="G19" s="6">
        <f>'Rate Class Energy Model'!I8</f>
        <v>35963905.180000007</v>
      </c>
      <c r="H19" s="6">
        <f>'Rate Class Energy Model'!I9</f>
        <v>42044856.089999989</v>
      </c>
      <c r="I19" s="6">
        <f>'Rate Class Energy Model'!I10</f>
        <v>39210724.930000007</v>
      </c>
      <c r="J19" s="6">
        <f>'Rate Class Energy Model'!I11</f>
        <v>39405376.530000001</v>
      </c>
      <c r="K19" s="6">
        <f>'Rate Class Energy Model'!I12</f>
        <v>42008337.715448268</v>
      </c>
      <c r="L19" s="6">
        <f>'Rate Class Energy Model'!I31</f>
        <v>41213244.488030672</v>
      </c>
      <c r="M19" s="6">
        <f>'Rate Class Energy Model'!I32</f>
        <v>42796824.645696916</v>
      </c>
      <c r="N19" s="32"/>
    </row>
    <row r="20" spans="1:14">
      <c r="B20" s="6"/>
      <c r="C20" s="1"/>
      <c r="G20" s="32"/>
      <c r="I20" s="32"/>
      <c r="J20" s="32"/>
      <c r="K20" s="32"/>
      <c r="L20" s="32"/>
      <c r="M20" s="32"/>
      <c r="N20" s="32"/>
    </row>
    <row r="21" spans="1:14">
      <c r="A21" s="22" t="str">
        <f>'Rate Class Energy Model'!J2</f>
        <v>General Service &gt; 50 to 4999 kW</v>
      </c>
      <c r="B21" s="6"/>
      <c r="C21" s="1"/>
      <c r="D21" s="1"/>
      <c r="E21" s="1"/>
      <c r="F21" s="1"/>
      <c r="N21" s="32"/>
    </row>
    <row r="22" spans="1:14">
      <c r="A22" t="s">
        <v>83</v>
      </c>
      <c r="B22" s="6">
        <f>'Rate Class Customer Model'!D11</f>
        <v>67</v>
      </c>
      <c r="C22" s="6">
        <f>'Rate Class Customer Model'!D12</f>
        <v>67.166666666666671</v>
      </c>
      <c r="D22" s="6">
        <f>'Rate Class Customer Model'!D13</f>
        <v>71.5</v>
      </c>
      <c r="E22" s="6">
        <f>'Rate Class Customer Model'!D14</f>
        <v>75.583333333333329</v>
      </c>
      <c r="F22" s="6">
        <f>'Rate Class Customer Model'!D15</f>
        <v>86.666666666666671</v>
      </c>
      <c r="G22" s="6">
        <f>'Rate Class Customer Model'!D16</f>
        <v>91</v>
      </c>
      <c r="H22" s="6">
        <f>'Rate Class Customer Model'!D17</f>
        <v>86.583333333333329</v>
      </c>
      <c r="I22" s="6">
        <f>'Rate Class Customer Model'!D18</f>
        <v>82.083333333333329</v>
      </c>
      <c r="J22" s="6">
        <f>'Rate Class Customer Model'!D19</f>
        <v>81.166666666666671</v>
      </c>
      <c r="K22" s="6">
        <f>'Rate Class Customer Model'!D20</f>
        <v>82.25</v>
      </c>
      <c r="L22" s="6">
        <f>'Rate Class Customer Model'!D21</f>
        <v>85.120889744039346</v>
      </c>
      <c r="M22" s="6">
        <f>'Rate Class Customer Model'!D22</f>
        <v>87.089175994942835</v>
      </c>
      <c r="N22" s="32"/>
    </row>
    <row r="23" spans="1:14">
      <c r="A23" t="s">
        <v>84</v>
      </c>
      <c r="B23" s="6">
        <f>'Rate Class Energy Model'!J3</f>
        <v>50178124.119999997</v>
      </c>
      <c r="C23" s="6">
        <f>'Rate Class Energy Model'!J4</f>
        <v>49953564.469999999</v>
      </c>
      <c r="D23" s="6">
        <f>'Rate Class Energy Model'!J5</f>
        <v>53874044.790000007</v>
      </c>
      <c r="E23" s="6">
        <f>'Rate Class Energy Model'!J6</f>
        <v>57415240.680000007</v>
      </c>
      <c r="F23" s="6">
        <f>'Rate Class Energy Model'!J7</f>
        <v>62256688.589999996</v>
      </c>
      <c r="G23" s="6">
        <f>'Rate Class Energy Model'!J8</f>
        <v>64506416.140000001</v>
      </c>
      <c r="H23" s="6">
        <f>'Rate Class Energy Model'!J9</f>
        <v>64602977.18999999</v>
      </c>
      <c r="I23" s="6">
        <f>'Rate Class Energy Model'!J10</f>
        <v>59552047.639999993</v>
      </c>
      <c r="J23" s="6">
        <f>'Rate Class Energy Model'!J11</f>
        <v>58268283.810000002</v>
      </c>
      <c r="K23" s="6">
        <f>'Rate Class Energy Model'!J12</f>
        <v>57393489.369999982</v>
      </c>
      <c r="L23" s="6">
        <f>'Rate Class Energy Model'!J31</f>
        <v>57265638.273651764</v>
      </c>
      <c r="M23" s="6">
        <f>'Rate Class Energy Model'!J32</f>
        <v>58962335.545053132</v>
      </c>
      <c r="N23" s="32"/>
    </row>
    <row r="24" spans="1:14">
      <c r="A24" t="s">
        <v>85</v>
      </c>
      <c r="B24" s="6">
        <f>'Rate Class Load Model'!B2</f>
        <v>139350.9</v>
      </c>
      <c r="C24" s="6">
        <f>'Rate Class Load Model'!B3</f>
        <v>133206.71</v>
      </c>
      <c r="D24" s="6">
        <f>'Rate Class Load Model'!B4</f>
        <v>140261.69999999998</v>
      </c>
      <c r="E24" s="6">
        <f>'Rate Class Load Model'!B5</f>
        <v>148794.06000000003</v>
      </c>
      <c r="F24" s="6">
        <f>'Rate Class Load Model'!B6</f>
        <v>160946.79999999999</v>
      </c>
      <c r="G24" s="6">
        <f>'Rate Class Load Model'!B7</f>
        <v>166114.67999999996</v>
      </c>
      <c r="H24" s="6">
        <f>'Rate Class Load Model'!B8</f>
        <v>161952.01999999999</v>
      </c>
      <c r="I24" s="6">
        <f>'Rate Class Load Model'!B9</f>
        <v>151247.03</v>
      </c>
      <c r="J24" s="6">
        <f>'Rate Class Load Model'!B10</f>
        <v>155546.19</v>
      </c>
      <c r="K24" s="6">
        <f>'Rate Class Load Model'!B11</f>
        <v>154917.50999999998</v>
      </c>
      <c r="L24" s="6">
        <f>'Rate Class Load Model'!B12</f>
        <v>150464.78230440686</v>
      </c>
      <c r="M24" s="6">
        <f>'Rate Class Load Model'!B13</f>
        <v>154922.83417065753</v>
      </c>
      <c r="N24" s="32"/>
    </row>
    <row r="25" spans="1:14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2"/>
    </row>
    <row r="26" spans="1:14">
      <c r="A26" s="22" t="str">
        <f>'Rate Class Energy Model'!K2</f>
        <v>Street Lights</v>
      </c>
      <c r="E26" s="1"/>
      <c r="F26" s="1"/>
      <c r="H26" s="1"/>
      <c r="K26" s="6"/>
      <c r="N26" s="32"/>
    </row>
    <row r="27" spans="1:14">
      <c r="A27" t="s">
        <v>86</v>
      </c>
      <c r="B27" s="6">
        <f>'Rate Class Customer Model'!E11</f>
        <v>2843.3333333333335</v>
      </c>
      <c r="C27" s="6">
        <f>'Rate Class Customer Model'!E12</f>
        <v>2923.3333333333335</v>
      </c>
      <c r="D27" s="6">
        <f>'Rate Class Customer Model'!E13</f>
        <v>2897.6666666666665</v>
      </c>
      <c r="E27" s="6">
        <f>'Rate Class Customer Model'!E14</f>
        <v>2863.1666666666665</v>
      </c>
      <c r="F27" s="6">
        <f>'Rate Class Customer Model'!E15</f>
        <v>2973.25</v>
      </c>
      <c r="G27" s="6">
        <f>'Rate Class Customer Model'!E16</f>
        <v>3097.25</v>
      </c>
      <c r="H27" s="6">
        <f>'Rate Class Customer Model'!E17</f>
        <v>3306.75</v>
      </c>
      <c r="I27" s="6">
        <f>'Rate Class Customer Model'!E18</f>
        <v>3414.4166666666665</v>
      </c>
      <c r="J27" s="6">
        <f>'Rate Class Customer Model'!E19</f>
        <v>3596.5833333333335</v>
      </c>
      <c r="K27" s="6">
        <f>'Rate Class Customer Model'!E20</f>
        <v>4014</v>
      </c>
      <c r="L27" s="6">
        <f>'Rate Class Customer Model'!E21</f>
        <v>4286.7530595146491</v>
      </c>
      <c r="M27" s="6">
        <f>'Rate Class Customer Model'!E22</f>
        <v>4460.1153969840689</v>
      </c>
      <c r="N27" s="32"/>
    </row>
    <row r="28" spans="1:14">
      <c r="A28" t="s">
        <v>84</v>
      </c>
      <c r="B28" s="6">
        <f>'Rate Class Energy Model'!K3</f>
        <v>1495303.3799999997</v>
      </c>
      <c r="C28" s="6">
        <f>'Rate Class Energy Model'!K4</f>
        <v>1515447.74</v>
      </c>
      <c r="D28" s="6">
        <f>'Rate Class Energy Model'!K5</f>
        <v>1016454.7599999998</v>
      </c>
      <c r="E28" s="6">
        <f>'Rate Class Energy Model'!K6</f>
        <v>544041.61</v>
      </c>
      <c r="F28" s="6">
        <f>'Rate Class Energy Model'!K7</f>
        <v>574600.18999999983</v>
      </c>
      <c r="G28" s="6">
        <f>'Rate Class Energy Model'!K8</f>
        <v>615045.71</v>
      </c>
      <c r="H28" s="6">
        <f>'Rate Class Energy Model'!K9</f>
        <v>653653.25</v>
      </c>
      <c r="I28" s="6">
        <f>'Rate Class Energy Model'!K10</f>
        <v>686201.6</v>
      </c>
      <c r="J28" s="6">
        <f>'Rate Class Energy Model'!K11</f>
        <v>751137.82</v>
      </c>
      <c r="K28" s="6">
        <f>'Rate Class Energy Model'!K12</f>
        <v>805781.62999999977</v>
      </c>
      <c r="L28" s="6">
        <f>'Rate Class Energy Model'!K31</f>
        <v>860534.84496841056</v>
      </c>
      <c r="M28" s="6">
        <f>'Rate Class Energy Model'!K32</f>
        <v>895336.08733680099</v>
      </c>
      <c r="N28" s="32"/>
    </row>
    <row r="29" spans="1:14">
      <c r="A29" t="s">
        <v>85</v>
      </c>
      <c r="B29" s="6">
        <f>'Rate Class Load Model'!C2</f>
        <v>4529.5899999999992</v>
      </c>
      <c r="C29" s="6">
        <f>'Rate Class Load Model'!C3</f>
        <v>4593.4099999999989</v>
      </c>
      <c r="D29" s="6">
        <f>'Rate Class Load Model'!C4</f>
        <v>2886.3099999999995</v>
      </c>
      <c r="E29" s="6">
        <f>'Rate Class Load Model'!C5</f>
        <v>1645.03</v>
      </c>
      <c r="F29" s="6">
        <f>'Rate Class Load Model'!C6</f>
        <v>1754.9899999999998</v>
      </c>
      <c r="G29" s="6">
        <f>'Rate Class Load Model'!C7</f>
        <v>1867.2599999999998</v>
      </c>
      <c r="H29" s="6">
        <f>'Rate Class Load Model'!C8</f>
        <v>1982.6500000000005</v>
      </c>
      <c r="I29" s="6">
        <f>'Rate Class Load Model'!C9</f>
        <v>2074.3199999999997</v>
      </c>
      <c r="J29" s="6">
        <f>'Rate Class Load Model'!C10</f>
        <v>2279.9099999999989</v>
      </c>
      <c r="K29" s="6">
        <f>'Rate Class Load Model'!C11</f>
        <v>2453.62</v>
      </c>
      <c r="L29" s="6">
        <f>'Rate Class Load Model'!C12</f>
        <v>2569.8883400869522</v>
      </c>
      <c r="M29" s="6">
        <f>'Rate Class Load Model'!C13</f>
        <v>2673.8182477554205</v>
      </c>
      <c r="N29" s="32"/>
    </row>
    <row r="30" spans="1:14">
      <c r="H30" s="6"/>
      <c r="I30" s="6"/>
      <c r="K30" s="6"/>
      <c r="L30" s="6"/>
      <c r="M30" s="6"/>
    </row>
    <row r="31" spans="1:14">
      <c r="A31" s="22" t="str">
        <f>'Rate Class Energy Model'!L2</f>
        <v>Sentinel Lights</v>
      </c>
      <c r="E31" s="1"/>
      <c r="G31" s="1"/>
      <c r="K31" s="15"/>
    </row>
    <row r="32" spans="1:14">
      <c r="A32" t="s">
        <v>86</v>
      </c>
      <c r="B32" s="6">
        <f>'Rate Class Customer Model'!F11</f>
        <v>168</v>
      </c>
      <c r="C32" s="6">
        <f>'Rate Class Customer Model'!F12</f>
        <v>169.41666666666666</v>
      </c>
      <c r="D32" s="6">
        <f>'Rate Class Customer Model'!F13</f>
        <v>165.75</v>
      </c>
      <c r="E32" s="6">
        <f>'Rate Class Customer Model'!F14</f>
        <v>166.08333333333334</v>
      </c>
      <c r="F32" s="6">
        <f>'Rate Class Customer Model'!F15</f>
        <v>161.83333333333334</v>
      </c>
      <c r="G32" s="6">
        <f>'Rate Class Customer Model'!F16</f>
        <v>161.5</v>
      </c>
      <c r="H32" s="6">
        <f>'Rate Class Customer Model'!F17</f>
        <v>159.91666666666666</v>
      </c>
      <c r="I32" s="6">
        <f>'Rate Class Customer Model'!F18</f>
        <v>155.08333333333334</v>
      </c>
      <c r="J32" s="6">
        <f>'Rate Class Customer Model'!F19</f>
        <v>152.75</v>
      </c>
      <c r="K32" s="6">
        <f>'Rate Class Customer Model'!F20</f>
        <v>150.66666666666666</v>
      </c>
      <c r="L32" s="6">
        <f>'Rate Class Customer Model'!F21</f>
        <v>150.7618654442806</v>
      </c>
      <c r="M32" s="6">
        <f>'Rate Class Customer Model'!F22</f>
        <v>149.12906411168251</v>
      </c>
    </row>
    <row r="33" spans="1:13">
      <c r="A33" t="s">
        <v>84</v>
      </c>
      <c r="B33" s="6">
        <f>'Rate Class Energy Model'!L3</f>
        <v>113040</v>
      </c>
      <c r="C33" s="6">
        <f>'Rate Class Energy Model'!L4</f>
        <v>110682</v>
      </c>
      <c r="D33" s="6">
        <f>'Rate Class Energy Model'!L5</f>
        <v>108375.29999999999</v>
      </c>
      <c r="E33" s="6">
        <f>'Rate Class Energy Model'!L6</f>
        <v>103242.3</v>
      </c>
      <c r="F33" s="6">
        <f>'Rate Class Energy Model'!L7</f>
        <v>103849.14000000003</v>
      </c>
      <c r="G33" s="6">
        <f>'Rate Class Energy Model'!L8</f>
        <v>105459.54</v>
      </c>
      <c r="H33" s="6">
        <f>'Rate Class Energy Model'!L9</f>
        <v>103804.5</v>
      </c>
      <c r="I33" s="6">
        <f>'Rate Class Energy Model'!L10</f>
        <v>100969.37999999999</v>
      </c>
      <c r="J33" s="6">
        <f>'Rate Class Energy Model'!L11</f>
        <v>99205.680000000008</v>
      </c>
      <c r="K33" s="6">
        <f>'Rate Class Energy Model'!L12</f>
        <v>97587.239999999947</v>
      </c>
      <c r="L33" s="6">
        <f>'Rate Class Energy Model'!L31</f>
        <v>97648.900526274636</v>
      </c>
      <c r="M33" s="6">
        <f>'Rate Class Energy Model'!L32</f>
        <v>96591.330334792976</v>
      </c>
    </row>
    <row r="34" spans="1:13">
      <c r="A34" t="s">
        <v>85</v>
      </c>
      <c r="B34" s="6">
        <f>'Rate Class Load Model'!D2</f>
        <v>307.45</v>
      </c>
      <c r="C34" s="6">
        <f>'Rate Class Load Model'!D3</f>
        <v>301.04250000000002</v>
      </c>
      <c r="D34" s="6">
        <f>'Rate Class Load Model'!D4</f>
        <v>286.78416666666669</v>
      </c>
      <c r="E34" s="6">
        <f>'Rate Class Load Model'!D5</f>
        <v>294.95850000000002</v>
      </c>
      <c r="F34" s="6">
        <f>'Rate Class Load Model'!D6</f>
        <v>288.48</v>
      </c>
      <c r="G34" s="6">
        <f>'Rate Class Load Model'!D7</f>
        <v>292.92999999999995</v>
      </c>
      <c r="H34" s="6">
        <f>'Rate Class Load Model'!D8</f>
        <v>288.35000000000002</v>
      </c>
      <c r="I34" s="6">
        <f>'Rate Class Load Model'!D9</f>
        <v>280.47000000000003</v>
      </c>
      <c r="J34" s="6">
        <f>'Rate Class Load Model'!D10</f>
        <v>275.57000000000005</v>
      </c>
      <c r="K34" s="6">
        <f>'Rate Class Load Model'!D11</f>
        <v>271.08</v>
      </c>
      <c r="L34" s="6">
        <f>'Rate Class Load Model'!D12</f>
        <v>270.15196180093244</v>
      </c>
      <c r="M34" s="6">
        <f>'Rate Class Load Model'!D13</f>
        <v>267.22612586800165</v>
      </c>
    </row>
    <row r="36" spans="1:13">
      <c r="A36" s="22" t="str">
        <f>'Rate Class Energy Model'!M2</f>
        <v xml:space="preserve">Unmetered Loads </v>
      </c>
      <c r="E36" s="1"/>
      <c r="F36" s="1"/>
      <c r="G36" s="1"/>
      <c r="H36" s="1"/>
    </row>
    <row r="37" spans="1:13">
      <c r="A37" t="s">
        <v>86</v>
      </c>
      <c r="B37" s="6">
        <f>'Rate Class Customer Model'!G11</f>
        <v>77.583333333333329</v>
      </c>
      <c r="C37" s="6">
        <f>'Rate Class Customer Model'!G12</f>
        <v>75.583333333333329</v>
      </c>
      <c r="D37" s="6">
        <f>'Rate Class Customer Model'!G13</f>
        <v>76</v>
      </c>
      <c r="E37" s="6">
        <f>'Rate Class Customer Model'!G14</f>
        <v>75.333333333333329</v>
      </c>
      <c r="F37" s="6">
        <f>'Rate Class Customer Model'!G15</f>
        <v>73.5</v>
      </c>
      <c r="G37" s="6">
        <f>'Rate Class Customer Model'!G16</f>
        <v>74</v>
      </c>
      <c r="H37" s="6">
        <f>'Rate Class Customer Model'!G17</f>
        <v>74.5</v>
      </c>
      <c r="I37" s="6">
        <f>'Rate Class Customer Model'!G18</f>
        <v>73.166666666666671</v>
      </c>
      <c r="J37" s="6">
        <f>'Rate Class Customer Model'!G19</f>
        <v>71</v>
      </c>
      <c r="K37" s="6">
        <f>'Rate Class Customer Model'!G20</f>
        <v>72.416666666666671</v>
      </c>
      <c r="L37" s="6">
        <f>'Rate Class Customer Model'!G21</f>
        <v>76.366311195505986</v>
      </c>
      <c r="M37" s="6">
        <f>'Rate Class Customer Model'!G22</f>
        <v>75.443622648698025</v>
      </c>
    </row>
    <row r="38" spans="1:13">
      <c r="A38" t="s">
        <v>84</v>
      </c>
      <c r="B38" s="6">
        <f>'Rate Class Energy Model'!M3</f>
        <v>474042</v>
      </c>
      <c r="C38" s="6">
        <f>'Rate Class Energy Model'!M4</f>
        <v>465981</v>
      </c>
      <c r="D38" s="6">
        <f>'Rate Class Energy Model'!M5</f>
        <v>463092</v>
      </c>
      <c r="E38" s="6">
        <f>'Rate Class Energy Model'!M6</f>
        <v>461652</v>
      </c>
      <c r="F38" s="6">
        <f>'Rate Class Energy Model'!M7</f>
        <v>460196</v>
      </c>
      <c r="G38" s="6">
        <f>'Rate Class Energy Model'!M8</f>
        <v>482913.99999999994</v>
      </c>
      <c r="H38" s="6">
        <f>'Rate Class Energy Model'!M9</f>
        <v>485587.00000000012</v>
      </c>
      <c r="I38" s="6">
        <f>'Rate Class Energy Model'!M10</f>
        <v>439968</v>
      </c>
      <c r="J38" s="6">
        <f>'Rate Class Energy Model'!M11</f>
        <v>439248</v>
      </c>
      <c r="K38" s="6">
        <f>'Rate Class Energy Model'!M12</f>
        <v>447888</v>
      </c>
      <c r="L38" s="6">
        <f>'Rate Class Energy Model'!M31</f>
        <v>472316.05600091303</v>
      </c>
      <c r="M38" s="6">
        <f>'Rate Class Energy Model'!M32</f>
        <v>466609.34307314234</v>
      </c>
    </row>
    <row r="40" spans="1:13">
      <c r="A40" s="22" t="s">
        <v>18</v>
      </c>
      <c r="E40" s="1"/>
      <c r="G40" s="1"/>
      <c r="K40" s="15"/>
    </row>
    <row r="41" spans="1:13">
      <c r="A41" t="s">
        <v>86</v>
      </c>
      <c r="B41" s="6">
        <v>1</v>
      </c>
      <c r="C41" s="6">
        <v>1</v>
      </c>
      <c r="D41" s="6">
        <v>1</v>
      </c>
      <c r="E41" s="6">
        <v>1</v>
      </c>
      <c r="F41" s="6">
        <v>1</v>
      </c>
      <c r="G41" s="6">
        <v>1</v>
      </c>
      <c r="H41" s="6">
        <v>1</v>
      </c>
      <c r="I41" s="6">
        <v>1</v>
      </c>
      <c r="J41" s="6">
        <v>1</v>
      </c>
      <c r="K41" s="6">
        <v>1</v>
      </c>
      <c r="L41" s="6">
        <v>1</v>
      </c>
      <c r="M41" s="6">
        <v>1</v>
      </c>
    </row>
    <row r="42" spans="1:13">
      <c r="A42" t="s">
        <v>84</v>
      </c>
      <c r="B42" s="6">
        <f>'Rate Class Energy Model'!N3</f>
        <v>992176.5</v>
      </c>
      <c r="C42" s="6">
        <f>'Rate Class Energy Model'!N4</f>
        <v>981163.20000000007</v>
      </c>
      <c r="D42" s="6">
        <f>'Rate Class Energy Model'!N5</f>
        <v>971542.8</v>
      </c>
      <c r="E42" s="6">
        <f>'Rate Class Energy Model'!N6</f>
        <v>948375.6</v>
      </c>
      <c r="F42" s="6">
        <f>'Rate Class Energy Model'!N7</f>
        <v>920352.3</v>
      </c>
      <c r="G42" s="6">
        <f>'Rate Class Energy Model'!N8</f>
        <v>971889.89999999991</v>
      </c>
      <c r="H42" s="6">
        <f>'Rate Class Energy Model'!N9</f>
        <v>922954.19999999984</v>
      </c>
      <c r="I42" s="6">
        <f>'Rate Class Energy Model'!N10</f>
        <v>945311.40000000014</v>
      </c>
      <c r="J42" s="6">
        <f>'Rate Class Energy Model'!N11</f>
        <v>910170.9</v>
      </c>
      <c r="K42" s="6">
        <f>'Rate Class Energy Model'!N12</f>
        <v>935588.9</v>
      </c>
      <c r="L42" s="6">
        <f>'Rate Class Energy Model'!N31</f>
        <v>935588.9</v>
      </c>
      <c r="M42" s="6">
        <f>'Rate Class Energy Model'!N32</f>
        <v>935588.9</v>
      </c>
    </row>
    <row r="43" spans="1:13">
      <c r="A43" t="s">
        <v>85</v>
      </c>
      <c r="B43" s="6">
        <f>'Rate Class Load Model'!E2</f>
        <v>2528.6999999999998</v>
      </c>
      <c r="C43" s="6">
        <f>'Rate Class Load Model'!E3</f>
        <v>2377.5000000000005</v>
      </c>
      <c r="D43" s="6">
        <f>'Rate Class Load Model'!E4</f>
        <v>2453.1</v>
      </c>
      <c r="E43" s="6">
        <f>'Rate Class Load Model'!E5</f>
        <v>2398.2000000000003</v>
      </c>
      <c r="F43" s="6">
        <f>'Rate Class Load Model'!E6</f>
        <v>2283.6</v>
      </c>
      <c r="G43" s="6">
        <f>'Rate Class Load Model'!E7</f>
        <v>2504.1</v>
      </c>
      <c r="H43" s="6">
        <f>'Rate Class Load Model'!E8</f>
        <v>2185.1999999999998</v>
      </c>
      <c r="I43" s="6">
        <f>'Rate Class Load Model'!E9</f>
        <v>2361.6000000000004</v>
      </c>
      <c r="J43" s="6">
        <f>'Rate Class Load Model'!E10</f>
        <v>2359.1999999999998</v>
      </c>
      <c r="K43" s="6">
        <f>'Rate Class Load Model'!E11</f>
        <v>2460</v>
      </c>
      <c r="L43" s="6">
        <f>'Rate Class Load Model'!E12</f>
        <v>2361.3585976193021</v>
      </c>
      <c r="M43" s="6">
        <f>'Rate Class Load Model'!E13</f>
        <v>2361.3585976193021</v>
      </c>
    </row>
    <row r="45" spans="1:13">
      <c r="A45" s="22" t="s">
        <v>19</v>
      </c>
      <c r="C45" s="1"/>
      <c r="E45" s="1"/>
      <c r="H45" s="39"/>
    </row>
    <row r="46" spans="1:13">
      <c r="A46" t="s">
        <v>87</v>
      </c>
      <c r="B46" s="6">
        <f>+B14+B18+B22+B27+B32+B37+B41</f>
        <v>18286.166666666664</v>
      </c>
      <c r="C46" s="6">
        <f t="shared" ref="C46:M46" si="1">+C14+C18+C22+C27+C32+C37+C41</f>
        <v>18735.916666666664</v>
      </c>
      <c r="D46" s="6">
        <f t="shared" si="1"/>
        <v>19073.083333333336</v>
      </c>
      <c r="E46" s="6">
        <f t="shared" si="1"/>
        <v>19398</v>
      </c>
      <c r="F46" s="6">
        <f t="shared" si="1"/>
        <v>19957.25</v>
      </c>
      <c r="G46" s="6">
        <f t="shared" si="1"/>
        <v>20996.416666666668</v>
      </c>
      <c r="H46" s="6">
        <f t="shared" si="1"/>
        <v>22041.666666666664</v>
      </c>
      <c r="I46" s="6">
        <f t="shared" si="1"/>
        <v>22459.5</v>
      </c>
      <c r="J46" s="6">
        <f t="shared" si="1"/>
        <v>23342.666666666664</v>
      </c>
      <c r="K46" s="6">
        <f t="shared" si="1"/>
        <v>24316.166666666672</v>
      </c>
      <c r="L46" s="6">
        <f t="shared" si="1"/>
        <v>25784.239254527965</v>
      </c>
      <c r="M46" s="6">
        <f t="shared" si="1"/>
        <v>26723.079379988259</v>
      </c>
    </row>
    <row r="47" spans="1:13">
      <c r="A47" t="s">
        <v>84</v>
      </c>
      <c r="B47" s="6">
        <f>+B15+B19+B23+B28+B33+B38+B42</f>
        <v>233996583.29999995</v>
      </c>
      <c r="C47" s="6">
        <f t="shared" ref="C47:M47" si="2">+C15+C19+C23+C28+C33+C38+C42</f>
        <v>236082040.25</v>
      </c>
      <c r="D47" s="6">
        <f t="shared" si="2"/>
        <v>239390572.58000004</v>
      </c>
      <c r="E47" s="6">
        <f t="shared" si="2"/>
        <v>243089963.12000003</v>
      </c>
      <c r="F47" s="6">
        <f>+F15+F19+F23+F28+F33+F38+F42</f>
        <v>242272212.85000002</v>
      </c>
      <c r="G47" s="6">
        <f t="shared" si="2"/>
        <v>263499383.88000003</v>
      </c>
      <c r="H47" s="6">
        <f t="shared" si="2"/>
        <v>270098351.89999992</v>
      </c>
      <c r="I47" s="6">
        <f t="shared" si="2"/>
        <v>275892822.46999997</v>
      </c>
      <c r="J47" s="6">
        <f t="shared" si="2"/>
        <v>278373131.94000006</v>
      </c>
      <c r="K47" s="6">
        <f t="shared" si="2"/>
        <v>283532335.65449119</v>
      </c>
      <c r="L47" s="6">
        <f t="shared" si="2"/>
        <v>285085206.34618515</v>
      </c>
      <c r="M47" s="6">
        <f t="shared" si="2"/>
        <v>296685192.72412699</v>
      </c>
    </row>
    <row r="48" spans="1:13">
      <c r="A48" t="s">
        <v>171</v>
      </c>
      <c r="B48" s="6">
        <f>+B24+B29+B34+B43</f>
        <v>146716.64000000001</v>
      </c>
      <c r="C48" s="6">
        <f t="shared" ref="C48:L48" si="3">+C24+C29+C34+C43</f>
        <v>140478.66250000001</v>
      </c>
      <c r="D48" s="6">
        <f t="shared" si="3"/>
        <v>145887.89416666667</v>
      </c>
      <c r="E48" s="6">
        <f t="shared" si="3"/>
        <v>153132.24850000005</v>
      </c>
      <c r="F48" s="6">
        <f t="shared" si="3"/>
        <v>165273.87</v>
      </c>
      <c r="G48" s="6">
        <f t="shared" si="3"/>
        <v>170778.96999999997</v>
      </c>
      <c r="H48" s="6">
        <f t="shared" si="3"/>
        <v>166408.22</v>
      </c>
      <c r="I48" s="6">
        <f t="shared" si="3"/>
        <v>155963.42000000001</v>
      </c>
      <c r="J48" s="6">
        <f t="shared" si="3"/>
        <v>160460.87000000002</v>
      </c>
      <c r="K48" s="6">
        <f t="shared" si="3"/>
        <v>160102.20999999996</v>
      </c>
      <c r="L48" s="6">
        <f t="shared" si="3"/>
        <v>155666.18120391405</v>
      </c>
      <c r="M48" s="6">
        <f>+M24+M29+M34+M43</f>
        <v>160225.23714190026</v>
      </c>
    </row>
    <row r="49" spans="1:16">
      <c r="C49" s="39"/>
      <c r="D49" s="1"/>
      <c r="E49" s="1"/>
      <c r="F49" s="1"/>
    </row>
    <row r="50" spans="1:16">
      <c r="A50" t="s">
        <v>87</v>
      </c>
      <c r="B50" s="6">
        <f>'Rate Class Customer Model'!I11</f>
        <v>18286.166666666664</v>
      </c>
      <c r="C50" s="6">
        <f>'Rate Class Customer Model'!I12</f>
        <v>18735.916666666664</v>
      </c>
      <c r="D50" s="6">
        <f>'Rate Class Customer Model'!I13</f>
        <v>19073.083333333336</v>
      </c>
      <c r="E50" s="6">
        <f>'Rate Class Customer Model'!I14</f>
        <v>19398</v>
      </c>
      <c r="F50" s="6">
        <f>'Rate Class Customer Model'!I15</f>
        <v>19957.25</v>
      </c>
      <c r="G50" s="6">
        <f>'Rate Class Customer Model'!I16</f>
        <v>20996.416666666668</v>
      </c>
      <c r="H50" s="6">
        <f>'Rate Class Customer Model'!I17</f>
        <v>22041.666666666664</v>
      </c>
      <c r="I50" s="6">
        <f>'Rate Class Customer Model'!I18</f>
        <v>22459.5</v>
      </c>
      <c r="J50" s="6">
        <f>'Rate Class Customer Model'!I19</f>
        <v>23342.666666666664</v>
      </c>
      <c r="K50" s="6">
        <f>'Rate Class Customer Model'!I20</f>
        <v>24316.166666666672</v>
      </c>
      <c r="L50" s="6">
        <f>'Rate Class Customer Model'!I21</f>
        <v>25784.239254527965</v>
      </c>
      <c r="M50" s="6">
        <f>'Rate Class Customer Model'!I22</f>
        <v>26723.079379988259</v>
      </c>
    </row>
    <row r="51" spans="1:16">
      <c r="A51" t="s">
        <v>84</v>
      </c>
      <c r="B51" s="6">
        <f>'Rate Class Energy Model'!G3</f>
        <v>233996583.29999995</v>
      </c>
      <c r="C51" s="6">
        <f>'Rate Class Energy Model'!G4</f>
        <v>236082040.25</v>
      </c>
      <c r="D51" s="6">
        <f>'Rate Class Energy Model'!G5</f>
        <v>239390572.58000004</v>
      </c>
      <c r="E51" s="6">
        <f>'Rate Class Energy Model'!G6</f>
        <v>243089963.12000003</v>
      </c>
      <c r="F51" s="6">
        <f>'Rate Class Energy Model'!G7</f>
        <v>242272212.85000002</v>
      </c>
      <c r="G51" s="6">
        <f>'Rate Class Energy Model'!G8</f>
        <v>263499383.88000003</v>
      </c>
      <c r="H51" s="6">
        <f>'Rate Class Energy Model'!G9</f>
        <v>270098351.89999992</v>
      </c>
      <c r="I51" s="6">
        <f>'Rate Class Energy Model'!G10</f>
        <v>275892822.46999997</v>
      </c>
      <c r="J51" s="6">
        <f>'Rate Class Energy Model'!G11</f>
        <v>278373131.94000006</v>
      </c>
      <c r="K51" s="6">
        <f>'Rate Class Energy Model'!G12</f>
        <v>283532335.65449119</v>
      </c>
      <c r="L51" s="6">
        <f>'Rate Class Energy Model'!O31</f>
        <v>285085206.34618515</v>
      </c>
      <c r="M51" s="6">
        <f>'Rate Class Energy Model'!O32</f>
        <v>296685192.72412699</v>
      </c>
      <c r="O51" s="6"/>
      <c r="P51" s="32"/>
    </row>
    <row r="52" spans="1:16">
      <c r="A52" t="s">
        <v>171</v>
      </c>
      <c r="B52" s="6">
        <f>'Rate Class Load Model'!F2</f>
        <v>146716.64000000001</v>
      </c>
      <c r="C52" s="6">
        <f>'Rate Class Load Model'!F3</f>
        <v>140478.66250000001</v>
      </c>
      <c r="D52" s="6">
        <f>'Rate Class Load Model'!F4</f>
        <v>145887.89416666667</v>
      </c>
      <c r="E52" s="6">
        <f>'Rate Class Load Model'!F5</f>
        <v>153132.24850000005</v>
      </c>
      <c r="F52" s="6">
        <f>'Rate Class Load Model'!F6</f>
        <v>165273.87</v>
      </c>
      <c r="G52" s="6">
        <f>'Rate Class Load Model'!F7</f>
        <v>170778.96999999997</v>
      </c>
      <c r="H52" s="6">
        <f>'Rate Class Load Model'!F8</f>
        <v>166408.22</v>
      </c>
      <c r="I52" s="6">
        <f>'Rate Class Load Model'!F9</f>
        <v>155963.42000000001</v>
      </c>
      <c r="J52" s="6">
        <f>'Rate Class Load Model'!F10</f>
        <v>160460.87000000002</v>
      </c>
      <c r="K52" s="6">
        <f>'Rate Class Load Model'!F11</f>
        <v>160102.20999999996</v>
      </c>
      <c r="L52" s="6">
        <f>'Rate Class Load Model'!F12</f>
        <v>155666.18120391405</v>
      </c>
      <c r="M52" s="6">
        <f>'Rate Class Load Model'!F13</f>
        <v>160225.23714190026</v>
      </c>
    </row>
    <row r="54" spans="1:16" hidden="1">
      <c r="A54" t="s">
        <v>87</v>
      </c>
      <c r="H54" s="6">
        <f>'Rate Class Load Model'!F12</f>
        <v>155666.18120391405</v>
      </c>
      <c r="I54" s="6" t="e">
        <f>#REF!</f>
        <v>#REF!</v>
      </c>
      <c r="J54" s="6"/>
      <c r="K54" s="6"/>
      <c r="L54" s="6" t="e">
        <f>#REF!</f>
        <v>#REF!</v>
      </c>
      <c r="M54" s="6" t="e">
        <f>#REF!</f>
        <v>#REF!</v>
      </c>
    </row>
    <row r="55" spans="1:16" hidden="1">
      <c r="A55" t="s">
        <v>84</v>
      </c>
      <c r="H55" s="6">
        <f>'Rate Class Load Model'!F13</f>
        <v>160225.23714190026</v>
      </c>
      <c r="I55" s="6" t="e">
        <f>#REF!</f>
        <v>#REF!</v>
      </c>
      <c r="J55" s="6"/>
      <c r="K55" s="6"/>
      <c r="L55" s="6" t="e">
        <f>#REF!</f>
        <v>#REF!</v>
      </c>
      <c r="M55" s="6" t="e">
        <f>#REF!</f>
        <v>#REF!</v>
      </c>
    </row>
    <row r="56" spans="1:16" hidden="1">
      <c r="A56" t="s">
        <v>171</v>
      </c>
      <c r="H56" s="6">
        <f>'Rate Class Load Model'!F14</f>
        <v>0</v>
      </c>
      <c r="I56" s="6" t="e">
        <f>#REF!</f>
        <v>#REF!</v>
      </c>
      <c r="J56" s="6"/>
      <c r="K56" s="6"/>
      <c r="L56" s="6" t="e">
        <f>#REF!</f>
        <v>#REF!</v>
      </c>
      <c r="M56" s="6" t="e">
        <f>#REF!</f>
        <v>#REF!</v>
      </c>
    </row>
    <row r="57" spans="1:16" hidden="1">
      <c r="H57" s="6">
        <f>'Rate Class Load Model'!F15</f>
        <v>0</v>
      </c>
    </row>
    <row r="58" spans="1:16" hidden="1">
      <c r="A58" t="s">
        <v>87</v>
      </c>
      <c r="H58" s="6">
        <f>'Rate Class Load Model'!F16</f>
        <v>0</v>
      </c>
      <c r="I58" s="6" t="e">
        <f>#REF!-I54</f>
        <v>#REF!</v>
      </c>
      <c r="J58" s="6"/>
      <c r="K58" s="6"/>
      <c r="L58" s="6" t="e">
        <f>#REF!-L54</f>
        <v>#REF!</v>
      </c>
      <c r="M58" s="6" t="e">
        <f>#REF!-M54</f>
        <v>#REF!</v>
      </c>
    </row>
    <row r="59" spans="1:16" hidden="1">
      <c r="A59" t="s">
        <v>84</v>
      </c>
      <c r="H59" s="6">
        <f>'Rate Class Load Model'!F17</f>
        <v>0</v>
      </c>
      <c r="I59" s="6" t="e">
        <f>#REF!-I55</f>
        <v>#REF!</v>
      </c>
      <c r="J59" s="6"/>
      <c r="K59" s="6"/>
      <c r="L59" s="6" t="e">
        <f>#REF!-L55</f>
        <v>#REF!</v>
      </c>
      <c r="M59" s="6" t="e">
        <f>#REF!-M55</f>
        <v>#REF!</v>
      </c>
    </row>
    <row r="60" spans="1:16" hidden="1">
      <c r="A60" t="s">
        <v>171</v>
      </c>
      <c r="H60" s="6">
        <f>'Rate Class Load Model'!F18</f>
        <v>0</v>
      </c>
      <c r="I60" s="6" t="e">
        <f>#REF!-I56</f>
        <v>#REF!</v>
      </c>
      <c r="J60" s="6"/>
      <c r="K60" s="6"/>
      <c r="L60" s="6" t="e">
        <f>#REF!-L56</f>
        <v>#REF!</v>
      </c>
      <c r="M60" s="6" t="e">
        <f>#REF!-M56</f>
        <v>#REF!</v>
      </c>
    </row>
    <row r="61" spans="1:16" hidden="1">
      <c r="H61" s="6">
        <f>'Rate Class Load Model'!F19</f>
        <v>0</v>
      </c>
    </row>
    <row r="62" spans="1:16">
      <c r="A62" s="38" t="s">
        <v>172</v>
      </c>
      <c r="H62" s="6"/>
    </row>
    <row r="63" spans="1:16">
      <c r="A63" t="s">
        <v>87</v>
      </c>
      <c r="B63" s="6">
        <f t="shared" ref="B63:M63" si="4">B46-B50</f>
        <v>0</v>
      </c>
      <c r="C63" s="6">
        <f t="shared" si="4"/>
        <v>0</v>
      </c>
      <c r="D63" s="6">
        <f t="shared" si="4"/>
        <v>0</v>
      </c>
      <c r="E63" s="6">
        <f t="shared" si="4"/>
        <v>0</v>
      </c>
      <c r="F63" s="6">
        <f t="shared" si="4"/>
        <v>0</v>
      </c>
      <c r="G63" s="6">
        <f t="shared" si="4"/>
        <v>0</v>
      </c>
      <c r="H63" s="6">
        <f t="shared" si="4"/>
        <v>0</v>
      </c>
      <c r="I63" s="6">
        <f t="shared" si="4"/>
        <v>0</v>
      </c>
      <c r="J63" s="6">
        <f t="shared" ref="J63:K65" si="5">J46-J50</f>
        <v>0</v>
      </c>
      <c r="K63" s="6">
        <f t="shared" si="5"/>
        <v>0</v>
      </c>
      <c r="L63" s="6">
        <f t="shared" si="4"/>
        <v>0</v>
      </c>
      <c r="M63" s="6">
        <f t="shared" si="4"/>
        <v>0</v>
      </c>
    </row>
    <row r="64" spans="1:16">
      <c r="A64" t="s">
        <v>84</v>
      </c>
      <c r="B64" s="6">
        <f>B47-B51</f>
        <v>0</v>
      </c>
      <c r="C64" s="6">
        <f t="shared" ref="C64:M64" si="6">C47-C51</f>
        <v>0</v>
      </c>
      <c r="D64" s="6">
        <f t="shared" si="6"/>
        <v>0</v>
      </c>
      <c r="E64" s="6">
        <f t="shared" si="6"/>
        <v>0</v>
      </c>
      <c r="F64" s="6">
        <f t="shared" si="6"/>
        <v>0</v>
      </c>
      <c r="G64" s="6">
        <f t="shared" si="6"/>
        <v>0</v>
      </c>
      <c r="H64" s="6">
        <f t="shared" si="6"/>
        <v>0</v>
      </c>
      <c r="I64" s="6">
        <f t="shared" si="6"/>
        <v>0</v>
      </c>
      <c r="J64" s="6">
        <f t="shared" si="5"/>
        <v>0</v>
      </c>
      <c r="K64" s="6">
        <f t="shared" si="5"/>
        <v>0</v>
      </c>
      <c r="L64" s="6">
        <f t="shared" si="6"/>
        <v>0</v>
      </c>
      <c r="M64" s="6">
        <f t="shared" si="6"/>
        <v>0</v>
      </c>
    </row>
    <row r="65" spans="1:13">
      <c r="A65" t="s">
        <v>171</v>
      </c>
      <c r="B65" s="6">
        <f t="shared" ref="B65:M65" si="7">B48-B52</f>
        <v>0</v>
      </c>
      <c r="C65" s="6">
        <f t="shared" si="7"/>
        <v>0</v>
      </c>
      <c r="D65" s="6">
        <f t="shared" si="7"/>
        <v>0</v>
      </c>
      <c r="E65" s="6">
        <f t="shared" si="7"/>
        <v>0</v>
      </c>
      <c r="F65" s="6">
        <f t="shared" si="7"/>
        <v>0</v>
      </c>
      <c r="G65" s="6">
        <f t="shared" si="7"/>
        <v>0</v>
      </c>
      <c r="H65" s="6">
        <f t="shared" si="7"/>
        <v>0</v>
      </c>
      <c r="I65" s="6">
        <f t="shared" si="7"/>
        <v>0</v>
      </c>
      <c r="J65" s="6">
        <f t="shared" si="5"/>
        <v>0</v>
      </c>
      <c r="K65" s="6">
        <f t="shared" si="5"/>
        <v>0</v>
      </c>
      <c r="L65" s="6">
        <f t="shared" si="7"/>
        <v>0</v>
      </c>
      <c r="M65" s="6">
        <f t="shared" si="7"/>
        <v>0</v>
      </c>
    </row>
  </sheetData>
  <phoneticPr fontId="0" type="noConversion"/>
  <pageMargins left="0.38" right="0.75" top="0.73" bottom="0.74" header="0.5" footer="0.5"/>
  <pageSetup scale="74" fitToHeight="2" orientation="landscape" r:id="rId1"/>
  <headerFooter alignWithMargins="0">
    <oddFooter>&amp;L&amp;Z&amp;F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0242-EF32-4FE0-859B-E0C4A9DC8D14}">
  <sheetPr>
    <tabColor rgb="FF00B0F0"/>
    <pageSetUpPr fitToPage="1"/>
  </sheetPr>
  <dimension ref="A1:AA196"/>
  <sheetViews>
    <sheetView zoomScale="78" zoomScaleNormal="78" workbookViewId="0">
      <pane xSplit="1" ySplit="2" topLeftCell="B140" activePane="bottomRight" state="frozen"/>
      <selection pane="bottomRight" activeCell="I152" sqref="I152:I163"/>
      <selection pane="bottomLeft" activeCell="A3" sqref="A3"/>
      <selection pane="topRight" activeCell="C1" sqref="C1"/>
    </sheetView>
  </sheetViews>
  <sheetFormatPr defaultRowHeight="12.75"/>
  <cols>
    <col min="1" max="1" width="11.85546875" style="21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0.28515625" style="48" customWidth="1"/>
    <col min="8" max="8" width="13" style="1" customWidth="1"/>
    <col min="9" max="9" width="15.5703125" style="1" bestFit="1" customWidth="1"/>
    <col min="10" max="10" width="16" style="1" customWidth="1"/>
    <col min="11" max="12" width="8.42578125" style="1" customWidth="1"/>
    <col min="13" max="13" width="4.85546875" style="1" customWidth="1"/>
    <col min="14" max="14" width="44.42578125" customWidth="1"/>
    <col min="15" max="15" width="18.42578125" customWidth="1"/>
    <col min="16" max="22" width="12.5703125" customWidth="1"/>
    <col min="23" max="23" width="42.42578125" bestFit="1" customWidth="1"/>
    <col min="24" max="24" width="15.5703125" bestFit="1" customWidth="1"/>
    <col min="25" max="25" width="26.140625" bestFit="1" customWidth="1"/>
    <col min="26" max="26" width="23" bestFit="1" customWidth="1"/>
    <col min="29" max="29" width="40.5703125" bestFit="1" customWidth="1"/>
    <col min="30" max="30" width="42.85546875" bestFit="1" customWidth="1"/>
  </cols>
  <sheetData>
    <row r="1" spans="1:27">
      <c r="W1" s="92" t="s">
        <v>173</v>
      </c>
      <c r="X1" s="92"/>
      <c r="Y1" s="92"/>
      <c r="Z1" s="92"/>
      <c r="AA1" s="92"/>
    </row>
    <row r="2" spans="1:27" ht="38.25">
      <c r="A2" s="409"/>
      <c r="B2" s="410" t="s">
        <v>174</v>
      </c>
      <c r="C2" s="411" t="s">
        <v>175</v>
      </c>
      <c r="D2" s="411" t="s">
        <v>176</v>
      </c>
      <c r="E2" s="411" t="s">
        <v>177</v>
      </c>
      <c r="F2" s="263" t="s">
        <v>178</v>
      </c>
      <c r="G2" s="263" t="s">
        <v>179</v>
      </c>
      <c r="H2" s="411" t="s">
        <v>149</v>
      </c>
      <c r="I2" s="411" t="s">
        <v>180</v>
      </c>
      <c r="J2" s="412" t="s">
        <v>181</v>
      </c>
      <c r="K2" s="411" t="s">
        <v>182</v>
      </c>
      <c r="L2" s="411" t="s">
        <v>183</v>
      </c>
      <c r="M2"/>
      <c r="N2" t="s">
        <v>184</v>
      </c>
      <c r="W2" s="92" t="s">
        <v>185</v>
      </c>
      <c r="X2" s="92"/>
      <c r="Y2" s="92"/>
      <c r="Z2" s="92"/>
      <c r="AA2" s="92"/>
    </row>
    <row r="3" spans="1:27" ht="13.5" thickBot="1">
      <c r="A3" s="413">
        <v>41305</v>
      </c>
      <c r="B3" s="414">
        <f>Inputs!D24</f>
        <v>24666681.099999998</v>
      </c>
      <c r="C3" s="415">
        <v>624.50000000000011</v>
      </c>
      <c r="D3" s="415">
        <v>0</v>
      </c>
      <c r="E3" s="414">
        <v>31</v>
      </c>
      <c r="F3" s="264">
        <v>0</v>
      </c>
      <c r="G3" s="264">
        <v>0</v>
      </c>
      <c r="H3" s="414">
        <f>Inputs!G24+Inputs!I24+Inputs!L24+Inputs!X24</f>
        <v>15076</v>
      </c>
      <c r="I3" s="414">
        <f>$O$18+$O$19*C3+$O$20*D3+$O$21*E3+$O$22*F3+$O$23*G3+$O$24*H3</f>
        <v>23785649.181172017</v>
      </c>
      <c r="J3" s="28">
        <f t="shared" ref="J3:J34" si="0">I3-B3</f>
        <v>-881031.91882798076</v>
      </c>
      <c r="K3" s="36">
        <f t="shared" ref="K3:K34" si="1">J3/B3</f>
        <v>-3.5717489323198036E-2</v>
      </c>
      <c r="L3" s="416">
        <f>ABS(K3)</f>
        <v>3.5717489323198036E-2</v>
      </c>
      <c r="M3" s="416"/>
      <c r="W3" s="92" t="s">
        <v>186</v>
      </c>
      <c r="X3" s="92"/>
      <c r="Y3" s="92"/>
      <c r="Z3" s="92"/>
      <c r="AA3" s="92"/>
    </row>
    <row r="4" spans="1:27">
      <c r="A4" s="413">
        <v>41333</v>
      </c>
      <c r="B4" s="414">
        <f>Inputs!D25</f>
        <v>22513099.599999998</v>
      </c>
      <c r="C4" s="415">
        <v>631.49999999999989</v>
      </c>
      <c r="D4" s="415">
        <v>0</v>
      </c>
      <c r="E4" s="414">
        <v>28</v>
      </c>
      <c r="F4" s="264">
        <v>0</v>
      </c>
      <c r="G4" s="264">
        <v>0</v>
      </c>
      <c r="H4" s="414">
        <f>Inputs!G25+Inputs!I25+Inputs!L25+Inputs!X25</f>
        <v>15088</v>
      </c>
      <c r="I4" s="414">
        <f t="shared" ref="I4:I67" si="2">$O$18+$O$19*C4+$O$20*D4+$O$21*E4+$O$22*F4+$O$23*G4+$O$24*H4</f>
        <v>21992874.625123776</v>
      </c>
      <c r="J4" s="28">
        <f t="shared" si="0"/>
        <v>-520224.97487622127</v>
      </c>
      <c r="K4" s="36">
        <f t="shared" si="1"/>
        <v>-2.3107656614117289E-2</v>
      </c>
      <c r="L4" s="416">
        <f t="shared" ref="L4:L66" si="3">ABS(K4)</f>
        <v>2.3107656614117289E-2</v>
      </c>
      <c r="M4" s="416"/>
      <c r="N4" s="267" t="s">
        <v>187</v>
      </c>
      <c r="O4" s="267"/>
      <c r="W4" s="92"/>
      <c r="X4" s="92"/>
      <c r="Y4" s="92"/>
      <c r="Z4" s="92"/>
      <c r="AA4" s="92"/>
    </row>
    <row r="5" spans="1:27">
      <c r="A5" s="413">
        <v>41364</v>
      </c>
      <c r="B5" s="414">
        <f>Inputs!D26</f>
        <v>22356782.100000001</v>
      </c>
      <c r="C5" s="415">
        <v>554.79999999999995</v>
      </c>
      <c r="D5" s="415">
        <v>0</v>
      </c>
      <c r="E5" s="414">
        <v>31</v>
      </c>
      <c r="F5" s="264">
        <v>1</v>
      </c>
      <c r="G5" s="264">
        <v>0</v>
      </c>
      <c r="H5" s="414">
        <f>Inputs!G26+Inputs!I26+Inputs!L26+Inputs!X26</f>
        <v>15100</v>
      </c>
      <c r="I5" s="414">
        <f t="shared" si="2"/>
        <v>22203289.327032186</v>
      </c>
      <c r="J5" s="28">
        <f t="shared" si="0"/>
        <v>-153492.7729678154</v>
      </c>
      <c r="K5" s="36">
        <f t="shared" si="1"/>
        <v>-6.8656022267093346E-3</v>
      </c>
      <c r="L5" s="416">
        <f t="shared" si="3"/>
        <v>6.8656022267093346E-3</v>
      </c>
      <c r="M5" s="416"/>
      <c r="N5" t="s">
        <v>188</v>
      </c>
      <c r="O5">
        <v>0.98533842711816955</v>
      </c>
      <c r="W5" s="92" t="s">
        <v>189</v>
      </c>
      <c r="X5" s="92"/>
      <c r="Y5" s="92"/>
      <c r="Z5" s="92"/>
      <c r="AA5" s="92"/>
    </row>
    <row r="6" spans="1:27">
      <c r="A6" s="413">
        <v>41394</v>
      </c>
      <c r="B6" s="414">
        <f>Inputs!D27</f>
        <v>19424576.5</v>
      </c>
      <c r="C6" s="415">
        <v>358.6</v>
      </c>
      <c r="D6" s="415">
        <v>0</v>
      </c>
      <c r="E6" s="414">
        <v>30</v>
      </c>
      <c r="F6" s="264">
        <v>1</v>
      </c>
      <c r="G6" s="264">
        <v>0</v>
      </c>
      <c r="H6" s="414">
        <f>Inputs!G27+Inputs!I27+Inputs!L27+Inputs!X27</f>
        <v>15107</v>
      </c>
      <c r="I6" s="414">
        <f t="shared" si="2"/>
        <v>19096947.772794887</v>
      </c>
      <c r="J6" s="28">
        <f t="shared" si="0"/>
        <v>-327628.72720511258</v>
      </c>
      <c r="K6" s="36">
        <f t="shared" si="1"/>
        <v>-1.6866711467563401E-2</v>
      </c>
      <c r="L6" s="416">
        <f t="shared" si="3"/>
        <v>1.6866711467563401E-2</v>
      </c>
      <c r="M6" s="416"/>
      <c r="N6" t="s">
        <v>29</v>
      </c>
      <c r="O6">
        <v>0.97089181595570839</v>
      </c>
      <c r="W6" s="92" t="s">
        <v>190</v>
      </c>
      <c r="X6" s="92"/>
      <c r="Y6" s="92"/>
      <c r="Z6" s="92"/>
      <c r="AA6" s="92"/>
    </row>
    <row r="7" spans="1:27">
      <c r="A7" s="413">
        <v>41425</v>
      </c>
      <c r="B7" s="414">
        <f>Inputs!D28</f>
        <v>17840112.599999998</v>
      </c>
      <c r="C7" s="415">
        <v>109.10000000000001</v>
      </c>
      <c r="D7" s="415">
        <v>23.1</v>
      </c>
      <c r="E7" s="414">
        <v>31</v>
      </c>
      <c r="F7" s="264">
        <v>1</v>
      </c>
      <c r="G7" s="264">
        <v>0</v>
      </c>
      <c r="H7" s="414">
        <f>Inputs!G28+Inputs!I28+Inputs!L28+Inputs!X28</f>
        <v>15139</v>
      </c>
      <c r="I7" s="414">
        <f t="shared" si="2"/>
        <v>17678682.221044414</v>
      </c>
      <c r="J7" s="28">
        <f t="shared" si="0"/>
        <v>-161430.37895558402</v>
      </c>
      <c r="K7" s="36">
        <f t="shared" si="1"/>
        <v>-9.0487309455425761E-3</v>
      </c>
      <c r="L7" s="416">
        <f t="shared" si="3"/>
        <v>9.0487309455425761E-3</v>
      </c>
      <c r="M7" s="416"/>
      <c r="N7" t="s">
        <v>30</v>
      </c>
      <c r="O7">
        <v>0.96942417642406342</v>
      </c>
      <c r="W7" s="92"/>
      <c r="X7" s="92"/>
      <c r="Y7" s="92"/>
      <c r="Z7" s="92"/>
      <c r="AA7" s="92"/>
    </row>
    <row r="8" spans="1:27">
      <c r="A8" s="413">
        <v>41455</v>
      </c>
      <c r="B8" s="414">
        <f>Inputs!D29</f>
        <v>18666406.800000001</v>
      </c>
      <c r="C8" s="415">
        <v>32.999999999999993</v>
      </c>
      <c r="D8" s="415">
        <v>60</v>
      </c>
      <c r="E8" s="414">
        <v>30</v>
      </c>
      <c r="F8" s="264">
        <v>0</v>
      </c>
      <c r="G8" s="264">
        <v>0</v>
      </c>
      <c r="H8" s="414">
        <f>Inputs!G29+Inputs!I29+Inputs!L29+Inputs!X29</f>
        <v>15172</v>
      </c>
      <c r="I8" s="414">
        <f t="shared" si="2"/>
        <v>18559997.352343597</v>
      </c>
      <c r="J8" s="28">
        <f t="shared" si="0"/>
        <v>-106409.44765640423</v>
      </c>
      <c r="K8" s="36">
        <f t="shared" si="1"/>
        <v>-5.7005854847438676E-3</v>
      </c>
      <c r="L8" s="416">
        <f t="shared" si="3"/>
        <v>5.7005854847438676E-3</v>
      </c>
      <c r="M8" s="416"/>
      <c r="N8" t="s">
        <v>191</v>
      </c>
      <c r="O8">
        <v>522565.06296396116</v>
      </c>
      <c r="W8" s="92"/>
      <c r="X8" s="92"/>
      <c r="Y8" s="92"/>
      <c r="Z8" s="92"/>
      <c r="AA8" s="92"/>
    </row>
    <row r="9" spans="1:27" ht="13.5" thickBot="1">
      <c r="A9" s="413">
        <v>41486</v>
      </c>
      <c r="B9" s="414">
        <f>Inputs!D30</f>
        <v>22033173.100000001</v>
      </c>
      <c r="C9" s="414">
        <v>1.2999999999999998</v>
      </c>
      <c r="D9" s="414">
        <v>131.20000000000002</v>
      </c>
      <c r="E9" s="414">
        <v>31</v>
      </c>
      <c r="F9" s="264">
        <v>0</v>
      </c>
      <c r="G9" s="264">
        <v>0</v>
      </c>
      <c r="H9" s="414">
        <f>Inputs!G30+Inputs!I30+Inputs!L30+Inputs!X30</f>
        <v>15207</v>
      </c>
      <c r="I9" s="414">
        <f t="shared" si="2"/>
        <v>22152020.40240543</v>
      </c>
      <c r="J9" s="28">
        <f t="shared" si="0"/>
        <v>118847.30240542814</v>
      </c>
      <c r="K9" s="36">
        <f t="shared" si="1"/>
        <v>5.3940166432690593E-3</v>
      </c>
      <c r="L9" s="416">
        <f t="shared" si="3"/>
        <v>5.3940166432690593E-3</v>
      </c>
      <c r="M9" s="416"/>
      <c r="N9" s="265" t="s">
        <v>192</v>
      </c>
      <c r="O9" s="265">
        <v>126</v>
      </c>
      <c r="W9" s="92"/>
      <c r="X9" s="92"/>
      <c r="Y9" s="92"/>
      <c r="Z9" s="92"/>
      <c r="AA9" s="92"/>
    </row>
    <row r="10" spans="1:27">
      <c r="A10" s="413">
        <v>41517</v>
      </c>
      <c r="B10" s="414">
        <f>Inputs!D31</f>
        <v>20162331.399999999</v>
      </c>
      <c r="C10" s="414">
        <v>4.4000000000000004</v>
      </c>
      <c r="D10" s="414">
        <v>93.799999999999983</v>
      </c>
      <c r="E10" s="414">
        <v>31</v>
      </c>
      <c r="F10" s="264">
        <v>0</v>
      </c>
      <c r="G10" s="264">
        <v>0</v>
      </c>
      <c r="H10" s="414">
        <f>Inputs!G31+Inputs!I31+Inputs!L31+Inputs!X31</f>
        <v>15244</v>
      </c>
      <c r="I10" s="414">
        <f t="shared" si="2"/>
        <v>20468422.560707461</v>
      </c>
      <c r="J10" s="28">
        <f t="shared" si="0"/>
        <v>306091.16070746258</v>
      </c>
      <c r="K10" s="36">
        <f t="shared" si="1"/>
        <v>1.5181337645678347E-2</v>
      </c>
      <c r="L10" s="416">
        <f t="shared" si="3"/>
        <v>1.5181337645678347E-2</v>
      </c>
      <c r="M10" s="416"/>
      <c r="W10" s="92"/>
      <c r="X10" s="92"/>
      <c r="Y10" s="92"/>
      <c r="Z10" s="92"/>
      <c r="AA10" s="92"/>
    </row>
    <row r="11" spans="1:27" ht="13.5" thickBot="1">
      <c r="A11" s="413">
        <v>41547</v>
      </c>
      <c r="B11" s="414">
        <f>Inputs!D32</f>
        <v>17834215.399999999</v>
      </c>
      <c r="C11" s="414">
        <v>86.35</v>
      </c>
      <c r="D11" s="414">
        <v>28.749999999999996</v>
      </c>
      <c r="E11" s="414">
        <v>30</v>
      </c>
      <c r="F11" s="264">
        <v>1</v>
      </c>
      <c r="G11" s="264">
        <v>0</v>
      </c>
      <c r="H11" s="414">
        <f>Inputs!G32+Inputs!I32+Inputs!L32+Inputs!X32</f>
        <v>15260</v>
      </c>
      <c r="I11" s="414">
        <f t="shared" si="2"/>
        <v>17120524.334779952</v>
      </c>
      <c r="J11" s="28">
        <f t="shared" si="0"/>
        <v>-713691.06522004679</v>
      </c>
      <c r="K11" s="36">
        <f t="shared" si="1"/>
        <v>-4.0018080370389987E-2</v>
      </c>
      <c r="L11" s="416">
        <f t="shared" si="3"/>
        <v>4.0018080370389987E-2</v>
      </c>
      <c r="M11" s="416"/>
      <c r="N11" t="s">
        <v>193</v>
      </c>
    </row>
    <row r="12" spans="1:27">
      <c r="A12" s="413">
        <v>41578</v>
      </c>
      <c r="B12" s="414">
        <f>Inputs!D33</f>
        <v>19036509.300000001</v>
      </c>
      <c r="C12" s="414">
        <v>221.8</v>
      </c>
      <c r="D12" s="414">
        <v>0.4</v>
      </c>
      <c r="E12" s="414">
        <v>31</v>
      </c>
      <c r="F12" s="264">
        <v>1</v>
      </c>
      <c r="G12" s="264">
        <v>0</v>
      </c>
      <c r="H12" s="414">
        <f>Inputs!G33+Inputs!I33+Inputs!L33+Inputs!X33</f>
        <v>15288</v>
      </c>
      <c r="I12" s="414">
        <f t="shared" si="2"/>
        <v>18158025.978619389</v>
      </c>
      <c r="J12" s="28">
        <f t="shared" si="0"/>
        <v>-878483.32138061151</v>
      </c>
      <c r="K12" s="36">
        <f t="shared" si="1"/>
        <v>-4.6147290321792947E-2</v>
      </c>
      <c r="L12" s="416">
        <f t="shared" si="3"/>
        <v>4.6147290321792947E-2</v>
      </c>
      <c r="M12" s="416"/>
      <c r="N12" s="266"/>
      <c r="O12" s="266" t="s">
        <v>194</v>
      </c>
      <c r="P12" s="266" t="s">
        <v>195</v>
      </c>
      <c r="Q12" s="266" t="s">
        <v>196</v>
      </c>
      <c r="R12" s="266" t="s">
        <v>197</v>
      </c>
      <c r="S12" s="266" t="s">
        <v>198</v>
      </c>
    </row>
    <row r="13" spans="1:27">
      <c r="A13" s="413">
        <v>41608</v>
      </c>
      <c r="B13" s="414">
        <f>Inputs!D34</f>
        <v>21552244.500000004</v>
      </c>
      <c r="C13" s="414">
        <v>478.20000000000005</v>
      </c>
      <c r="D13" s="414">
        <v>0</v>
      </c>
      <c r="E13" s="414">
        <v>30</v>
      </c>
      <c r="F13" s="264">
        <v>0</v>
      </c>
      <c r="G13" s="264">
        <v>0</v>
      </c>
      <c r="H13" s="414">
        <f>Inputs!G34+Inputs!I34+Inputs!L34+Inputs!X34</f>
        <v>15334</v>
      </c>
      <c r="I13" s="414">
        <f t="shared" si="2"/>
        <v>21507899.866794195</v>
      </c>
      <c r="J13" s="28">
        <f t="shared" si="0"/>
        <v>-44344.633205808699</v>
      </c>
      <c r="K13" s="36">
        <f t="shared" si="1"/>
        <v>-2.0575413018262987E-3</v>
      </c>
      <c r="L13" s="416">
        <f t="shared" si="3"/>
        <v>2.0575413018262987E-3</v>
      </c>
      <c r="M13" s="416"/>
      <c r="N13" t="s">
        <v>199</v>
      </c>
      <c r="O13">
        <v>6</v>
      </c>
      <c r="P13">
        <v>1083885561536761.6</v>
      </c>
      <c r="Q13">
        <v>180647593589460.28</v>
      </c>
      <c r="R13">
        <v>661.53288666701076</v>
      </c>
      <c r="S13">
        <v>7.1329926807429673E-89</v>
      </c>
    </row>
    <row r="14" spans="1:27">
      <c r="A14" s="413">
        <v>41639</v>
      </c>
      <c r="B14" s="414">
        <f>Inputs!D35</f>
        <v>25671928.999999996</v>
      </c>
      <c r="C14" s="414">
        <v>687.9</v>
      </c>
      <c r="D14" s="414">
        <v>0</v>
      </c>
      <c r="E14" s="414">
        <v>31</v>
      </c>
      <c r="F14" s="264">
        <v>0</v>
      </c>
      <c r="G14" s="264">
        <v>0</v>
      </c>
      <c r="H14" s="414">
        <f>Inputs!G35+Inputs!I35+Inputs!L35+Inputs!X35</f>
        <v>15352</v>
      </c>
      <c r="I14" s="414">
        <f t="shared" si="2"/>
        <v>24804659.047576599</v>
      </c>
      <c r="J14" s="28">
        <f t="shared" si="0"/>
        <v>-867269.95242339745</v>
      </c>
      <c r="K14" s="36">
        <f t="shared" si="1"/>
        <v>-3.378281205216007E-2</v>
      </c>
      <c r="L14" s="416">
        <f t="shared" si="3"/>
        <v>3.378281205216007E-2</v>
      </c>
      <c r="M14" s="416"/>
      <c r="N14" t="s">
        <v>200</v>
      </c>
      <c r="O14">
        <v>119</v>
      </c>
      <c r="P14">
        <v>32495835158632.918</v>
      </c>
      <c r="Q14">
        <v>273074245030.52872</v>
      </c>
    </row>
    <row r="15" spans="1:27" ht="13.5" thickBot="1">
      <c r="A15" s="413">
        <v>41670</v>
      </c>
      <c r="B15" s="414">
        <f>Inputs!D36</f>
        <v>27344318.300000001</v>
      </c>
      <c r="C15" s="414">
        <v>825.90000000000009</v>
      </c>
      <c r="D15" s="414">
        <v>0</v>
      </c>
      <c r="E15" s="414">
        <v>31</v>
      </c>
      <c r="F15" s="264">
        <v>0</v>
      </c>
      <c r="G15" s="264">
        <v>0</v>
      </c>
      <c r="H15" s="414">
        <f>Inputs!G36+Inputs!I36+Inputs!L36+Inputs!X36</f>
        <v>15406</v>
      </c>
      <c r="I15" s="414">
        <f t="shared" si="2"/>
        <v>26592602.497891031</v>
      </c>
      <c r="J15" s="28">
        <f t="shared" si="0"/>
        <v>-751715.80210896954</v>
      </c>
      <c r="K15" s="36">
        <f t="shared" si="1"/>
        <v>-2.7490749407673824E-2</v>
      </c>
      <c r="L15" s="416">
        <f t="shared" si="3"/>
        <v>2.7490749407673824E-2</v>
      </c>
      <c r="M15" s="416"/>
      <c r="N15" s="265" t="s">
        <v>19</v>
      </c>
      <c r="O15" s="265">
        <v>125</v>
      </c>
      <c r="P15" s="265">
        <v>1116381396695394.5</v>
      </c>
      <c r="Q15" s="265"/>
      <c r="R15" s="265"/>
      <c r="S15" s="265"/>
    </row>
    <row r="16" spans="1:27" ht="13.5" thickBot="1">
      <c r="A16" s="413">
        <v>41698</v>
      </c>
      <c r="B16" s="414">
        <f>Inputs!D37</f>
        <v>23698938.399999999</v>
      </c>
      <c r="C16" s="414">
        <v>737.09999999999991</v>
      </c>
      <c r="D16" s="414">
        <v>0</v>
      </c>
      <c r="E16" s="414">
        <v>28</v>
      </c>
      <c r="F16" s="264">
        <v>0</v>
      </c>
      <c r="G16" s="264">
        <v>0</v>
      </c>
      <c r="H16" s="414">
        <f>Inputs!G37+Inputs!I37+Inputs!L37+Inputs!X37</f>
        <v>15425</v>
      </c>
      <c r="I16" s="414">
        <f t="shared" si="2"/>
        <v>23593626.792753458</v>
      </c>
      <c r="J16" s="28">
        <f t="shared" si="0"/>
        <v>-105311.60724654049</v>
      </c>
      <c r="K16" s="36">
        <f t="shared" si="1"/>
        <v>-4.4437267808814804E-3</v>
      </c>
      <c r="L16" s="416">
        <f t="shared" si="3"/>
        <v>4.4437267808814804E-3</v>
      </c>
      <c r="M16" s="416"/>
    </row>
    <row r="17" spans="1:22">
      <c r="A17" s="413">
        <v>41729</v>
      </c>
      <c r="B17" s="414">
        <f>Inputs!D38</f>
        <v>24427814.699999999</v>
      </c>
      <c r="C17" s="414">
        <v>690.6</v>
      </c>
      <c r="D17" s="414">
        <v>0</v>
      </c>
      <c r="E17" s="414">
        <v>31</v>
      </c>
      <c r="F17" s="264">
        <v>1</v>
      </c>
      <c r="G17" s="264">
        <v>0</v>
      </c>
      <c r="H17" s="414">
        <f>Inputs!G38+Inputs!I38+Inputs!L38+Inputs!X38</f>
        <v>15444</v>
      </c>
      <c r="I17" s="414">
        <f t="shared" si="2"/>
        <v>24191526.61439928</v>
      </c>
      <c r="J17" s="28">
        <f t="shared" si="0"/>
        <v>-236288.08560071886</v>
      </c>
      <c r="K17" s="36">
        <f t="shared" si="1"/>
        <v>-9.6729113308984972E-3</v>
      </c>
      <c r="L17" s="416">
        <f t="shared" si="3"/>
        <v>9.6729113308984972E-3</v>
      </c>
      <c r="M17" s="416"/>
      <c r="N17" s="266"/>
      <c r="O17" s="266" t="s">
        <v>201</v>
      </c>
      <c r="P17" s="266" t="s">
        <v>191</v>
      </c>
      <c r="Q17" s="266" t="s">
        <v>202</v>
      </c>
      <c r="R17" s="266" t="s">
        <v>203</v>
      </c>
      <c r="S17" s="266" t="s">
        <v>204</v>
      </c>
      <c r="T17" s="266" t="s">
        <v>205</v>
      </c>
      <c r="U17" s="266" t="s">
        <v>206</v>
      </c>
      <c r="V17" s="266" t="s">
        <v>207</v>
      </c>
    </row>
    <row r="18" spans="1:22">
      <c r="A18" s="413">
        <v>41759</v>
      </c>
      <c r="B18" s="414">
        <f>Inputs!D39</f>
        <v>19352180.899999999</v>
      </c>
      <c r="C18" s="414">
        <v>356.90000000000003</v>
      </c>
      <c r="D18" s="414">
        <v>0</v>
      </c>
      <c r="E18" s="414">
        <v>30</v>
      </c>
      <c r="F18" s="264">
        <v>1</v>
      </c>
      <c r="G18" s="264">
        <v>0</v>
      </c>
      <c r="H18" s="414">
        <f>Inputs!G39+Inputs!I39+Inputs!L39+Inputs!X39</f>
        <v>15478</v>
      </c>
      <c r="I18" s="414">
        <f t="shared" si="2"/>
        <v>19367282.066964246</v>
      </c>
      <c r="J18" s="28">
        <f t="shared" si="0"/>
        <v>15101.166964247823</v>
      </c>
      <c r="K18" s="36">
        <f t="shared" si="1"/>
        <v>7.8033411543025752E-4</v>
      </c>
      <c r="L18" s="416">
        <f t="shared" si="3"/>
        <v>7.8033411543025752E-4</v>
      </c>
      <c r="M18" s="416"/>
      <c r="N18" t="s">
        <v>208</v>
      </c>
      <c r="O18">
        <v>-15510087.539512426</v>
      </c>
      <c r="P18">
        <v>1854317.709985255</v>
      </c>
      <c r="Q18">
        <v>-8.3643096627900704</v>
      </c>
      <c r="R18">
        <v>1.3301804990151445E-13</v>
      </c>
      <c r="S18">
        <v>-19181821.80796615</v>
      </c>
      <c r="T18">
        <v>-11838353.271058701</v>
      </c>
      <c r="U18">
        <v>-19181821.80796615</v>
      </c>
      <c r="V18">
        <v>-11838353.271058701</v>
      </c>
    </row>
    <row r="19" spans="1:22">
      <c r="A19" s="413">
        <v>41790</v>
      </c>
      <c r="B19" s="414">
        <f>Inputs!D40</f>
        <v>17549445.199999999</v>
      </c>
      <c r="C19" s="414">
        <v>132.10000000000005</v>
      </c>
      <c r="D19" s="414">
        <v>11.9</v>
      </c>
      <c r="E19" s="414">
        <v>31</v>
      </c>
      <c r="F19" s="264">
        <v>1</v>
      </c>
      <c r="G19" s="264">
        <v>0</v>
      </c>
      <c r="H19" s="414">
        <f>Inputs!G40+Inputs!I40+Inputs!L40+Inputs!X40</f>
        <v>15497</v>
      </c>
      <c r="I19" s="414">
        <f t="shared" si="2"/>
        <v>17726566.626420077</v>
      </c>
      <c r="J19" s="28">
        <f t="shared" si="0"/>
        <v>177121.42642007768</v>
      </c>
      <c r="K19" s="36">
        <f t="shared" si="1"/>
        <v>1.0092708025896893E-2</v>
      </c>
      <c r="L19" s="416">
        <f t="shared" si="3"/>
        <v>1.0092708025896893E-2</v>
      </c>
      <c r="M19" s="416"/>
      <c r="N19" t="s">
        <v>175</v>
      </c>
      <c r="O19">
        <v>12648.303720847203</v>
      </c>
      <c r="P19">
        <v>303.90887229595808</v>
      </c>
      <c r="Q19">
        <v>41.618737963430704</v>
      </c>
      <c r="R19">
        <v>9.122890274202579E-73</v>
      </c>
      <c r="S19">
        <v>12046.533800359808</v>
      </c>
      <c r="T19">
        <v>13250.073641334599</v>
      </c>
      <c r="U19">
        <v>12046.533800359808</v>
      </c>
      <c r="V19">
        <v>13250.073641334599</v>
      </c>
    </row>
    <row r="20" spans="1:22">
      <c r="A20" s="413">
        <v>41820</v>
      </c>
      <c r="B20" s="414">
        <f>Inputs!D41</f>
        <v>18258424.300000001</v>
      </c>
      <c r="C20" s="414">
        <v>14.1</v>
      </c>
      <c r="D20" s="414">
        <v>68.099999999999994</v>
      </c>
      <c r="E20" s="414">
        <v>30</v>
      </c>
      <c r="F20" s="264">
        <v>0</v>
      </c>
      <c r="G20" s="264">
        <v>0</v>
      </c>
      <c r="H20" s="414">
        <f>Inputs!G41+Inputs!I41+Inputs!L41+Inputs!X41</f>
        <v>15515</v>
      </c>
      <c r="I20" s="414">
        <f t="shared" si="2"/>
        <v>18970180.346241802</v>
      </c>
      <c r="J20" s="28">
        <f t="shared" si="0"/>
        <v>711756.04624180123</v>
      </c>
      <c r="K20" s="36">
        <f t="shared" si="1"/>
        <v>3.8982336840633132E-2</v>
      </c>
      <c r="L20" s="416">
        <f t="shared" si="3"/>
        <v>3.8982336840633132E-2</v>
      </c>
      <c r="M20" s="416"/>
      <c r="N20" t="s">
        <v>176</v>
      </c>
      <c r="O20">
        <v>46842.581876385528</v>
      </c>
      <c r="P20">
        <v>1617.340024854725</v>
      </c>
      <c r="Q20">
        <v>28.962729640350727</v>
      </c>
      <c r="R20">
        <v>9.9924919337198426E-56</v>
      </c>
      <c r="S20">
        <v>43640.087092981819</v>
      </c>
      <c r="T20">
        <v>50045.076659789236</v>
      </c>
      <c r="U20">
        <v>43640.087092981819</v>
      </c>
      <c r="V20">
        <v>50045.076659789236</v>
      </c>
    </row>
    <row r="21" spans="1:22">
      <c r="A21" s="413">
        <v>41851</v>
      </c>
      <c r="B21" s="414">
        <f>Inputs!D42</f>
        <v>19452973.100000001</v>
      </c>
      <c r="C21" s="414">
        <v>4</v>
      </c>
      <c r="D21" s="414">
        <v>71</v>
      </c>
      <c r="E21" s="414">
        <v>31</v>
      </c>
      <c r="F21" s="264">
        <v>0</v>
      </c>
      <c r="G21" s="264">
        <v>0</v>
      </c>
      <c r="H21" s="414">
        <f>Inputs!G42+Inputs!I42+Inputs!L42+Inputs!X42</f>
        <v>15587</v>
      </c>
      <c r="I21" s="414">
        <f t="shared" si="2"/>
        <v>19665163.393461034</v>
      </c>
      <c r="J21" s="28">
        <f t="shared" si="0"/>
        <v>212190.29346103221</v>
      </c>
      <c r="K21" s="36">
        <f t="shared" si="1"/>
        <v>1.090785929586425E-2</v>
      </c>
      <c r="L21" s="416">
        <f t="shared" si="3"/>
        <v>1.090785929586425E-2</v>
      </c>
      <c r="M21" s="416"/>
      <c r="N21" t="s">
        <v>177</v>
      </c>
      <c r="O21">
        <v>630250.71157491021</v>
      </c>
      <c r="P21">
        <v>59167.990629492917</v>
      </c>
      <c r="Q21">
        <v>10.651886347155331</v>
      </c>
      <c r="R21">
        <v>5.1563559495940608E-19</v>
      </c>
      <c r="S21">
        <v>513092.18063924578</v>
      </c>
      <c r="T21">
        <v>747409.24251057464</v>
      </c>
      <c r="U21">
        <v>513092.18063924578</v>
      </c>
      <c r="V21">
        <v>747409.24251057464</v>
      </c>
    </row>
    <row r="22" spans="1:22">
      <c r="A22" s="413">
        <v>41882</v>
      </c>
      <c r="B22" s="414">
        <f>Inputs!D43</f>
        <v>19828414.199999999</v>
      </c>
      <c r="C22" s="414">
        <v>8.7999999999999989</v>
      </c>
      <c r="D22" s="414">
        <v>81.799999999999983</v>
      </c>
      <c r="E22" s="414">
        <v>31</v>
      </c>
      <c r="F22" s="264">
        <v>0</v>
      </c>
      <c r="G22" s="264">
        <v>0</v>
      </c>
      <c r="H22" s="414">
        <f>Inputs!G43+Inputs!I43+Inputs!L43+Inputs!X43</f>
        <v>15628</v>
      </c>
      <c r="I22" s="414">
        <f t="shared" si="2"/>
        <v>20264026.598740473</v>
      </c>
      <c r="J22" s="28">
        <f t="shared" si="0"/>
        <v>435612.39874047413</v>
      </c>
      <c r="K22" s="36">
        <f t="shared" si="1"/>
        <v>2.1969099210186669E-2</v>
      </c>
      <c r="L22" s="416">
        <f t="shared" si="3"/>
        <v>2.1969099210186669E-2</v>
      </c>
      <c r="M22" s="416"/>
      <c r="N22" t="s">
        <v>178</v>
      </c>
      <c r="O22">
        <v>-719651.99005789624</v>
      </c>
      <c r="P22">
        <v>121885.1317127955</v>
      </c>
      <c r="Q22">
        <v>-5.9043460013945834</v>
      </c>
      <c r="R22">
        <v>3.4276080238196049E-8</v>
      </c>
      <c r="S22">
        <v>-960996.72430434078</v>
      </c>
      <c r="T22">
        <v>-478307.2558114517</v>
      </c>
      <c r="U22">
        <v>-960996.72430434078</v>
      </c>
      <c r="V22">
        <v>-478307.2558114517</v>
      </c>
    </row>
    <row r="23" spans="1:22">
      <c r="A23" s="413">
        <v>41912</v>
      </c>
      <c r="B23" s="414">
        <f>Inputs!D44</f>
        <v>17976813.599999998</v>
      </c>
      <c r="C23" s="414">
        <v>69.700000000000017</v>
      </c>
      <c r="D23" s="414">
        <v>30.099999999999998</v>
      </c>
      <c r="E23" s="414">
        <v>30</v>
      </c>
      <c r="F23" s="264">
        <v>1</v>
      </c>
      <c r="G23" s="264">
        <v>0</v>
      </c>
      <c r="H23" s="414">
        <f>Inputs!G44+Inputs!I44+Inputs!L44+Inputs!X44</f>
        <v>15648</v>
      </c>
      <c r="I23" s="414">
        <f t="shared" si="2"/>
        <v>17278376.531749066</v>
      </c>
      <c r="J23" s="28">
        <f t="shared" si="0"/>
        <v>-698437.0682509318</v>
      </c>
      <c r="K23" s="36">
        <f t="shared" si="1"/>
        <v>-3.885210604013449E-2</v>
      </c>
      <c r="L23" s="416">
        <f t="shared" si="3"/>
        <v>3.885210604013449E-2</v>
      </c>
      <c r="M23" s="416"/>
      <c r="N23" t="s">
        <v>179</v>
      </c>
      <c r="O23">
        <v>585161.31888088316</v>
      </c>
      <c r="P23">
        <v>132932.69196764237</v>
      </c>
      <c r="Q23">
        <v>4.4019368766211358</v>
      </c>
      <c r="R23">
        <v>2.3554509941241006E-5</v>
      </c>
      <c r="S23">
        <v>321941.31193866569</v>
      </c>
      <c r="T23">
        <v>848381.32582310063</v>
      </c>
      <c r="U23">
        <v>321941.31193866569</v>
      </c>
      <c r="V23">
        <v>848381.32582310063</v>
      </c>
    </row>
    <row r="24" spans="1:22" ht="13.5" thickBot="1">
      <c r="A24" s="413">
        <v>41943</v>
      </c>
      <c r="B24" s="414">
        <f>Inputs!D45</f>
        <v>19058731</v>
      </c>
      <c r="C24" s="414">
        <v>224.30000000000004</v>
      </c>
      <c r="D24" s="414">
        <v>1.3</v>
      </c>
      <c r="E24" s="414">
        <v>31</v>
      </c>
      <c r="F24" s="264">
        <v>1</v>
      </c>
      <c r="G24" s="264">
        <v>0</v>
      </c>
      <c r="H24" s="414">
        <f>Inputs!G45+Inputs!I45+Inputs!L45+Inputs!X45</f>
        <v>15688</v>
      </c>
      <c r="I24" s="414">
        <f t="shared" si="2"/>
        <v>18546453.482628915</v>
      </c>
      <c r="J24" s="28">
        <f t="shared" si="0"/>
        <v>-512277.51737108454</v>
      </c>
      <c r="K24" s="36">
        <f t="shared" si="1"/>
        <v>-2.6878889122842677E-2</v>
      </c>
      <c r="L24" s="416">
        <f t="shared" si="3"/>
        <v>2.6878889122842677E-2</v>
      </c>
      <c r="M24" s="416"/>
      <c r="N24" s="265" t="s">
        <v>149</v>
      </c>
      <c r="O24" s="265">
        <v>786.62105254664016</v>
      </c>
      <c r="P24" s="265">
        <v>29.672705203389295</v>
      </c>
      <c r="Q24" s="265">
        <v>26.509920384906131</v>
      </c>
      <c r="R24" s="265">
        <v>9.2009850187954678E-52</v>
      </c>
      <c r="S24" s="265">
        <v>727.86613263926574</v>
      </c>
      <c r="T24" s="265">
        <v>845.37597245401457</v>
      </c>
      <c r="U24" s="265">
        <v>727.86613263926574</v>
      </c>
      <c r="V24" s="265">
        <v>845.37597245401457</v>
      </c>
    </row>
    <row r="25" spans="1:22">
      <c r="A25" s="413">
        <v>41973</v>
      </c>
      <c r="B25" s="414">
        <f>Inputs!D46</f>
        <v>22053998.800000001</v>
      </c>
      <c r="C25" s="414">
        <v>482.1</v>
      </c>
      <c r="D25" s="414">
        <v>0</v>
      </c>
      <c r="E25" s="414">
        <v>30</v>
      </c>
      <c r="F25" s="264">
        <v>0</v>
      </c>
      <c r="G25" s="264">
        <v>0</v>
      </c>
      <c r="H25" s="414">
        <f>Inputs!G46+Inputs!I46+Inputs!L46+Inputs!X46</f>
        <v>15720</v>
      </c>
      <c r="I25" s="414">
        <f t="shared" si="2"/>
        <v>21860863.977588501</v>
      </c>
      <c r="J25" s="28">
        <f t="shared" si="0"/>
        <v>-193134.82241149992</v>
      </c>
      <c r="K25" s="36">
        <f t="shared" si="1"/>
        <v>-8.757360701928573E-3</v>
      </c>
      <c r="L25" s="416">
        <f t="shared" si="3"/>
        <v>8.757360701928573E-3</v>
      </c>
      <c r="M25" s="416"/>
    </row>
    <row r="26" spans="1:22">
      <c r="A26" s="413">
        <v>42004</v>
      </c>
      <c r="B26" s="414">
        <f>Inputs!D47</f>
        <v>24252933.800000001</v>
      </c>
      <c r="C26" s="414">
        <v>557.29999999999995</v>
      </c>
      <c r="D26" s="414">
        <v>0</v>
      </c>
      <c r="E26" s="414">
        <v>31</v>
      </c>
      <c r="F26" s="264">
        <v>0</v>
      </c>
      <c r="G26" s="264">
        <v>0</v>
      </c>
      <c r="H26" s="414">
        <f>Inputs!G47+Inputs!I47+Inputs!L47+Inputs!X47</f>
        <v>15775</v>
      </c>
      <c r="I26" s="414">
        <f t="shared" si="2"/>
        <v>23485531.286861181</v>
      </c>
      <c r="J26" s="28">
        <f t="shared" si="0"/>
        <v>-767402.51313881949</v>
      </c>
      <c r="K26" s="36">
        <f t="shared" si="1"/>
        <v>-3.164163640849172E-2</v>
      </c>
      <c r="L26" s="416">
        <f t="shared" si="3"/>
        <v>3.164163640849172E-2</v>
      </c>
      <c r="M26" s="416"/>
    </row>
    <row r="27" spans="1:22">
      <c r="A27" s="413">
        <v>42035</v>
      </c>
      <c r="B27" s="414">
        <f>Inputs!D48</f>
        <v>26957597.760000002</v>
      </c>
      <c r="C27" s="414">
        <v>792.39999999999975</v>
      </c>
      <c r="D27" s="414">
        <v>0</v>
      </c>
      <c r="E27" s="414">
        <v>31</v>
      </c>
      <c r="F27" s="264">
        <v>0</v>
      </c>
      <c r="G27" s="264">
        <v>0</v>
      </c>
      <c r="H27" s="414">
        <f>Inputs!G48+Inputs!I48+Inputs!L48+Inputs!X48</f>
        <v>15793</v>
      </c>
      <c r="I27" s="414">
        <f t="shared" si="2"/>
        <v>26473306.670578197</v>
      </c>
      <c r="J27" s="28">
        <f t="shared" si="0"/>
        <v>-484291.08942180499</v>
      </c>
      <c r="K27" s="36">
        <f t="shared" si="1"/>
        <v>-1.7964920084251785E-2</v>
      </c>
      <c r="L27" s="416">
        <f t="shared" si="3"/>
        <v>1.7964920084251785E-2</v>
      </c>
    </row>
    <row r="28" spans="1:22">
      <c r="A28" s="413">
        <v>42063</v>
      </c>
      <c r="B28" s="414">
        <f>Inputs!D49</f>
        <v>25654360.289999999</v>
      </c>
      <c r="C28" s="414">
        <v>856.8</v>
      </c>
      <c r="D28" s="414">
        <v>0</v>
      </c>
      <c r="E28" s="414">
        <v>28</v>
      </c>
      <c r="F28" s="264">
        <v>0</v>
      </c>
      <c r="G28" s="264">
        <v>0</v>
      </c>
      <c r="H28" s="414">
        <f>Inputs!G49+Inputs!I49+Inputs!L49+Inputs!X49</f>
        <v>15802</v>
      </c>
      <c r="I28" s="414">
        <f t="shared" si="2"/>
        <v>25404184.88494895</v>
      </c>
      <c r="J28" s="28">
        <f t="shared" si="0"/>
        <v>-250175.40505104885</v>
      </c>
      <c r="K28" s="36">
        <f t="shared" si="1"/>
        <v>-9.751769376551811E-3</v>
      </c>
      <c r="L28" s="416">
        <f t="shared" si="3"/>
        <v>9.751769376551811E-3</v>
      </c>
    </row>
    <row r="29" spans="1:22">
      <c r="A29" s="413">
        <v>42094</v>
      </c>
      <c r="B29" s="414">
        <f>Inputs!D50</f>
        <v>23473380.280000001</v>
      </c>
      <c r="C29" s="414">
        <v>615.49999999999989</v>
      </c>
      <c r="D29" s="414">
        <v>0</v>
      </c>
      <c r="E29" s="414">
        <v>31</v>
      </c>
      <c r="F29" s="264">
        <v>1</v>
      </c>
      <c r="G29" s="264">
        <v>0</v>
      </c>
      <c r="H29" s="414">
        <f>Inputs!G50+Inputs!I50+Inputs!L50+Inputs!X50</f>
        <v>15826</v>
      </c>
      <c r="I29" s="414">
        <f t="shared" si="2"/>
        <v>23542128.247036472</v>
      </c>
      <c r="J29" s="28">
        <f t="shared" si="0"/>
        <v>68747.967036470771</v>
      </c>
      <c r="K29" s="36">
        <f t="shared" si="1"/>
        <v>2.9287629739056385E-3</v>
      </c>
      <c r="L29" s="416">
        <f t="shared" si="3"/>
        <v>2.9287629739056385E-3</v>
      </c>
    </row>
    <row r="30" spans="1:22">
      <c r="A30" s="413">
        <v>42124</v>
      </c>
      <c r="B30" s="414">
        <f>Inputs!D51</f>
        <v>18844476.52</v>
      </c>
      <c r="C30" s="414">
        <v>313.7</v>
      </c>
      <c r="D30" s="414">
        <v>0</v>
      </c>
      <c r="E30" s="414">
        <v>30</v>
      </c>
      <c r="F30" s="264">
        <v>1</v>
      </c>
      <c r="G30" s="264">
        <v>0</v>
      </c>
      <c r="H30" s="414">
        <f>Inputs!G51+Inputs!I51+Inputs!L51+Inputs!X51</f>
        <v>15843</v>
      </c>
      <c r="I30" s="414">
        <f t="shared" si="2"/>
        <v>19107992.030403171</v>
      </c>
      <c r="J30" s="28">
        <f t="shared" si="0"/>
        <v>263515.51040317118</v>
      </c>
      <c r="K30" s="36">
        <f t="shared" si="1"/>
        <v>1.3983700217063456E-2</v>
      </c>
      <c r="L30" s="416">
        <f t="shared" si="3"/>
        <v>1.3983700217063456E-2</v>
      </c>
    </row>
    <row r="31" spans="1:22">
      <c r="A31" s="413">
        <v>42155</v>
      </c>
      <c r="B31" s="414">
        <f>Inputs!D52</f>
        <v>18113892.379999999</v>
      </c>
      <c r="C31" s="414">
        <v>89.3</v>
      </c>
      <c r="D31" s="414">
        <v>34.1</v>
      </c>
      <c r="E31" s="414">
        <v>31</v>
      </c>
      <c r="F31" s="264">
        <v>1</v>
      </c>
      <c r="G31" s="264">
        <v>0</v>
      </c>
      <c r="H31" s="414">
        <f>Inputs!G52+Inputs!I52+Inputs!L52+Inputs!X52</f>
        <v>15856</v>
      </c>
      <c r="I31" s="414">
        <f t="shared" si="2"/>
        <v>18507521.502687819</v>
      </c>
      <c r="J31" s="28">
        <f t="shared" si="0"/>
        <v>393629.12268782035</v>
      </c>
      <c r="K31" s="36">
        <f t="shared" si="1"/>
        <v>2.1730786207079165E-2</v>
      </c>
      <c r="L31" s="416">
        <f t="shared" si="3"/>
        <v>2.1730786207079165E-2</v>
      </c>
    </row>
    <row r="32" spans="1:22">
      <c r="A32" s="413">
        <v>42185</v>
      </c>
      <c r="B32" s="414">
        <f>Inputs!D53</f>
        <v>18210408.52</v>
      </c>
      <c r="C32" s="414">
        <v>33.800000000000004</v>
      </c>
      <c r="D32" s="414">
        <v>32.299999999999997</v>
      </c>
      <c r="E32" s="414">
        <v>30</v>
      </c>
      <c r="F32" s="264">
        <v>0</v>
      </c>
      <c r="G32" s="264">
        <v>0</v>
      </c>
      <c r="H32" s="414">
        <f>Inputs!G53+Inputs!I53+Inputs!L53+Inputs!X53</f>
        <v>15883</v>
      </c>
      <c r="I32" s="414">
        <f t="shared" si="2"/>
        <v>17831864.045705054</v>
      </c>
      <c r="J32" s="28">
        <f t="shared" si="0"/>
        <v>-378544.4742949456</v>
      </c>
      <c r="K32" s="36">
        <f t="shared" si="1"/>
        <v>-2.0787258774519004E-2</v>
      </c>
      <c r="L32" s="416">
        <f t="shared" si="3"/>
        <v>2.0787258774519004E-2</v>
      </c>
    </row>
    <row r="33" spans="1:15">
      <c r="A33" s="413">
        <v>42216</v>
      </c>
      <c r="B33" s="414">
        <f>Inputs!D54</f>
        <v>21783993.609999999</v>
      </c>
      <c r="C33" s="414">
        <v>4</v>
      </c>
      <c r="D33" s="414">
        <v>114.29999999999998</v>
      </c>
      <c r="E33" s="414">
        <v>31</v>
      </c>
      <c r="F33" s="264">
        <v>0</v>
      </c>
      <c r="G33" s="264">
        <v>0</v>
      </c>
      <c r="H33" s="414">
        <f>Inputs!G54+Inputs!I54+Inputs!L54+Inputs!X54</f>
        <v>15881</v>
      </c>
      <c r="I33" s="414">
        <f t="shared" si="2"/>
        <v>21924713.778157234</v>
      </c>
      <c r="J33" s="28">
        <f t="shared" si="0"/>
        <v>140720.16815723479</v>
      </c>
      <c r="K33" s="36">
        <f t="shared" si="1"/>
        <v>6.4597966138145039E-3</v>
      </c>
      <c r="L33" s="416">
        <f t="shared" si="3"/>
        <v>6.4597966138145039E-3</v>
      </c>
      <c r="M33"/>
      <c r="O33" s="40"/>
    </row>
    <row r="34" spans="1:15">
      <c r="A34" s="413">
        <v>42247</v>
      </c>
      <c r="B34" s="414">
        <f>Inputs!D55</f>
        <v>20815474.270000003</v>
      </c>
      <c r="C34" s="414">
        <v>4.4000000000000004</v>
      </c>
      <c r="D34" s="414">
        <v>88.6</v>
      </c>
      <c r="E34" s="414">
        <v>31</v>
      </c>
      <c r="F34" s="264">
        <v>0</v>
      </c>
      <c r="G34" s="264">
        <v>0</v>
      </c>
      <c r="H34" s="414">
        <f>Inputs!G55+Inputs!I55+Inputs!L55+Inputs!X55</f>
        <v>15970</v>
      </c>
      <c r="I34" s="414">
        <f t="shared" si="2"/>
        <v>20795928.019099116</v>
      </c>
      <c r="J34" s="28">
        <f t="shared" si="0"/>
        <v>-19546.250900886953</v>
      </c>
      <c r="K34" s="36">
        <f t="shared" si="1"/>
        <v>-9.3902500838319595E-4</v>
      </c>
      <c r="L34" s="416">
        <f t="shared" si="3"/>
        <v>9.3902500838319595E-4</v>
      </c>
      <c r="M34"/>
    </row>
    <row r="35" spans="1:15">
      <c r="A35" s="413">
        <v>42277</v>
      </c>
      <c r="B35" s="414">
        <f>Inputs!D56</f>
        <v>19854447.340000004</v>
      </c>
      <c r="C35" s="414">
        <v>31.099999999999994</v>
      </c>
      <c r="D35" s="414">
        <v>81.900000000000006</v>
      </c>
      <c r="E35" s="414">
        <v>30</v>
      </c>
      <c r="F35" s="264">
        <v>1</v>
      </c>
      <c r="G35" s="264">
        <v>0</v>
      </c>
      <c r="H35" s="414">
        <f>Inputs!G56+Inputs!I56+Inputs!L56+Inputs!X56</f>
        <v>16005</v>
      </c>
      <c r="I35" s="414">
        <f t="shared" si="2"/>
        <v>19497421.465080284</v>
      </c>
      <c r="J35" s="28">
        <f t="shared" ref="J35:J66" si="4">I35-B35</f>
        <v>-357025.87491971999</v>
      </c>
      <c r="K35" s="36">
        <f t="shared" ref="K35:K66" si="5">J35/B35</f>
        <v>-1.7982161316594972E-2</v>
      </c>
      <c r="L35" s="416">
        <f t="shared" si="3"/>
        <v>1.7982161316594972E-2</v>
      </c>
      <c r="M35"/>
    </row>
    <row r="36" spans="1:15">
      <c r="A36" s="413">
        <v>42308</v>
      </c>
      <c r="B36" s="414">
        <f>Inputs!D57</f>
        <v>19438981.529999997</v>
      </c>
      <c r="C36" s="414">
        <v>249.8</v>
      </c>
      <c r="D36" s="414">
        <v>0</v>
      </c>
      <c r="E36" s="414">
        <v>31</v>
      </c>
      <c r="F36" s="264">
        <v>1</v>
      </c>
      <c r="G36" s="264">
        <v>0</v>
      </c>
      <c r="H36" s="414">
        <f>Inputs!G57+Inputs!I57+Inputs!L57+Inputs!X57</f>
        <v>16050</v>
      </c>
      <c r="I36" s="414">
        <f t="shared" si="2"/>
        <v>19092846.6920931</v>
      </c>
      <c r="J36" s="28">
        <f t="shared" si="4"/>
        <v>-346134.83790689707</v>
      </c>
      <c r="K36" s="36">
        <f t="shared" si="5"/>
        <v>-1.7806222891498222E-2</v>
      </c>
      <c r="L36" s="416">
        <f t="shared" si="3"/>
        <v>1.7806222891498222E-2</v>
      </c>
      <c r="M36"/>
    </row>
    <row r="37" spans="1:15">
      <c r="A37" s="413">
        <v>42338</v>
      </c>
      <c r="B37" s="414">
        <f>Inputs!D58</f>
        <v>20136180.119999997</v>
      </c>
      <c r="C37" s="414">
        <v>345</v>
      </c>
      <c r="D37" s="414">
        <v>0</v>
      </c>
      <c r="E37" s="414">
        <v>30</v>
      </c>
      <c r="F37" s="264">
        <v>0</v>
      </c>
      <c r="G37" s="264">
        <v>0</v>
      </c>
      <c r="H37" s="414">
        <f>Inputs!G58+Inputs!I58+Inputs!L58+Inputs!X58</f>
        <v>16127</v>
      </c>
      <c r="I37" s="414">
        <f t="shared" si="2"/>
        <v>20446936.305846833</v>
      </c>
      <c r="J37" s="28">
        <f t="shared" si="4"/>
        <v>310756.18584683537</v>
      </c>
      <c r="K37" s="36">
        <f t="shared" si="5"/>
        <v>1.5432727756451724E-2</v>
      </c>
      <c r="L37" s="416">
        <f t="shared" si="3"/>
        <v>1.5432727756451724E-2</v>
      </c>
      <c r="M37"/>
    </row>
    <row r="38" spans="1:15">
      <c r="A38" s="413">
        <v>42369</v>
      </c>
      <c r="B38" s="414">
        <f>Inputs!D59</f>
        <v>22491790.48</v>
      </c>
      <c r="C38" s="414">
        <v>429.70000000000005</v>
      </c>
      <c r="D38" s="414">
        <v>0</v>
      </c>
      <c r="E38" s="414">
        <v>31</v>
      </c>
      <c r="F38" s="264">
        <v>0</v>
      </c>
      <c r="G38" s="264">
        <v>0</v>
      </c>
      <c r="H38" s="414">
        <f>Inputs!G59+Inputs!I59+Inputs!L59+Inputs!X59</f>
        <v>16168</v>
      </c>
      <c r="I38" s="414">
        <f t="shared" si="2"/>
        <v>22180749.805731907</v>
      </c>
      <c r="J38" s="28">
        <f t="shared" si="4"/>
        <v>-311040.67426809296</v>
      </c>
      <c r="K38" s="36">
        <f t="shared" si="5"/>
        <v>-1.3829075748534758E-2</v>
      </c>
      <c r="L38" s="416">
        <f t="shared" si="3"/>
        <v>1.3829075748534758E-2</v>
      </c>
      <c r="M38"/>
    </row>
    <row r="39" spans="1:15">
      <c r="A39" s="413">
        <v>42400</v>
      </c>
      <c r="B39" s="414">
        <f>Inputs!D60</f>
        <v>25159552</v>
      </c>
      <c r="C39" s="414">
        <v>670.4</v>
      </c>
      <c r="D39" s="414">
        <v>0</v>
      </c>
      <c r="E39" s="414">
        <v>31</v>
      </c>
      <c r="F39" s="264">
        <v>0</v>
      </c>
      <c r="G39" s="264">
        <v>0</v>
      </c>
      <c r="H39" s="414">
        <f>Inputs!G60+Inputs!I60+Inputs!L60+Inputs!X60</f>
        <v>16197</v>
      </c>
      <c r="I39" s="414">
        <f t="shared" si="2"/>
        <v>25248008.521863684</v>
      </c>
      <c r="J39" s="28">
        <f t="shared" si="4"/>
        <v>88456.521863684058</v>
      </c>
      <c r="K39" s="36">
        <f t="shared" si="5"/>
        <v>3.51582261336307E-3</v>
      </c>
      <c r="L39" s="416">
        <f t="shared" si="3"/>
        <v>3.51582261336307E-3</v>
      </c>
      <c r="M39"/>
    </row>
    <row r="40" spans="1:15">
      <c r="A40" s="413">
        <v>42429</v>
      </c>
      <c r="B40" s="414">
        <f>Inputs!D61</f>
        <v>23014941</v>
      </c>
      <c r="C40" s="414">
        <v>588.4</v>
      </c>
      <c r="D40" s="414">
        <v>0</v>
      </c>
      <c r="E40" s="414">
        <v>29</v>
      </c>
      <c r="F40" s="264">
        <v>0</v>
      </c>
      <c r="G40" s="264">
        <v>0</v>
      </c>
      <c r="H40" s="414">
        <f>Inputs!G61+Inputs!I61+Inputs!L61+Inputs!X61</f>
        <v>16212</v>
      </c>
      <c r="I40" s="414">
        <f t="shared" si="2"/>
        <v>22962145.509392597</v>
      </c>
      <c r="J40" s="28">
        <f t="shared" si="4"/>
        <v>-52795.490607403219</v>
      </c>
      <c r="K40" s="36">
        <f t="shared" si="5"/>
        <v>-2.2939659331476549E-3</v>
      </c>
      <c r="L40" s="416">
        <f t="shared" si="3"/>
        <v>2.2939659331476549E-3</v>
      </c>
      <c r="M40"/>
    </row>
    <row r="41" spans="1:15">
      <c r="A41" s="413">
        <v>42460</v>
      </c>
      <c r="B41" s="414">
        <f>Inputs!D62</f>
        <v>21970551</v>
      </c>
      <c r="C41" s="414">
        <v>476.0999999999998</v>
      </c>
      <c r="D41" s="414">
        <v>0</v>
      </c>
      <c r="E41" s="414">
        <v>31</v>
      </c>
      <c r="F41" s="264">
        <v>1</v>
      </c>
      <c r="G41" s="264">
        <v>0</v>
      </c>
      <c r="H41" s="414">
        <f>Inputs!G62+Inputs!I62+Inputs!L62+Inputs!X62</f>
        <v>16243</v>
      </c>
      <c r="I41" s="414">
        <f t="shared" si="2"/>
        <v>22106975.687262319</v>
      </c>
      <c r="J41" s="28">
        <f t="shared" si="4"/>
        <v>136424.68726231903</v>
      </c>
      <c r="K41" s="36">
        <f t="shared" si="5"/>
        <v>6.2094340402440986E-3</v>
      </c>
      <c r="L41" s="416">
        <f t="shared" si="3"/>
        <v>6.2094340402440986E-3</v>
      </c>
      <c r="M41"/>
    </row>
    <row r="42" spans="1:15">
      <c r="A42" s="413">
        <v>42490</v>
      </c>
      <c r="B42" s="414">
        <f>Inputs!D63</f>
        <v>19763963</v>
      </c>
      <c r="C42" s="414">
        <v>394.8</v>
      </c>
      <c r="D42" s="414">
        <v>0</v>
      </c>
      <c r="E42" s="414">
        <v>30</v>
      </c>
      <c r="F42" s="264">
        <v>1</v>
      </c>
      <c r="G42" s="264">
        <v>0</v>
      </c>
      <c r="H42" s="414">
        <f>Inputs!G63+Inputs!I63+Inputs!L63+Inputs!X63</f>
        <v>16249</v>
      </c>
      <c r="I42" s="414">
        <f t="shared" si="2"/>
        <v>20453137.609497815</v>
      </c>
      <c r="J42" s="28">
        <f t="shared" si="4"/>
        <v>689174.60949781537</v>
      </c>
      <c r="K42" s="36">
        <f t="shared" si="5"/>
        <v>3.4870264101274397E-2</v>
      </c>
      <c r="L42" s="416">
        <f t="shared" si="3"/>
        <v>3.4870264101274397E-2</v>
      </c>
      <c r="M42"/>
    </row>
    <row r="43" spans="1:15">
      <c r="A43" s="413">
        <v>42521</v>
      </c>
      <c r="B43" s="414">
        <f>Inputs!D64</f>
        <v>18836973</v>
      </c>
      <c r="C43" s="414">
        <v>142.50000000000003</v>
      </c>
      <c r="D43" s="414">
        <v>36.9</v>
      </c>
      <c r="E43" s="414">
        <v>31</v>
      </c>
      <c r="F43" s="264">
        <v>1</v>
      </c>
      <c r="G43" s="264">
        <v>0</v>
      </c>
      <c r="H43" s="414">
        <f>Inputs!G64+Inputs!I64+Inputs!L64+Inputs!X64</f>
        <v>16261</v>
      </c>
      <c r="I43" s="414">
        <f t="shared" si="2"/>
        <v>19630152.016172163</v>
      </c>
      <c r="J43" s="28">
        <f t="shared" si="4"/>
        <v>793179.01617216319</v>
      </c>
      <c r="K43" s="36">
        <f t="shared" si="5"/>
        <v>4.2107562407832894E-2</v>
      </c>
      <c r="L43" s="416">
        <f t="shared" si="3"/>
        <v>4.2107562407832894E-2</v>
      </c>
      <c r="M43"/>
    </row>
    <row r="44" spans="1:15">
      <c r="A44" s="413">
        <v>42551</v>
      </c>
      <c r="B44" s="414">
        <f>Inputs!D65</f>
        <v>19211234</v>
      </c>
      <c r="C44" s="414">
        <v>24.200000000000003</v>
      </c>
      <c r="D44" s="414">
        <v>83.7</v>
      </c>
      <c r="E44" s="414">
        <v>30</v>
      </c>
      <c r="F44" s="264">
        <v>0</v>
      </c>
      <c r="G44" s="264">
        <v>0</v>
      </c>
      <c r="H44" s="414">
        <f>Inputs!G65+Inputs!I65+Inputs!L65+Inputs!X65</f>
        <v>16269</v>
      </c>
      <c r="I44" s="414">
        <f t="shared" si="2"/>
        <v>20421784.76471414</v>
      </c>
      <c r="J44" s="28">
        <f t="shared" si="4"/>
        <v>1210550.7647141404</v>
      </c>
      <c r="K44" s="36">
        <f t="shared" si="5"/>
        <v>6.3012650031442047E-2</v>
      </c>
      <c r="L44" s="416">
        <f t="shared" si="3"/>
        <v>6.3012650031442047E-2</v>
      </c>
      <c r="M44"/>
    </row>
    <row r="45" spans="1:15">
      <c r="A45" s="413">
        <v>42582</v>
      </c>
      <c r="B45" s="414">
        <f>Inputs!D66</f>
        <v>23404500</v>
      </c>
      <c r="C45" s="414">
        <v>0</v>
      </c>
      <c r="D45" s="414">
        <v>176.89999999999998</v>
      </c>
      <c r="E45" s="414">
        <v>31</v>
      </c>
      <c r="F45" s="264">
        <v>0</v>
      </c>
      <c r="G45" s="264">
        <v>0</v>
      </c>
      <c r="H45" s="414">
        <f>Inputs!G66+Inputs!I66+Inputs!L66+Inputs!X66</f>
        <v>16281</v>
      </c>
      <c r="I45" s="414">
        <f t="shared" si="2"/>
        <v>25121114.609754235</v>
      </c>
      <c r="J45" s="28">
        <f t="shared" si="4"/>
        <v>1716614.6097542346</v>
      </c>
      <c r="K45" s="36">
        <f t="shared" si="5"/>
        <v>7.3345493804791148E-2</v>
      </c>
      <c r="L45" s="416">
        <f t="shared" si="3"/>
        <v>7.3345493804791148E-2</v>
      </c>
      <c r="M45"/>
    </row>
    <row r="46" spans="1:15">
      <c r="A46" s="413">
        <v>42613</v>
      </c>
      <c r="B46" s="414">
        <f>Inputs!D67</f>
        <v>24564804</v>
      </c>
      <c r="C46" s="414">
        <v>0</v>
      </c>
      <c r="D46" s="414">
        <v>195.4</v>
      </c>
      <c r="E46" s="414">
        <v>31</v>
      </c>
      <c r="F46" s="264">
        <v>0</v>
      </c>
      <c r="G46" s="264">
        <v>0</v>
      </c>
      <c r="H46" s="414">
        <f>Inputs!G67+Inputs!I67+Inputs!L67+Inputs!X67</f>
        <v>16292</v>
      </c>
      <c r="I46" s="414">
        <f t="shared" si="2"/>
        <v>25996355.206045382</v>
      </c>
      <c r="J46" s="28">
        <f t="shared" si="4"/>
        <v>1431551.2060453817</v>
      </c>
      <c r="K46" s="36">
        <f t="shared" si="5"/>
        <v>5.8276516517102341E-2</v>
      </c>
      <c r="L46" s="416">
        <f t="shared" si="3"/>
        <v>5.8276516517102341E-2</v>
      </c>
      <c r="M46"/>
    </row>
    <row r="47" spans="1:15">
      <c r="A47" s="413">
        <v>42643</v>
      </c>
      <c r="B47" s="414">
        <f>Inputs!D68</f>
        <v>19239594</v>
      </c>
      <c r="C47" s="414">
        <v>25.900000000000006</v>
      </c>
      <c r="D47" s="414">
        <v>69.400000000000006</v>
      </c>
      <c r="E47" s="414">
        <v>30</v>
      </c>
      <c r="F47" s="264">
        <v>1</v>
      </c>
      <c r="G47" s="264">
        <v>0</v>
      </c>
      <c r="H47" s="414">
        <f>Inputs!G68+Inputs!I68+Inputs!L68+Inputs!X68</f>
        <v>16323</v>
      </c>
      <c r="I47" s="414">
        <f t="shared" si="2"/>
        <v>19096263.50698689</v>
      </c>
      <c r="J47" s="28">
        <f t="shared" si="4"/>
        <v>-143330.49301311001</v>
      </c>
      <c r="K47" s="36">
        <f t="shared" si="5"/>
        <v>-7.4497670279897801E-3</v>
      </c>
      <c r="L47" s="416">
        <f t="shared" si="3"/>
        <v>7.4497670279897801E-3</v>
      </c>
      <c r="M47"/>
    </row>
    <row r="48" spans="1:15">
      <c r="A48" s="413">
        <v>42674</v>
      </c>
      <c r="B48" s="414">
        <f>Inputs!D69</f>
        <v>19360398</v>
      </c>
      <c r="C48" s="414">
        <v>194.20000000000002</v>
      </c>
      <c r="D48" s="414">
        <v>4.0999999999999996</v>
      </c>
      <c r="E48" s="414">
        <v>31</v>
      </c>
      <c r="F48" s="264">
        <v>1</v>
      </c>
      <c r="G48" s="264">
        <v>0</v>
      </c>
      <c r="H48" s="414">
        <f>Inputs!G69+Inputs!I69+Inputs!L69+Inputs!X69</f>
        <v>16370</v>
      </c>
      <c r="I48" s="414">
        <f t="shared" si="2"/>
        <v>18833374.327722099</v>
      </c>
      <c r="J48" s="28">
        <f t="shared" si="4"/>
        <v>-527023.67227790132</v>
      </c>
      <c r="K48" s="36">
        <f t="shared" si="5"/>
        <v>-2.7221737501362385E-2</v>
      </c>
      <c r="L48" s="416">
        <f t="shared" si="3"/>
        <v>2.7221737501362385E-2</v>
      </c>
      <c r="M48"/>
    </row>
    <row r="49" spans="1:13">
      <c r="A49" s="413">
        <v>42704</v>
      </c>
      <c r="B49" s="414">
        <f>Inputs!D70</f>
        <v>20317470</v>
      </c>
      <c r="C49" s="414">
        <v>337.80000000000007</v>
      </c>
      <c r="D49" s="414">
        <v>0</v>
      </c>
      <c r="E49" s="414">
        <v>30</v>
      </c>
      <c r="F49" s="264">
        <v>0</v>
      </c>
      <c r="G49" s="264">
        <v>0</v>
      </c>
      <c r="H49" s="414">
        <f>Inputs!G70+Inputs!I70+Inputs!L70+Inputs!X70</f>
        <v>16399</v>
      </c>
      <c r="I49" s="414">
        <f t="shared" si="2"/>
        <v>20569829.445349418</v>
      </c>
      <c r="J49" s="28">
        <f t="shared" si="4"/>
        <v>252359.44534941763</v>
      </c>
      <c r="K49" s="36">
        <f t="shared" si="5"/>
        <v>1.242081053149913E-2</v>
      </c>
      <c r="L49" s="416">
        <f t="shared" si="3"/>
        <v>1.242081053149913E-2</v>
      </c>
      <c r="M49"/>
    </row>
    <row r="50" spans="1:13">
      <c r="A50" s="413">
        <v>42735</v>
      </c>
      <c r="B50" s="414">
        <f>Inputs!D71</f>
        <v>24538056</v>
      </c>
      <c r="C50" s="414">
        <v>607.99999999999989</v>
      </c>
      <c r="D50" s="414">
        <v>0</v>
      </c>
      <c r="E50" s="414">
        <v>31</v>
      </c>
      <c r="F50" s="264">
        <v>0</v>
      </c>
      <c r="G50" s="264">
        <v>0</v>
      </c>
      <c r="H50" s="414">
        <f>Inputs!G71+Inputs!I71+Inputs!L71+Inputs!X71</f>
        <v>16425</v>
      </c>
      <c r="I50" s="414">
        <f t="shared" si="2"/>
        <v>24638103.969663452</v>
      </c>
      <c r="J50" s="28">
        <f t="shared" si="4"/>
        <v>100047.96966345236</v>
      </c>
      <c r="K50" s="36">
        <f t="shared" si="5"/>
        <v>4.0772573696731462E-3</v>
      </c>
      <c r="L50" s="416">
        <f t="shared" si="3"/>
        <v>4.0772573696731462E-3</v>
      </c>
      <c r="M50"/>
    </row>
    <row r="51" spans="1:13">
      <c r="A51" s="413">
        <v>42766</v>
      </c>
      <c r="B51" s="414">
        <f>Inputs!D72</f>
        <v>24383250.957844518</v>
      </c>
      <c r="C51" s="414">
        <v>608.9</v>
      </c>
      <c r="D51" s="414">
        <v>0</v>
      </c>
      <c r="E51" s="414">
        <v>31</v>
      </c>
      <c r="F51" s="264">
        <v>0</v>
      </c>
      <c r="G51" s="264">
        <v>0</v>
      </c>
      <c r="H51" s="414">
        <f>Inputs!G72+Inputs!I72+Inputs!L72+Inputs!X72</f>
        <v>16478</v>
      </c>
      <c r="I51" s="414">
        <f t="shared" si="2"/>
        <v>24691178.358797185</v>
      </c>
      <c r="J51" s="28">
        <f t="shared" si="4"/>
        <v>307927.400952667</v>
      </c>
      <c r="K51" s="36">
        <f t="shared" si="5"/>
        <v>1.2628644206838275E-2</v>
      </c>
      <c r="L51" s="416">
        <f t="shared" si="3"/>
        <v>1.2628644206838275E-2</v>
      </c>
      <c r="M51"/>
    </row>
    <row r="52" spans="1:13">
      <c r="A52" s="413">
        <v>42794</v>
      </c>
      <c r="B52" s="414">
        <f>Inputs!D73</f>
        <v>21070773.226623036</v>
      </c>
      <c r="C52" s="414">
        <v>510.4</v>
      </c>
      <c r="D52" s="414">
        <v>0</v>
      </c>
      <c r="E52" s="414">
        <v>28</v>
      </c>
      <c r="F52" s="264">
        <v>0</v>
      </c>
      <c r="G52" s="264">
        <v>0</v>
      </c>
      <c r="H52" s="414">
        <f>Inputs!G73+Inputs!I73+Inputs!L73+Inputs!X73</f>
        <v>16482</v>
      </c>
      <c r="I52" s="414">
        <f t="shared" si="2"/>
        <v>21557714.791779198</v>
      </c>
      <c r="J52" s="28">
        <f t="shared" si="4"/>
        <v>486941.56515616179</v>
      </c>
      <c r="K52" s="36">
        <f t="shared" si="5"/>
        <v>2.3109809968478445E-2</v>
      </c>
      <c r="L52" s="416">
        <f t="shared" si="3"/>
        <v>2.3109809968478445E-2</v>
      </c>
      <c r="M52"/>
    </row>
    <row r="53" spans="1:13">
      <c r="A53" s="413">
        <v>42825</v>
      </c>
      <c r="B53" s="414">
        <f>Inputs!D74</f>
        <v>23393184.032128658</v>
      </c>
      <c r="C53" s="414">
        <v>574</v>
      </c>
      <c r="D53" s="414">
        <v>0</v>
      </c>
      <c r="E53" s="414">
        <v>31</v>
      </c>
      <c r="F53" s="264">
        <v>1</v>
      </c>
      <c r="G53" s="264">
        <v>0</v>
      </c>
      <c r="H53" s="414">
        <f>Inputs!G74+Inputs!I74+Inputs!L74+Inputs!X74</f>
        <v>16496</v>
      </c>
      <c r="I53" s="414">
        <f t="shared" si="2"/>
        <v>23544259.747827563</v>
      </c>
      <c r="J53" s="28">
        <f t="shared" si="4"/>
        <v>151075.71569890529</v>
      </c>
      <c r="K53" s="36">
        <f t="shared" si="5"/>
        <v>6.4581082887825332E-3</v>
      </c>
      <c r="L53" s="416">
        <f t="shared" si="3"/>
        <v>6.4581082887825332E-3</v>
      </c>
      <c r="M53"/>
    </row>
    <row r="54" spans="1:13">
      <c r="A54" s="413">
        <v>42855</v>
      </c>
      <c r="B54" s="414">
        <f>Inputs!D75</f>
        <v>18825985.160844527</v>
      </c>
      <c r="C54" s="414">
        <v>257.49999999999994</v>
      </c>
      <c r="D54" s="414">
        <v>0</v>
      </c>
      <c r="E54" s="414">
        <v>30</v>
      </c>
      <c r="F54" s="264">
        <v>1</v>
      </c>
      <c r="G54" s="264">
        <v>0</v>
      </c>
      <c r="H54" s="414">
        <f>Inputs!G75+Inputs!I75+Inputs!L75+Inputs!X75</f>
        <v>16509</v>
      </c>
      <c r="I54" s="414">
        <f t="shared" si="2"/>
        <v>18921046.982287619</v>
      </c>
      <c r="J54" s="28">
        <f t="shared" si="4"/>
        <v>95061.821443092078</v>
      </c>
      <c r="K54" s="36">
        <f t="shared" si="5"/>
        <v>5.0495004978973242E-3</v>
      </c>
      <c r="L54" s="416">
        <f t="shared" si="3"/>
        <v>5.0495004978973242E-3</v>
      </c>
      <c r="M54"/>
    </row>
    <row r="55" spans="1:13">
      <c r="A55" s="413">
        <v>42886</v>
      </c>
      <c r="B55" s="414">
        <f>Inputs!D76</f>
        <v>18786333.0832728</v>
      </c>
      <c r="C55" s="414">
        <v>177</v>
      </c>
      <c r="D55" s="414">
        <v>9</v>
      </c>
      <c r="E55" s="414">
        <v>31</v>
      </c>
      <c r="F55" s="264">
        <v>1</v>
      </c>
      <c r="G55" s="264">
        <v>0</v>
      </c>
      <c r="H55" s="414">
        <f>Inputs!G76+Inputs!I76+Inputs!L76+Inputs!X76</f>
        <v>16549</v>
      </c>
      <c r="I55" s="414">
        <f t="shared" si="2"/>
        <v>18986157.323323667</v>
      </c>
      <c r="J55" s="28">
        <f t="shared" si="4"/>
        <v>199824.2400508672</v>
      </c>
      <c r="K55" s="36">
        <f t="shared" si="5"/>
        <v>1.0636681419685308E-2</v>
      </c>
      <c r="L55" s="416">
        <f t="shared" si="3"/>
        <v>1.0636681419685308E-2</v>
      </c>
      <c r="M55"/>
    </row>
    <row r="56" spans="1:13">
      <c r="A56" s="413">
        <v>42916</v>
      </c>
      <c r="B56" s="414">
        <f>Inputs!D77</f>
        <v>19567266.152046304</v>
      </c>
      <c r="C56" s="414">
        <v>26.699999999999996</v>
      </c>
      <c r="D56" s="414">
        <v>68.2</v>
      </c>
      <c r="E56" s="414">
        <v>30</v>
      </c>
      <c r="F56" s="264">
        <v>0</v>
      </c>
      <c r="G56" s="264">
        <v>0</v>
      </c>
      <c r="H56" s="414">
        <f>Inputs!G77+Inputs!I77+Inputs!L77+Inputs!X77</f>
        <v>16588</v>
      </c>
      <c r="I56" s="414">
        <f t="shared" si="2"/>
        <v>19978277.62069466</v>
      </c>
      <c r="J56" s="28">
        <f t="shared" si="4"/>
        <v>411011.46864835545</v>
      </c>
      <c r="K56" s="36">
        <f t="shared" si="5"/>
        <v>2.1005053309676208E-2</v>
      </c>
      <c r="L56" s="416">
        <f t="shared" si="3"/>
        <v>2.1005053309676208E-2</v>
      </c>
      <c r="M56"/>
    </row>
    <row r="57" spans="1:13">
      <c r="A57" s="413">
        <v>42947</v>
      </c>
      <c r="B57" s="414">
        <f>Inputs!D78</f>
        <v>22381676.491002649</v>
      </c>
      <c r="C57" s="414">
        <v>0</v>
      </c>
      <c r="D57" s="414">
        <v>116.49999999999999</v>
      </c>
      <c r="E57" s="414">
        <v>31</v>
      </c>
      <c r="F57" s="264">
        <v>0</v>
      </c>
      <c r="G57" s="264">
        <v>0</v>
      </c>
      <c r="H57" s="414">
        <f>Inputs!G78+Inputs!I78+Inputs!L78+Inputs!X78</f>
        <v>16718</v>
      </c>
      <c r="I57" s="414">
        <f t="shared" si="2"/>
        <v>22635576.064383432</v>
      </c>
      <c r="J57" s="28">
        <f t="shared" si="4"/>
        <v>253899.5733807832</v>
      </c>
      <c r="K57" s="36">
        <f t="shared" si="5"/>
        <v>1.1344081998631777E-2</v>
      </c>
      <c r="L57" s="416">
        <f t="shared" si="3"/>
        <v>1.1344081998631777E-2</v>
      </c>
      <c r="M57"/>
    </row>
    <row r="58" spans="1:13">
      <c r="A58" s="413">
        <v>42978</v>
      </c>
      <c r="B58" s="414">
        <f>Inputs!D79</f>
        <v>21132315.915526163</v>
      </c>
      <c r="C58" s="414">
        <v>11.6</v>
      </c>
      <c r="D58" s="414">
        <v>75.2</v>
      </c>
      <c r="E58" s="414">
        <v>31</v>
      </c>
      <c r="F58" s="264">
        <v>0</v>
      </c>
      <c r="G58" s="264">
        <v>0</v>
      </c>
      <c r="H58" s="414">
        <f>Inputs!G79+Inputs!I79+Inputs!L79+Inputs!X79</f>
        <v>16774</v>
      </c>
      <c r="I58" s="414">
        <f t="shared" si="2"/>
        <v>20891748.534993149</v>
      </c>
      <c r="J58" s="28">
        <f t="shared" si="4"/>
        <v>-240567.38053301349</v>
      </c>
      <c r="K58" s="36">
        <f t="shared" si="5"/>
        <v>-1.1383862587264549E-2</v>
      </c>
      <c r="L58" s="416">
        <f t="shared" si="3"/>
        <v>1.1383862587264549E-2</v>
      </c>
      <c r="M58"/>
    </row>
    <row r="59" spans="1:13">
      <c r="A59" s="413">
        <v>43008</v>
      </c>
      <c r="B59" s="414">
        <f>Inputs!D80</f>
        <v>19954544.032724753</v>
      </c>
      <c r="C59" s="414">
        <v>49.1</v>
      </c>
      <c r="D59" s="414">
        <v>71.499999999999986</v>
      </c>
      <c r="E59" s="414">
        <v>30</v>
      </c>
      <c r="F59" s="264">
        <v>1</v>
      </c>
      <c r="G59" s="264">
        <v>0</v>
      </c>
      <c r="H59" s="414">
        <f>Inputs!G80+Inputs!I80+Inputs!L80+Inputs!X80</f>
        <v>16850</v>
      </c>
      <c r="I59" s="414">
        <f t="shared" si="2"/>
        <v>19902622.869943034</v>
      </c>
      <c r="J59" s="28">
        <f t="shared" si="4"/>
        <v>-51921.162781719118</v>
      </c>
      <c r="K59" s="36">
        <f t="shared" si="5"/>
        <v>-2.6019718965550019E-3</v>
      </c>
      <c r="L59" s="416">
        <f t="shared" si="3"/>
        <v>2.6019718965550019E-3</v>
      </c>
      <c r="M59"/>
    </row>
    <row r="60" spans="1:13">
      <c r="A60" s="413">
        <v>43039</v>
      </c>
      <c r="B60" s="414">
        <f>Inputs!D81</f>
        <v>19246234.531076949</v>
      </c>
      <c r="C60" s="414">
        <v>153.99999999999997</v>
      </c>
      <c r="D60" s="414">
        <v>8.1</v>
      </c>
      <c r="E60" s="414">
        <v>31</v>
      </c>
      <c r="F60" s="264">
        <v>1</v>
      </c>
      <c r="G60" s="264">
        <v>0</v>
      </c>
      <c r="H60" s="414">
        <f>Inputs!G81+Inputs!I81+Inputs!L81+Inputs!X81</f>
        <v>17086</v>
      </c>
      <c r="I60" s="414">
        <f t="shared" si="2"/>
        <v>19075503.519272979</v>
      </c>
      <c r="J60" s="28">
        <f t="shared" si="4"/>
        <v>-170731.01180396974</v>
      </c>
      <c r="K60" s="36">
        <f t="shared" si="5"/>
        <v>-8.870878692052199E-3</v>
      </c>
      <c r="L60" s="416">
        <f t="shared" si="3"/>
        <v>8.870878692052199E-3</v>
      </c>
      <c r="M60"/>
    </row>
    <row r="61" spans="1:13">
      <c r="A61" s="413">
        <v>43069</v>
      </c>
      <c r="B61" s="414">
        <f>Inputs!D82</f>
        <v>21849761.600563686</v>
      </c>
      <c r="C61" s="414">
        <v>429.35</v>
      </c>
      <c r="D61" s="414">
        <v>0</v>
      </c>
      <c r="E61" s="414">
        <v>30</v>
      </c>
      <c r="F61" s="264">
        <v>0</v>
      </c>
      <c r="G61" s="264">
        <v>0</v>
      </c>
      <c r="H61" s="414">
        <f>Inputs!G82+Inputs!I82+Inputs!L82+Inputs!X82</f>
        <v>17226</v>
      </c>
      <c r="I61" s="414">
        <f t="shared" si="2"/>
        <v>22378317.261449054</v>
      </c>
      <c r="J61" s="28">
        <f t="shared" si="4"/>
        <v>528555.66088536754</v>
      </c>
      <c r="K61" s="36">
        <f t="shared" si="5"/>
        <v>2.419045436503672E-2</v>
      </c>
      <c r="L61" s="416">
        <f t="shared" si="3"/>
        <v>2.419045436503672E-2</v>
      </c>
      <c r="M61"/>
    </row>
    <row r="62" spans="1:13">
      <c r="A62" s="413">
        <v>43100</v>
      </c>
      <c r="B62" s="414">
        <f>Inputs!D83</f>
        <v>26178109.375145946</v>
      </c>
      <c r="C62" s="414">
        <v>718.49999999999989</v>
      </c>
      <c r="D62" s="414">
        <v>0</v>
      </c>
      <c r="E62" s="414">
        <v>31</v>
      </c>
      <c r="F62" s="264">
        <v>0</v>
      </c>
      <c r="G62" s="264">
        <v>0</v>
      </c>
      <c r="H62" s="414">
        <f>Inputs!G83+Inputs!I83+Inputs!L83+Inputs!X83</f>
        <v>17228</v>
      </c>
      <c r="I62" s="414">
        <f t="shared" si="2"/>
        <v>26667398.236012019</v>
      </c>
      <c r="J62" s="28">
        <f t="shared" si="4"/>
        <v>489288.86086607352</v>
      </c>
      <c r="K62" s="36">
        <f t="shared" si="5"/>
        <v>1.8690763868937563E-2</v>
      </c>
      <c r="L62" s="416">
        <f t="shared" si="3"/>
        <v>1.8690763868937563E-2</v>
      </c>
      <c r="M62"/>
    </row>
    <row r="63" spans="1:13">
      <c r="A63" s="413">
        <v>43131</v>
      </c>
      <c r="B63" s="414">
        <f>Inputs!D84</f>
        <v>27156877.702999998</v>
      </c>
      <c r="C63" s="414">
        <v>732.29999999999984</v>
      </c>
      <c r="D63" s="414">
        <v>0</v>
      </c>
      <c r="E63" s="414">
        <v>31</v>
      </c>
      <c r="F63" s="264">
        <v>0</v>
      </c>
      <c r="G63" s="264">
        <v>0</v>
      </c>
      <c r="H63" s="414">
        <f>Inputs!G84+Inputs!I84+Inputs!L84+Inputs!X84</f>
        <v>17401</v>
      </c>
      <c r="I63" s="414">
        <f t="shared" si="2"/>
        <v>26978030.269450281</v>
      </c>
      <c r="J63" s="28">
        <f t="shared" si="4"/>
        <v>-178847.43354971707</v>
      </c>
      <c r="K63" s="36">
        <f t="shared" si="5"/>
        <v>-6.5857141423131989E-3</v>
      </c>
      <c r="L63" s="416">
        <f t="shared" si="3"/>
        <v>6.5857141423131989E-3</v>
      </c>
      <c r="M63"/>
    </row>
    <row r="64" spans="1:13">
      <c r="A64" s="413">
        <v>43159</v>
      </c>
      <c r="B64" s="414">
        <f>Inputs!D85</f>
        <v>22662310.571999997</v>
      </c>
      <c r="C64" s="414">
        <v>555.00000000000023</v>
      </c>
      <c r="D64" s="414">
        <v>0</v>
      </c>
      <c r="E64" s="414">
        <v>28</v>
      </c>
      <c r="F64" s="264">
        <v>0</v>
      </c>
      <c r="G64" s="264">
        <v>0</v>
      </c>
      <c r="H64" s="414">
        <f>Inputs!G85+Inputs!I85+Inputs!L85+Inputs!X85</f>
        <v>17448</v>
      </c>
      <c r="I64" s="414">
        <f t="shared" si="2"/>
        <v>22881705.074489038</v>
      </c>
      <c r="J64" s="28">
        <f t="shared" si="4"/>
        <v>219394.50248904154</v>
      </c>
      <c r="K64" s="36">
        <f t="shared" si="5"/>
        <v>9.6810297340161958E-3</v>
      </c>
      <c r="L64" s="416">
        <f t="shared" si="3"/>
        <v>9.6810297340161958E-3</v>
      </c>
      <c r="M64"/>
    </row>
    <row r="65" spans="1:13">
      <c r="A65" s="413">
        <v>43190</v>
      </c>
      <c r="B65" s="414">
        <f>Inputs!D86</f>
        <v>23534615.378000002</v>
      </c>
      <c r="C65" s="414">
        <v>553.99999999999989</v>
      </c>
      <c r="D65" s="414">
        <v>0</v>
      </c>
      <c r="E65" s="414">
        <v>31</v>
      </c>
      <c r="F65" s="264">
        <v>1</v>
      </c>
      <c r="G65" s="264">
        <v>0</v>
      </c>
      <c r="H65" s="414">
        <f>Inputs!G86+Inputs!I86+Inputs!L86+Inputs!X86</f>
        <v>17479</v>
      </c>
      <c r="I65" s="414">
        <f t="shared" si="2"/>
        <v>24064542.168063968</v>
      </c>
      <c r="J65" s="28">
        <f t="shared" si="4"/>
        <v>529926.79006396607</v>
      </c>
      <c r="K65" s="36">
        <f t="shared" si="5"/>
        <v>2.2516908883046291E-2</v>
      </c>
      <c r="L65" s="416">
        <f t="shared" si="3"/>
        <v>2.2516908883046291E-2</v>
      </c>
    </row>
    <row r="66" spans="1:13">
      <c r="A66" s="413">
        <v>43220</v>
      </c>
      <c r="B66" s="414">
        <f>Inputs!D87</f>
        <v>21736721.348000001</v>
      </c>
      <c r="C66" s="414">
        <v>437.20000000000005</v>
      </c>
      <c r="D66" s="414">
        <v>0</v>
      </c>
      <c r="E66" s="414">
        <v>30</v>
      </c>
      <c r="F66" s="264">
        <v>1</v>
      </c>
      <c r="G66" s="264">
        <v>0</v>
      </c>
      <c r="H66" s="414">
        <f>Inputs!G87+Inputs!I87+Inputs!L87+Inputs!X87</f>
        <v>17526</v>
      </c>
      <c r="I66" s="414">
        <f t="shared" si="2"/>
        <v>21993940.771363799</v>
      </c>
      <c r="J66" s="28">
        <f t="shared" si="4"/>
        <v>257219.42336379737</v>
      </c>
      <c r="K66" s="36">
        <f t="shared" si="5"/>
        <v>1.1833404828896339E-2</v>
      </c>
      <c r="L66" s="416">
        <f t="shared" si="3"/>
        <v>1.1833404828896339E-2</v>
      </c>
    </row>
    <row r="67" spans="1:13">
      <c r="A67" s="413">
        <v>43251</v>
      </c>
      <c r="B67" s="414">
        <f>Inputs!D88</f>
        <v>19774022.555</v>
      </c>
      <c r="C67" s="414">
        <v>75.3</v>
      </c>
      <c r="D67" s="414">
        <v>43.4</v>
      </c>
      <c r="E67" s="414">
        <v>31</v>
      </c>
      <c r="F67" s="264">
        <v>1</v>
      </c>
      <c r="G67" s="264">
        <v>0</v>
      </c>
      <c r="H67" s="414">
        <f>Inputs!G88+Inputs!I88+Inputs!L88+Inputs!X88</f>
        <v>17555</v>
      </c>
      <c r="I67" s="414">
        <f t="shared" si="2"/>
        <v>20102550.430323087</v>
      </c>
      <c r="J67" s="28">
        <f t="shared" ref="J67:J98" si="6">I67-B67</f>
        <v>328527.87532308698</v>
      </c>
      <c r="K67" s="36">
        <f t="shared" ref="K67:K98" si="7">J67/B67</f>
        <v>1.6614114523704558E-2</v>
      </c>
      <c r="L67" s="416">
        <f t="shared" ref="L67:L122" si="8">ABS(K67)</f>
        <v>1.6614114523704558E-2</v>
      </c>
    </row>
    <row r="68" spans="1:13">
      <c r="A68" s="413">
        <v>43281</v>
      </c>
      <c r="B68" s="414">
        <f>Inputs!D89</f>
        <v>21054153.723000001</v>
      </c>
      <c r="C68" s="414">
        <v>14.799999999999999</v>
      </c>
      <c r="D68" s="414">
        <v>60.5</v>
      </c>
      <c r="E68" s="414">
        <v>30</v>
      </c>
      <c r="F68" s="264">
        <v>0</v>
      </c>
      <c r="G68" s="264">
        <v>0</v>
      </c>
      <c r="H68" s="414">
        <f>Inputs!G89+Inputs!I89+Inputs!L89+Inputs!X89</f>
        <v>17627</v>
      </c>
      <c r="I68" s="414">
        <f t="shared" ref="I68:I131" si="9">$O$18+$O$19*C68+$O$20*D68+$O$21*E68+$O$22*F68+$O$23*G68+$O$24*H68</f>
        <v>20284374.199564368</v>
      </c>
      <c r="J68" s="28">
        <f t="shared" si="6"/>
        <v>-769779.52343563363</v>
      </c>
      <c r="K68" s="36">
        <f t="shared" si="7"/>
        <v>-3.6561883871623409E-2</v>
      </c>
      <c r="L68" s="416">
        <f t="shared" si="8"/>
        <v>3.6561883871623409E-2</v>
      </c>
    </row>
    <row r="69" spans="1:13">
      <c r="A69" s="413">
        <v>43312</v>
      </c>
      <c r="B69" s="414">
        <f>Inputs!D90</f>
        <v>26045488.691000003</v>
      </c>
      <c r="C69" s="414">
        <v>0</v>
      </c>
      <c r="D69" s="414">
        <v>167.8</v>
      </c>
      <c r="E69" s="414">
        <v>31</v>
      </c>
      <c r="F69" s="264">
        <v>0</v>
      </c>
      <c r="G69" s="264">
        <v>0</v>
      </c>
      <c r="H69" s="414">
        <f>Inputs!G90+Inputs!I90+Inputs!L90+Inputs!X90</f>
        <v>17634</v>
      </c>
      <c r="I69" s="414">
        <f t="shared" si="9"/>
        <v>25759145.398774736</v>
      </c>
      <c r="J69" s="28">
        <f t="shared" si="6"/>
        <v>-286343.29222526774</v>
      </c>
      <c r="K69" s="36">
        <f t="shared" si="7"/>
        <v>-1.0993968883533118E-2</v>
      </c>
      <c r="L69" s="416">
        <f t="shared" si="8"/>
        <v>1.0993968883533118E-2</v>
      </c>
    </row>
    <row r="70" spans="1:13">
      <c r="A70" s="413">
        <v>43343</v>
      </c>
      <c r="B70" s="414">
        <f>Inputs!D91</f>
        <v>25645894.579999998</v>
      </c>
      <c r="C70" s="414">
        <v>1.2</v>
      </c>
      <c r="D70" s="414">
        <v>162.4</v>
      </c>
      <c r="E70" s="414">
        <v>31</v>
      </c>
      <c r="F70" s="264">
        <v>0</v>
      </c>
      <c r="G70" s="264">
        <v>0</v>
      </c>
      <c r="H70" s="414">
        <f>Inputs!G91+Inputs!I91+Inputs!L91+Inputs!X91</f>
        <v>17691</v>
      </c>
      <c r="I70" s="414">
        <f t="shared" si="9"/>
        <v>25566210.821102425</v>
      </c>
      <c r="J70" s="28">
        <f t="shared" si="6"/>
        <v>-79683.758897572756</v>
      </c>
      <c r="K70" s="36">
        <f t="shared" si="7"/>
        <v>-3.1070765985178107E-3</v>
      </c>
      <c r="L70" s="416">
        <f t="shared" si="8"/>
        <v>3.1070765985178107E-3</v>
      </c>
    </row>
    <row r="71" spans="1:13">
      <c r="A71" s="413">
        <v>43373</v>
      </c>
      <c r="B71" s="414">
        <f>Inputs!D92</f>
        <v>21607296.151000001</v>
      </c>
      <c r="C71" s="414">
        <v>45.04999999999999</v>
      </c>
      <c r="D71" s="414">
        <v>76.399999999999977</v>
      </c>
      <c r="E71" s="414">
        <v>30</v>
      </c>
      <c r="F71" s="264">
        <v>1</v>
      </c>
      <c r="G71" s="264">
        <v>0</v>
      </c>
      <c r="H71" s="414">
        <f>Inputs!G92+Inputs!I92+Inputs!L92+Inputs!X92</f>
        <v>17721</v>
      </c>
      <c r="I71" s="414">
        <f t="shared" si="9"/>
        <v>20766072.827836014</v>
      </c>
      <c r="J71" s="28">
        <f t="shared" si="6"/>
        <v>-841223.32316398621</v>
      </c>
      <c r="K71" s="36">
        <f t="shared" si="7"/>
        <v>-3.8932373457798597E-2</v>
      </c>
      <c r="L71" s="416">
        <f t="shared" si="8"/>
        <v>3.8932373457798597E-2</v>
      </c>
    </row>
    <row r="72" spans="1:13">
      <c r="A72" s="413">
        <v>43404</v>
      </c>
      <c r="B72" s="414">
        <f>Inputs!D93</f>
        <v>21087346.497000001</v>
      </c>
      <c r="C72" s="414">
        <v>289.40000000000003</v>
      </c>
      <c r="D72" s="414">
        <v>8.1999999999999993</v>
      </c>
      <c r="E72" s="414">
        <v>31</v>
      </c>
      <c r="F72" s="264">
        <v>1</v>
      </c>
      <c r="G72" s="264">
        <v>0</v>
      </c>
      <c r="H72" s="414">
        <f>Inputs!G93+Inputs!I93+Inputs!L93+Inputs!X93</f>
        <v>17814</v>
      </c>
      <c r="I72" s="414">
        <f t="shared" si="9"/>
        <v>21365428.227517284</v>
      </c>
      <c r="J72" s="28">
        <f t="shared" si="6"/>
        <v>278081.73051728308</v>
      </c>
      <c r="K72" s="36">
        <f t="shared" si="7"/>
        <v>1.3187137156248866E-2</v>
      </c>
      <c r="L72" s="416">
        <f t="shared" si="8"/>
        <v>1.3187137156248866E-2</v>
      </c>
    </row>
    <row r="73" spans="1:13">
      <c r="A73" s="413">
        <v>43434</v>
      </c>
      <c r="B73" s="414">
        <f>Inputs!D94</f>
        <v>23149553.112999998</v>
      </c>
      <c r="C73" s="414">
        <v>494.1</v>
      </c>
      <c r="D73" s="414">
        <v>0</v>
      </c>
      <c r="E73" s="414">
        <v>30</v>
      </c>
      <c r="F73" s="264">
        <v>0</v>
      </c>
      <c r="G73" s="264">
        <v>0</v>
      </c>
      <c r="H73" s="414">
        <f>Inputs!G94+Inputs!I94+Inputs!L94+Inputs!X94</f>
        <v>17905</v>
      </c>
      <c r="I73" s="414">
        <f t="shared" si="9"/>
        <v>23731410.622053076</v>
      </c>
      <c r="J73" s="28">
        <f t="shared" si="6"/>
        <v>581857.50905307755</v>
      </c>
      <c r="K73" s="36">
        <f t="shared" si="7"/>
        <v>2.5134718852362046E-2</v>
      </c>
      <c r="L73" s="416">
        <f t="shared" si="8"/>
        <v>2.5134718852362046E-2</v>
      </c>
    </row>
    <row r="74" spans="1:13">
      <c r="A74" s="413">
        <v>43465</v>
      </c>
      <c r="B74" s="414">
        <f>Inputs!D95</f>
        <v>25358955.434999999</v>
      </c>
      <c r="C74" s="414">
        <v>563.60000000000014</v>
      </c>
      <c r="D74" s="414">
        <v>0</v>
      </c>
      <c r="E74" s="414">
        <v>31</v>
      </c>
      <c r="F74" s="264">
        <v>0</v>
      </c>
      <c r="G74" s="264">
        <v>0</v>
      </c>
      <c r="H74" s="414">
        <f>Inputs!G95+Inputs!I95+Inputs!L95+Inputs!X95</f>
        <v>18163</v>
      </c>
      <c r="I74" s="414">
        <f t="shared" si="9"/>
        <v>25443666.673783898</v>
      </c>
      <c r="J74" s="28">
        <f t="shared" si="6"/>
        <v>84711.238783899695</v>
      </c>
      <c r="K74" s="36">
        <f t="shared" si="7"/>
        <v>3.3404861253465783E-3</v>
      </c>
      <c r="L74" s="416">
        <f t="shared" si="8"/>
        <v>3.3404861253465783E-3</v>
      </c>
    </row>
    <row r="75" spans="1:13">
      <c r="A75" s="413">
        <v>43496</v>
      </c>
      <c r="B75" s="414">
        <f>Inputs!D96</f>
        <v>27894969.359999999</v>
      </c>
      <c r="C75" s="414">
        <v>764.5</v>
      </c>
      <c r="D75" s="414">
        <v>0</v>
      </c>
      <c r="E75" s="414">
        <v>31</v>
      </c>
      <c r="F75" s="264">
        <v>0</v>
      </c>
      <c r="G75" s="264">
        <v>0</v>
      </c>
      <c r="H75" s="414">
        <f>Inputs!G96+Inputs!I96+Inputs!L96+Inputs!X96</f>
        <v>18297</v>
      </c>
      <c r="I75" s="414">
        <f t="shared" si="9"/>
        <v>28090118.112343349</v>
      </c>
      <c r="J75" s="28">
        <f t="shared" si="6"/>
        <v>195148.75234334916</v>
      </c>
      <c r="K75" s="36">
        <f t="shared" si="7"/>
        <v>6.9958403547552474E-3</v>
      </c>
      <c r="L75" s="416">
        <f t="shared" si="8"/>
        <v>6.9958403547552474E-3</v>
      </c>
      <c r="M75" s="37"/>
    </row>
    <row r="76" spans="1:13">
      <c r="A76" s="413">
        <v>43524</v>
      </c>
      <c r="B76" s="414">
        <f>Inputs!D97</f>
        <v>24435650.726</v>
      </c>
      <c r="C76" s="414">
        <v>621.70000000000016</v>
      </c>
      <c r="D76" s="414">
        <v>0</v>
      </c>
      <c r="E76" s="414">
        <v>28</v>
      </c>
      <c r="F76" s="264">
        <v>0</v>
      </c>
      <c r="G76" s="264">
        <v>0</v>
      </c>
      <c r="H76" s="414">
        <f>Inputs!G97+Inputs!I97+Inputs!L97+Inputs!X97</f>
        <v>18379</v>
      </c>
      <c r="I76" s="414">
        <f t="shared" si="9"/>
        <v>24457691.132590469</v>
      </c>
      <c r="J76" s="28">
        <f t="shared" si="6"/>
        <v>22040.406590469182</v>
      </c>
      <c r="K76" s="36">
        <f t="shared" si="7"/>
        <v>9.0197747699093469E-4</v>
      </c>
      <c r="L76" s="416">
        <f t="shared" si="8"/>
        <v>9.0197747699093469E-4</v>
      </c>
    </row>
    <row r="77" spans="1:13">
      <c r="A77" s="413">
        <v>43555</v>
      </c>
      <c r="B77" s="414">
        <f>Inputs!D98</f>
        <v>25143357.008000001</v>
      </c>
      <c r="C77" s="414">
        <v>593.90000000000009</v>
      </c>
      <c r="D77" s="414">
        <v>0</v>
      </c>
      <c r="E77" s="414">
        <v>31</v>
      </c>
      <c r="F77" s="264">
        <v>1</v>
      </c>
      <c r="G77" s="264">
        <v>0</v>
      </c>
      <c r="H77" s="414">
        <f>Inputs!G98+Inputs!I98+Inputs!L98+Inputs!X98</f>
        <v>18470</v>
      </c>
      <c r="I77" s="414">
        <f t="shared" si="9"/>
        <v>25348750.94959949</v>
      </c>
      <c r="J77" s="28">
        <f t="shared" si="6"/>
        <v>205393.94159948826</v>
      </c>
      <c r="K77" s="36">
        <f t="shared" si="7"/>
        <v>8.1689148165114515E-3</v>
      </c>
      <c r="L77" s="416">
        <f t="shared" si="8"/>
        <v>8.1689148165114515E-3</v>
      </c>
    </row>
    <row r="78" spans="1:13">
      <c r="A78" s="413">
        <v>43585</v>
      </c>
      <c r="B78" s="414">
        <f>Inputs!D99</f>
        <v>21419957.239</v>
      </c>
      <c r="C78" s="414">
        <v>346.8</v>
      </c>
      <c r="D78" s="414">
        <v>0</v>
      </c>
      <c r="E78" s="414">
        <v>30</v>
      </c>
      <c r="F78" s="264">
        <v>1</v>
      </c>
      <c r="G78" s="264">
        <v>0</v>
      </c>
      <c r="H78" s="414">
        <f>Inputs!G99+Inputs!I99+Inputs!L99+Inputs!X99</f>
        <v>18479</v>
      </c>
      <c r="I78" s="414">
        <f t="shared" si="9"/>
        <v>21600183.97807616</v>
      </c>
      <c r="J78" s="28">
        <f t="shared" si="6"/>
        <v>180226.73907615989</v>
      </c>
      <c r="K78" s="36">
        <f t="shared" si="7"/>
        <v>8.4139635324768682E-3</v>
      </c>
      <c r="L78" s="416">
        <f t="shared" si="8"/>
        <v>8.4139635324768682E-3</v>
      </c>
    </row>
    <row r="79" spans="1:13">
      <c r="A79" s="413">
        <v>43616</v>
      </c>
      <c r="B79" s="414">
        <f>Inputs!D100</f>
        <v>20126479.741</v>
      </c>
      <c r="C79" s="414">
        <v>189.94999999999996</v>
      </c>
      <c r="D79" s="414">
        <v>0</v>
      </c>
      <c r="E79" s="414">
        <v>31</v>
      </c>
      <c r="F79" s="264">
        <v>1</v>
      </c>
      <c r="G79" s="264">
        <v>0</v>
      </c>
      <c r="H79" s="414">
        <f>Inputs!G100+Inputs!I100+Inputs!L100+Inputs!X100</f>
        <v>18491</v>
      </c>
      <c r="I79" s="414">
        <f t="shared" si="9"/>
        <v>20255987.703666743</v>
      </c>
      <c r="J79" s="28">
        <f t="shared" si="6"/>
        <v>129507.9626667425</v>
      </c>
      <c r="K79" s="36">
        <f t="shared" si="7"/>
        <v>6.4347051413526429E-3</v>
      </c>
      <c r="L79" s="416">
        <f t="shared" si="8"/>
        <v>6.4347051413526429E-3</v>
      </c>
    </row>
    <row r="80" spans="1:13">
      <c r="A80" s="413">
        <v>43646</v>
      </c>
      <c r="B80" s="414">
        <f>Inputs!D101</f>
        <v>20273580.334999997</v>
      </c>
      <c r="C80" s="414">
        <v>35.5</v>
      </c>
      <c r="D80" s="414">
        <v>41.300000000000004</v>
      </c>
      <c r="E80" s="414">
        <v>30</v>
      </c>
      <c r="F80" s="264">
        <v>0</v>
      </c>
      <c r="G80" s="264">
        <v>0</v>
      </c>
      <c r="H80" s="414">
        <f>Inputs!G101+Inputs!I101+Inputs!L101+Inputs!X101</f>
        <v>18503</v>
      </c>
      <c r="I80" s="414">
        <f t="shared" si="9"/>
        <v>20335896.556590162</v>
      </c>
      <c r="J80" s="28">
        <f t="shared" si="6"/>
        <v>62316.221590165049</v>
      </c>
      <c r="K80" s="36">
        <f t="shared" si="7"/>
        <v>3.0737649966337361E-3</v>
      </c>
      <c r="L80" s="416">
        <f t="shared" si="8"/>
        <v>3.0737649966337361E-3</v>
      </c>
    </row>
    <row r="81" spans="1:13">
      <c r="A81" s="413">
        <v>43677</v>
      </c>
      <c r="B81" s="414">
        <f>Inputs!D102</f>
        <v>26858420.012999997</v>
      </c>
      <c r="C81" s="414">
        <v>0</v>
      </c>
      <c r="D81" s="414">
        <v>166.90000000000003</v>
      </c>
      <c r="E81" s="414">
        <v>31</v>
      </c>
      <c r="F81" s="264">
        <v>0</v>
      </c>
      <c r="G81" s="264">
        <v>0</v>
      </c>
      <c r="H81" s="414">
        <f>Inputs!G102+Inputs!I102+Inputs!L102+Inputs!X102</f>
        <v>18533</v>
      </c>
      <c r="I81" s="414">
        <f t="shared" si="9"/>
        <v>26424159.40132542</v>
      </c>
      <c r="J81" s="28">
        <f t="shared" si="6"/>
        <v>-434260.611674577</v>
      </c>
      <c r="K81" s="36">
        <f t="shared" si="7"/>
        <v>-1.6168509222224778E-2</v>
      </c>
      <c r="L81" s="416">
        <f t="shared" si="8"/>
        <v>1.6168509222224778E-2</v>
      </c>
      <c r="M81"/>
    </row>
    <row r="82" spans="1:13">
      <c r="A82" s="413">
        <v>43708</v>
      </c>
      <c r="B82" s="414">
        <f>Inputs!D103</f>
        <v>23828311.434</v>
      </c>
      <c r="C82" s="414">
        <v>0.89999999999999991</v>
      </c>
      <c r="D82" s="414">
        <v>103.30000000000003</v>
      </c>
      <c r="E82" s="414">
        <v>31</v>
      </c>
      <c r="F82" s="264">
        <v>0</v>
      </c>
      <c r="G82" s="264">
        <v>0</v>
      </c>
      <c r="H82" s="414">
        <f>Inputs!G103+Inputs!I103+Inputs!L103+Inputs!X103</f>
        <v>18539</v>
      </c>
      <c r="I82" s="414">
        <f t="shared" si="9"/>
        <v>23461074.39365134</v>
      </c>
      <c r="J82" s="28">
        <f t="shared" si="6"/>
        <v>-367237.0403486602</v>
      </c>
      <c r="K82" s="36">
        <f t="shared" si="7"/>
        <v>-1.5411794552284523E-2</v>
      </c>
      <c r="L82" s="416">
        <f t="shared" si="8"/>
        <v>1.5411794552284523E-2</v>
      </c>
      <c r="M82"/>
    </row>
    <row r="83" spans="1:13">
      <c r="A83" s="413">
        <v>43738</v>
      </c>
      <c r="B83" s="414">
        <f>Inputs!D104</f>
        <v>19656048.893999998</v>
      </c>
      <c r="C83" s="414">
        <v>38.400000000000006</v>
      </c>
      <c r="D83" s="414">
        <v>25.400000000000002</v>
      </c>
      <c r="E83" s="414">
        <v>30</v>
      </c>
      <c r="F83" s="264">
        <v>1</v>
      </c>
      <c r="G83" s="264">
        <v>0</v>
      </c>
      <c r="H83" s="414">
        <f>Inputs!G104+Inputs!I104+Inputs!L104+Inputs!X104</f>
        <v>18550</v>
      </c>
      <c r="I83" s="414">
        <f t="shared" si="9"/>
        <v>18945098.784957886</v>
      </c>
      <c r="J83" s="28">
        <f t="shared" si="6"/>
        <v>-710950.10904211178</v>
      </c>
      <c r="K83" s="36">
        <f t="shared" si="7"/>
        <v>-3.6169532995979116E-2</v>
      </c>
      <c r="L83" s="416">
        <f t="shared" si="8"/>
        <v>3.6169532995979116E-2</v>
      </c>
      <c r="M83"/>
    </row>
    <row r="84" spans="1:13">
      <c r="A84" s="413">
        <v>43769</v>
      </c>
      <c r="B84" s="414">
        <f>Inputs!D105</f>
        <v>20804823.366999999</v>
      </c>
      <c r="C84" s="414">
        <v>236.5</v>
      </c>
      <c r="D84" s="414">
        <v>5.0999999999999996</v>
      </c>
      <c r="E84" s="414">
        <v>31</v>
      </c>
      <c r="F84" s="264">
        <v>1</v>
      </c>
      <c r="G84" s="264">
        <v>0</v>
      </c>
      <c r="H84" s="414">
        <f>Inputs!G105+Inputs!I105+Inputs!L105+Inputs!X105</f>
        <v>18558</v>
      </c>
      <c r="I84" s="414">
        <f t="shared" si="9"/>
        <v>21136367.01996237</v>
      </c>
      <c r="J84" s="28">
        <f t="shared" si="6"/>
        <v>331543.65296237171</v>
      </c>
      <c r="K84" s="36">
        <f t="shared" si="7"/>
        <v>1.5935903281363906E-2</v>
      </c>
      <c r="L84" s="416">
        <f t="shared" si="8"/>
        <v>1.5935903281363906E-2</v>
      </c>
      <c r="M84"/>
    </row>
    <row r="85" spans="1:13">
      <c r="A85" s="413">
        <v>43799</v>
      </c>
      <c r="B85" s="414">
        <f>Inputs!D106</f>
        <v>23741040.090999998</v>
      </c>
      <c r="C85" s="414">
        <v>513.30000000000007</v>
      </c>
      <c r="D85" s="414">
        <v>0</v>
      </c>
      <c r="E85" s="414">
        <v>30</v>
      </c>
      <c r="F85" s="264">
        <v>0</v>
      </c>
      <c r="G85" s="264">
        <v>0</v>
      </c>
      <c r="H85" s="414">
        <f>Inputs!G106+Inputs!I106+Inputs!L106+Inputs!X106</f>
        <v>18575</v>
      </c>
      <c r="I85" s="414">
        <f t="shared" si="9"/>
        <v>24501294.158699591</v>
      </c>
      <c r="J85" s="28">
        <f t="shared" si="6"/>
        <v>760254.06769959256</v>
      </c>
      <c r="K85" s="36">
        <f t="shared" si="7"/>
        <v>3.2022778479187088E-2</v>
      </c>
      <c r="L85" s="416">
        <f t="shared" si="8"/>
        <v>3.2022778479187088E-2</v>
      </c>
      <c r="M85"/>
    </row>
    <row r="86" spans="1:13">
      <c r="A86" s="413">
        <v>43830</v>
      </c>
      <c r="B86" s="414">
        <f>Inputs!D107</f>
        <v>26398898.682</v>
      </c>
      <c r="C86" s="414">
        <v>582.4</v>
      </c>
      <c r="D86" s="414">
        <v>0</v>
      </c>
      <c r="E86" s="414">
        <v>31</v>
      </c>
      <c r="F86" s="264">
        <v>0</v>
      </c>
      <c r="G86" s="264">
        <v>0</v>
      </c>
      <c r="H86" s="414">
        <f>Inputs!G107+Inputs!I107+Inputs!L107+Inputs!X107</f>
        <v>18632</v>
      </c>
      <c r="I86" s="414">
        <f t="shared" si="9"/>
        <v>26050380.057380199</v>
      </c>
      <c r="J86" s="28">
        <f t="shared" si="6"/>
        <v>-348518.6246198006</v>
      </c>
      <c r="K86" s="36">
        <f t="shared" si="7"/>
        <v>-1.3202013796789062E-2</v>
      </c>
      <c r="L86" s="416">
        <f t="shared" si="8"/>
        <v>1.3202013796789062E-2</v>
      </c>
      <c r="M86"/>
    </row>
    <row r="87" spans="1:13">
      <c r="A87" s="413">
        <v>43861</v>
      </c>
      <c r="B87" s="414">
        <f>Inputs!D108</f>
        <v>26523401.686000001</v>
      </c>
      <c r="C87" s="414">
        <v>605</v>
      </c>
      <c r="D87" s="414">
        <v>0</v>
      </c>
      <c r="E87" s="414">
        <v>31</v>
      </c>
      <c r="F87" s="264">
        <v>0</v>
      </c>
      <c r="G87" s="264">
        <v>0</v>
      </c>
      <c r="H87" s="414">
        <f>Inputs!G108+Inputs!I108+Inputs!L108+Inputs!X108</f>
        <v>18667</v>
      </c>
      <c r="I87" s="414">
        <f t="shared" si="9"/>
        <v>26363763.458310477</v>
      </c>
      <c r="J87" s="28">
        <f t="shared" si="6"/>
        <v>-159638.22768952325</v>
      </c>
      <c r="K87" s="36">
        <f t="shared" si="7"/>
        <v>-6.0187689942420176E-3</v>
      </c>
      <c r="L87" s="416">
        <f t="shared" si="8"/>
        <v>6.0187689942420176E-3</v>
      </c>
      <c r="M87"/>
    </row>
    <row r="88" spans="1:13">
      <c r="A88" s="413">
        <v>43890</v>
      </c>
      <c r="B88" s="414">
        <f>Inputs!D109</f>
        <v>24898397.280999999</v>
      </c>
      <c r="C88" s="414">
        <v>611.79999999999995</v>
      </c>
      <c r="D88" s="414">
        <v>0</v>
      </c>
      <c r="E88" s="414">
        <v>29</v>
      </c>
      <c r="F88" s="264">
        <v>0</v>
      </c>
      <c r="G88" s="264">
        <v>0</v>
      </c>
      <c r="H88" s="414">
        <f>Inputs!G109+Inputs!I109+Inputs!L109+Inputs!X109</f>
        <v>18677</v>
      </c>
      <c r="I88" s="414">
        <f t="shared" si="9"/>
        <v>25197136.710987888</v>
      </c>
      <c r="J88" s="28">
        <f t="shared" si="6"/>
        <v>298739.42998788878</v>
      </c>
      <c r="K88" s="36">
        <f t="shared" si="7"/>
        <v>1.199833975722836E-2</v>
      </c>
      <c r="L88" s="416">
        <f t="shared" si="8"/>
        <v>1.199833975722836E-2</v>
      </c>
      <c r="M88"/>
    </row>
    <row r="89" spans="1:13">
      <c r="A89" s="413">
        <v>43921</v>
      </c>
      <c r="B89" s="414">
        <f>Inputs!D110</f>
        <v>24574269.381999999</v>
      </c>
      <c r="C89" s="414">
        <v>458.69999999999993</v>
      </c>
      <c r="D89" s="414">
        <v>0</v>
      </c>
      <c r="E89" s="414">
        <v>31</v>
      </c>
      <c r="F89" s="264">
        <v>1</v>
      </c>
      <c r="G89" s="264">
        <v>1</v>
      </c>
      <c r="H89" s="414">
        <f>Inputs!G110+Inputs!I110+Inputs!L110+Inputs!X110</f>
        <v>18694</v>
      </c>
      <c r="I89" s="414">
        <f t="shared" si="9"/>
        <v>24400064.721192278</v>
      </c>
      <c r="J89" s="28">
        <f t="shared" si="6"/>
        <v>-174204.66080772132</v>
      </c>
      <c r="K89" s="36">
        <f t="shared" si="7"/>
        <v>-7.0889049883746131E-3</v>
      </c>
      <c r="L89" s="416">
        <f t="shared" si="8"/>
        <v>7.0889049883746131E-3</v>
      </c>
      <c r="M89"/>
    </row>
    <row r="90" spans="1:13">
      <c r="A90" s="413">
        <v>43951</v>
      </c>
      <c r="B90" s="414">
        <f>Inputs!D111</f>
        <v>21967925.707000002</v>
      </c>
      <c r="C90" s="414">
        <v>362.2999999999999</v>
      </c>
      <c r="D90" s="414">
        <v>0</v>
      </c>
      <c r="E90" s="414">
        <v>30</v>
      </c>
      <c r="F90" s="264">
        <v>1</v>
      </c>
      <c r="G90" s="264">
        <v>1</v>
      </c>
      <c r="H90" s="414">
        <f>Inputs!G111+Inputs!I111+Inputs!L111+Inputs!X111</f>
        <v>18694</v>
      </c>
      <c r="I90" s="414">
        <f t="shared" si="9"/>
        <v>22550517.530927699</v>
      </c>
      <c r="J90" s="28">
        <f t="shared" si="6"/>
        <v>582591.82392769679</v>
      </c>
      <c r="K90" s="36">
        <f t="shared" si="7"/>
        <v>2.652011080600368E-2</v>
      </c>
      <c r="L90" s="416">
        <f t="shared" si="8"/>
        <v>2.652011080600368E-2</v>
      </c>
      <c r="M90"/>
    </row>
    <row r="91" spans="1:13">
      <c r="A91" s="413">
        <v>43982</v>
      </c>
      <c r="B91" s="414">
        <f>Inputs!D112</f>
        <v>21748680.120000001</v>
      </c>
      <c r="C91" s="414">
        <v>208.09999999999997</v>
      </c>
      <c r="D91" s="414">
        <v>24.2</v>
      </c>
      <c r="E91" s="414">
        <v>31</v>
      </c>
      <c r="F91" s="264">
        <v>1</v>
      </c>
      <c r="G91" s="264">
        <v>1</v>
      </c>
      <c r="H91" s="414">
        <f>Inputs!G112+Inputs!I112+Inputs!L112+Inputs!X112</f>
        <v>18713</v>
      </c>
      <c r="I91" s="414">
        <f t="shared" si="9"/>
        <v>22378936.090154886</v>
      </c>
      <c r="J91" s="28">
        <f t="shared" si="6"/>
        <v>630255.9701548852</v>
      </c>
      <c r="K91" s="36">
        <f t="shared" si="7"/>
        <v>2.8979044552469382E-2</v>
      </c>
      <c r="L91" s="416">
        <f t="shared" si="8"/>
        <v>2.8979044552469382E-2</v>
      </c>
      <c r="M91"/>
    </row>
    <row r="92" spans="1:13">
      <c r="A92" s="413">
        <v>44012</v>
      </c>
      <c r="B92" s="414">
        <f>Inputs!D113</f>
        <v>23703342.888</v>
      </c>
      <c r="C92" s="414">
        <v>23.799999999999997</v>
      </c>
      <c r="D92" s="414">
        <v>97.700000000000017</v>
      </c>
      <c r="E92" s="414">
        <v>30</v>
      </c>
      <c r="F92" s="264">
        <v>0</v>
      </c>
      <c r="G92" s="264">
        <v>1</v>
      </c>
      <c r="H92" s="414">
        <f>Inputs!G113+Inputs!I113+Inputs!L113+Inputs!X113</f>
        <v>18751</v>
      </c>
      <c r="I92" s="414">
        <f t="shared" si="9"/>
        <v>23610076.360796846</v>
      </c>
      <c r="J92" s="28">
        <f t="shared" si="6"/>
        <v>-93266.527203153819</v>
      </c>
      <c r="K92" s="36">
        <f t="shared" si="7"/>
        <v>-3.9347415106740372E-3</v>
      </c>
      <c r="L92" s="416">
        <f t="shared" si="8"/>
        <v>3.9347415106740372E-3</v>
      </c>
      <c r="M92"/>
    </row>
    <row r="93" spans="1:13">
      <c r="A93" s="413">
        <v>44043</v>
      </c>
      <c r="B93" s="414">
        <f>Inputs!D114</f>
        <v>29815954.280999999</v>
      </c>
      <c r="C93" s="414">
        <v>0</v>
      </c>
      <c r="D93" s="414">
        <v>215.7</v>
      </c>
      <c r="E93" s="414">
        <v>31</v>
      </c>
      <c r="F93" s="264">
        <v>0</v>
      </c>
      <c r="G93" s="264">
        <v>1</v>
      </c>
      <c r="H93" s="414">
        <f>Inputs!G114+Inputs!I114+Inputs!L114+Inputs!X114</f>
        <v>18765</v>
      </c>
      <c r="I93" s="414">
        <f t="shared" si="9"/>
        <v>29477734.799964733</v>
      </c>
      <c r="J93" s="28">
        <f t="shared" si="6"/>
        <v>-338219.48103526607</v>
      </c>
      <c r="K93" s="36">
        <f t="shared" si="7"/>
        <v>-1.1343573908375423E-2</v>
      </c>
      <c r="L93" s="416">
        <f t="shared" si="8"/>
        <v>1.1343573908375423E-2</v>
      </c>
      <c r="M93"/>
    </row>
    <row r="94" spans="1:13">
      <c r="A94" s="413">
        <v>44074</v>
      </c>
      <c r="B94" s="414">
        <f>Inputs!D115</f>
        <v>26121737.241</v>
      </c>
      <c r="C94" s="414">
        <v>0.8</v>
      </c>
      <c r="D94" s="414">
        <v>126.69999999999999</v>
      </c>
      <c r="E94" s="414">
        <v>31</v>
      </c>
      <c r="F94" s="264">
        <v>0</v>
      </c>
      <c r="G94" s="264">
        <v>1</v>
      </c>
      <c r="H94" s="414">
        <f>Inputs!G115+Inputs!I115+Inputs!L115+Inputs!X115</f>
        <v>18798</v>
      </c>
      <c r="I94" s="414">
        <f t="shared" si="9"/>
        <v>25344822.150677137</v>
      </c>
      <c r="J94" s="28">
        <f t="shared" si="6"/>
        <v>-776915.09032286331</v>
      </c>
      <c r="K94" s="36">
        <f t="shared" si="7"/>
        <v>-2.9742091161664302E-2</v>
      </c>
      <c r="L94" s="416">
        <f t="shared" si="8"/>
        <v>2.9742091161664302E-2</v>
      </c>
      <c r="M94"/>
    </row>
    <row r="95" spans="1:13">
      <c r="A95" s="413">
        <v>44104</v>
      </c>
      <c r="B95" s="414">
        <f>Inputs!D116</f>
        <v>20682425.02699</v>
      </c>
      <c r="C95" s="414">
        <v>69.100000000000009</v>
      </c>
      <c r="D95" s="414">
        <v>33.300000000000004</v>
      </c>
      <c r="E95" s="414">
        <v>30</v>
      </c>
      <c r="F95" s="264">
        <v>1</v>
      </c>
      <c r="G95" s="264">
        <v>1</v>
      </c>
      <c r="H95" s="414">
        <f>Inputs!G116+Inputs!I116+Inputs!L116+Inputs!X116</f>
        <v>18823</v>
      </c>
      <c r="I95" s="414">
        <f t="shared" si="9"/>
        <v>20503366.972237453</v>
      </c>
      <c r="J95" s="28">
        <f t="shared" si="6"/>
        <v>-179058.05475254729</v>
      </c>
      <c r="K95" s="36">
        <f t="shared" si="7"/>
        <v>-8.6574980699256222E-3</v>
      </c>
      <c r="L95" s="416">
        <f t="shared" si="8"/>
        <v>8.6574980699256222E-3</v>
      </c>
      <c r="M95"/>
    </row>
    <row r="96" spans="1:13">
      <c r="A96" s="413">
        <v>44135</v>
      </c>
      <c r="B96" s="414">
        <f>Inputs!D117</f>
        <v>21791036.214000002</v>
      </c>
      <c r="C96" s="414">
        <v>270.3</v>
      </c>
      <c r="D96" s="414">
        <v>0</v>
      </c>
      <c r="E96" s="414">
        <v>31</v>
      </c>
      <c r="F96" s="264">
        <v>1</v>
      </c>
      <c r="G96" s="264">
        <v>1</v>
      </c>
      <c r="H96" s="414">
        <f>Inputs!G117+Inputs!I117+Inputs!L117+Inputs!X117</f>
        <v>18970</v>
      </c>
      <c r="I96" s="414">
        <f t="shared" si="9"/>
        <v>22234231.71068754</v>
      </c>
      <c r="J96" s="28">
        <f t="shared" si="6"/>
        <v>443195.49668753892</v>
      </c>
      <c r="K96" s="36">
        <f t="shared" si="7"/>
        <v>2.0338431469486561E-2</v>
      </c>
      <c r="L96" s="416">
        <f t="shared" si="8"/>
        <v>2.0338431469486561E-2</v>
      </c>
      <c r="M96"/>
    </row>
    <row r="97" spans="1:13">
      <c r="A97" s="413">
        <v>44165</v>
      </c>
      <c r="B97" s="414">
        <f>Inputs!D118</f>
        <v>22640626.522999998</v>
      </c>
      <c r="C97" s="414">
        <v>334.79999999999995</v>
      </c>
      <c r="D97" s="414">
        <v>0</v>
      </c>
      <c r="E97" s="414">
        <v>30</v>
      </c>
      <c r="F97" s="264">
        <v>0</v>
      </c>
      <c r="G97" s="264">
        <v>1</v>
      </c>
      <c r="H97" s="414">
        <f>Inputs!G118+Inputs!I118+Inputs!L118+Inputs!X118</f>
        <v>18969</v>
      </c>
      <c r="I97" s="414">
        <f t="shared" si="9"/>
        <v>23138661.958112624</v>
      </c>
      <c r="J97" s="28">
        <f t="shared" si="6"/>
        <v>498035.43511262536</v>
      </c>
      <c r="K97" s="36">
        <f t="shared" si="7"/>
        <v>2.1997422845462543E-2</v>
      </c>
      <c r="L97" s="416">
        <f t="shared" si="8"/>
        <v>2.1997422845462543E-2</v>
      </c>
      <c r="M97"/>
    </row>
    <row r="98" spans="1:13">
      <c r="A98" s="413">
        <v>44196</v>
      </c>
      <c r="B98" s="414">
        <f>Inputs!D119</f>
        <v>26936455.295999996</v>
      </c>
      <c r="C98" s="414">
        <v>567.29999999999995</v>
      </c>
      <c r="D98" s="414">
        <v>0</v>
      </c>
      <c r="E98" s="414">
        <v>31</v>
      </c>
      <c r="F98" s="264">
        <v>0</v>
      </c>
      <c r="G98" s="264">
        <v>1</v>
      </c>
      <c r="H98" s="414">
        <f>Inputs!G119+Inputs!I119+Inputs!L119+Inputs!X119</f>
        <v>19281</v>
      </c>
      <c r="I98" s="414">
        <f t="shared" si="9"/>
        <v>26955069.053179059</v>
      </c>
      <c r="J98" s="28">
        <f t="shared" si="6"/>
        <v>18613.757179062814</v>
      </c>
      <c r="K98" s="36">
        <f t="shared" si="7"/>
        <v>6.910247460001508E-4</v>
      </c>
      <c r="L98" s="416">
        <f t="shared" si="8"/>
        <v>6.910247460001508E-4</v>
      </c>
      <c r="M98"/>
    </row>
    <row r="99" spans="1:13">
      <c r="A99" s="413">
        <v>44227</v>
      </c>
      <c r="B99" s="414">
        <f>Inputs!D120</f>
        <v>27383194.68</v>
      </c>
      <c r="C99" s="417">
        <v>642.64999999999986</v>
      </c>
      <c r="D99" s="417">
        <v>0</v>
      </c>
      <c r="E99" s="414">
        <v>31</v>
      </c>
      <c r="F99" s="264">
        <v>0</v>
      </c>
      <c r="G99" s="264">
        <v>1</v>
      </c>
      <c r="H99" s="414">
        <f>Inputs!G120+Inputs!I120+Inputs!L120+Inputs!X120</f>
        <v>19312</v>
      </c>
      <c r="I99" s="414">
        <f t="shared" si="9"/>
        <v>27932503.991173841</v>
      </c>
      <c r="J99" s="28">
        <f t="shared" ref="J99:J122" si="10">I99-B99</f>
        <v>549309.31117384136</v>
      </c>
      <c r="K99" s="36">
        <f t="shared" ref="K99:K122" si="11">J99/B99</f>
        <v>2.0060088590577896E-2</v>
      </c>
      <c r="L99" s="416">
        <f t="shared" si="8"/>
        <v>2.0060088590577896E-2</v>
      </c>
      <c r="M99"/>
    </row>
    <row r="100" spans="1:13">
      <c r="A100" s="413">
        <v>44255</v>
      </c>
      <c r="B100" s="414">
        <f>Inputs!D121</f>
        <v>26118374.440000001</v>
      </c>
      <c r="C100" s="417">
        <v>653</v>
      </c>
      <c r="D100" s="417">
        <v>0</v>
      </c>
      <c r="E100" s="414">
        <v>28</v>
      </c>
      <c r="F100" s="264">
        <v>0</v>
      </c>
      <c r="G100" s="264">
        <v>1</v>
      </c>
      <c r="H100" s="414">
        <f>Inputs!G121+Inputs!I121+Inputs!L121+Inputs!X121</f>
        <v>19328</v>
      </c>
      <c r="I100" s="414">
        <f t="shared" si="9"/>
        <v>26185247.736800626</v>
      </c>
      <c r="J100" s="28">
        <f t="shared" si="10"/>
        <v>66873.296800624579</v>
      </c>
      <c r="K100" s="36">
        <f t="shared" si="11"/>
        <v>2.5603927592909022E-3</v>
      </c>
      <c r="L100" s="416">
        <f t="shared" si="8"/>
        <v>2.5603927592909022E-3</v>
      </c>
      <c r="M100"/>
    </row>
    <row r="101" spans="1:13">
      <c r="A101" s="413">
        <v>44286</v>
      </c>
      <c r="B101" s="414">
        <f>Inputs!D122</f>
        <v>25209899.25</v>
      </c>
      <c r="C101" s="417">
        <v>460.70000000000005</v>
      </c>
      <c r="D101" s="417">
        <v>0</v>
      </c>
      <c r="E101" s="414">
        <v>31</v>
      </c>
      <c r="F101" s="264">
        <v>1</v>
      </c>
      <c r="G101" s="264">
        <v>1</v>
      </c>
      <c r="H101" s="414">
        <f>Inputs!G122+Inputs!I122+Inputs!L122+Inputs!X122</f>
        <v>19349</v>
      </c>
      <c r="I101" s="414">
        <f t="shared" si="9"/>
        <v>24940598.118052024</v>
      </c>
      <c r="J101" s="28">
        <f t="shared" si="10"/>
        <v>-269301.13194797561</v>
      </c>
      <c r="K101" s="36">
        <f t="shared" si="11"/>
        <v>-1.0682356532939164E-2</v>
      </c>
      <c r="L101" s="416">
        <f t="shared" si="8"/>
        <v>1.0682356532939164E-2</v>
      </c>
      <c r="M101"/>
    </row>
    <row r="102" spans="1:13">
      <c r="A102" s="413">
        <v>44316</v>
      </c>
      <c r="B102" s="414">
        <f>Inputs!D123</f>
        <v>21444082.049999997</v>
      </c>
      <c r="C102" s="417">
        <v>302.39999999999998</v>
      </c>
      <c r="D102" s="417">
        <v>0</v>
      </c>
      <c r="E102" s="414">
        <v>30</v>
      </c>
      <c r="F102" s="264">
        <v>1</v>
      </c>
      <c r="G102" s="264">
        <v>1</v>
      </c>
      <c r="H102" s="414">
        <f>Inputs!G123+Inputs!I123+Inputs!L123+Inputs!X123</f>
        <v>19359</v>
      </c>
      <c r="I102" s="414">
        <f t="shared" si="9"/>
        <v>22315987.137992471</v>
      </c>
      <c r="J102" s="28">
        <f t="shared" si="10"/>
        <v>871905.08799247444</v>
      </c>
      <c r="K102" s="36">
        <f t="shared" si="11"/>
        <v>4.065947360019892E-2</v>
      </c>
      <c r="L102" s="416">
        <f t="shared" si="8"/>
        <v>4.065947360019892E-2</v>
      </c>
      <c r="M102"/>
    </row>
    <row r="103" spans="1:13">
      <c r="A103" s="413">
        <v>44347</v>
      </c>
      <c r="B103" s="414">
        <f>Inputs!D124</f>
        <v>21915007.870000001</v>
      </c>
      <c r="C103" s="417">
        <v>164.2</v>
      </c>
      <c r="D103" s="417">
        <v>27.9</v>
      </c>
      <c r="E103" s="414">
        <v>31</v>
      </c>
      <c r="F103" s="264">
        <v>1</v>
      </c>
      <c r="G103" s="264">
        <v>1</v>
      </c>
      <c r="H103" s="414">
        <f>Inputs!G124+Inputs!I124+Inputs!L124+Inputs!X124</f>
        <v>19529</v>
      </c>
      <c r="I103" s="414">
        <f t="shared" si="9"/>
        <v>22638875.888630379</v>
      </c>
      <c r="J103" s="28">
        <f t="shared" si="10"/>
        <v>723868.01863037795</v>
      </c>
      <c r="K103" s="36">
        <f t="shared" si="11"/>
        <v>3.3030698547970812E-2</v>
      </c>
      <c r="L103" s="416">
        <f t="shared" si="8"/>
        <v>3.3030698547970812E-2</v>
      </c>
      <c r="M103"/>
    </row>
    <row r="104" spans="1:13">
      <c r="A104" s="413">
        <v>44377</v>
      </c>
      <c r="B104" s="414">
        <f>Inputs!D125</f>
        <v>24946416.130000003</v>
      </c>
      <c r="C104" s="417">
        <v>7.0000000000000009</v>
      </c>
      <c r="D104" s="417">
        <v>121.99999999999999</v>
      </c>
      <c r="E104" s="414">
        <v>30</v>
      </c>
      <c r="F104" s="264">
        <v>0</v>
      </c>
      <c r="G104" s="264">
        <v>1</v>
      </c>
      <c r="H104" s="414">
        <f>Inputs!G125+Inputs!I125+Inputs!L125+Inputs!X125</f>
        <v>19556</v>
      </c>
      <c r="I104" s="414">
        <f t="shared" si="9"/>
        <v>25169089.545182824</v>
      </c>
      <c r="J104" s="28">
        <f t="shared" si="10"/>
        <v>222673.41518282145</v>
      </c>
      <c r="K104" s="36">
        <f t="shared" si="11"/>
        <v>8.9260683387318053E-3</v>
      </c>
      <c r="L104" s="416">
        <f t="shared" si="8"/>
        <v>8.9260683387318053E-3</v>
      </c>
      <c r="M104"/>
    </row>
    <row r="105" spans="1:13">
      <c r="A105" s="413">
        <v>44408</v>
      </c>
      <c r="B105" s="414">
        <f>Inputs!D126</f>
        <v>25413113.779999997</v>
      </c>
      <c r="C105" s="417">
        <v>4.4000000000000004</v>
      </c>
      <c r="D105" s="417">
        <v>105.75000000000001</v>
      </c>
      <c r="E105" s="414">
        <v>31</v>
      </c>
      <c r="F105" s="264">
        <v>0</v>
      </c>
      <c r="G105" s="264">
        <v>1</v>
      </c>
      <c r="H105" s="414">
        <f>Inputs!G126+Inputs!I126+Inputs!L126+Inputs!X126</f>
        <v>19599</v>
      </c>
      <c r="I105" s="414">
        <f t="shared" si="9"/>
        <v>25039087.416851774</v>
      </c>
      <c r="J105" s="28">
        <f t="shared" si="10"/>
        <v>-374026.36314822361</v>
      </c>
      <c r="K105" s="36">
        <f t="shared" si="11"/>
        <v>-1.4717848681832157E-2</v>
      </c>
      <c r="L105" s="416">
        <f t="shared" si="8"/>
        <v>1.4717848681832157E-2</v>
      </c>
      <c r="M105"/>
    </row>
    <row r="106" spans="1:13">
      <c r="A106" s="413">
        <v>44439</v>
      </c>
      <c r="B106" s="414">
        <f>Inputs!D127</f>
        <v>29121956.240000002</v>
      </c>
      <c r="C106" s="417">
        <v>0.85</v>
      </c>
      <c r="D106" s="417">
        <v>179</v>
      </c>
      <c r="E106" s="414">
        <v>31</v>
      </c>
      <c r="F106" s="264">
        <v>0</v>
      </c>
      <c r="G106" s="264">
        <v>1</v>
      </c>
      <c r="H106" s="414">
        <f>Inputs!G127+Inputs!I127+Inputs!L127+Inputs!X127</f>
        <v>19593</v>
      </c>
      <c r="I106" s="414">
        <f t="shared" si="9"/>
        <v>28420685.334772725</v>
      </c>
      <c r="J106" s="28">
        <f t="shared" si="10"/>
        <v>-701270.90522727743</v>
      </c>
      <c r="K106" s="36">
        <f t="shared" si="11"/>
        <v>-2.4080487569171534E-2</v>
      </c>
      <c r="L106" s="416">
        <f t="shared" si="8"/>
        <v>2.4080487569171534E-2</v>
      </c>
      <c r="M106"/>
    </row>
    <row r="107" spans="1:13">
      <c r="A107" s="413">
        <v>44469</v>
      </c>
      <c r="B107" s="414">
        <f>Inputs!D128</f>
        <v>21448441.290000003</v>
      </c>
      <c r="C107" s="417">
        <v>35.6</v>
      </c>
      <c r="D107" s="417">
        <v>24.900000000000002</v>
      </c>
      <c r="E107" s="414">
        <v>30</v>
      </c>
      <c r="F107" s="264">
        <v>1</v>
      </c>
      <c r="G107" s="264">
        <v>1</v>
      </c>
      <c r="H107" s="414">
        <f>Inputs!G128+Inputs!I128+Inputs!L128+Inputs!X128</f>
        <v>19629</v>
      </c>
      <c r="I107" s="414">
        <f t="shared" si="9"/>
        <v>20320187.678180028</v>
      </c>
      <c r="J107" s="28">
        <f t="shared" si="10"/>
        <v>-1128253.6118199751</v>
      </c>
      <c r="K107" s="36">
        <f t="shared" si="11"/>
        <v>-5.2603058495724137E-2</v>
      </c>
      <c r="L107" s="416">
        <f t="shared" si="8"/>
        <v>5.2603058495724137E-2</v>
      </c>
      <c r="M107"/>
    </row>
    <row r="108" spans="1:13">
      <c r="A108" s="413">
        <v>44500</v>
      </c>
      <c r="B108" s="414">
        <f>Inputs!D129</f>
        <v>21738524.600000001</v>
      </c>
      <c r="C108" s="417">
        <v>145.19999999999999</v>
      </c>
      <c r="D108" s="417">
        <v>5.6000000000000005</v>
      </c>
      <c r="E108" s="414">
        <v>31</v>
      </c>
      <c r="F108" s="264">
        <v>1</v>
      </c>
      <c r="G108" s="264">
        <v>1</v>
      </c>
      <c r="H108" s="414">
        <f>Inputs!G129+Inputs!I129+Inputs!L129+Inputs!X129</f>
        <v>19655</v>
      </c>
      <c r="I108" s="414">
        <f t="shared" si="9"/>
        <v>21453082.794711761</v>
      </c>
      <c r="J108" s="28">
        <f t="shared" si="10"/>
        <v>-285441.80528824031</v>
      </c>
      <c r="K108" s="36">
        <f t="shared" si="11"/>
        <v>-1.3130688974551672E-2</v>
      </c>
      <c r="L108" s="416">
        <f t="shared" si="8"/>
        <v>1.3130688974551672E-2</v>
      </c>
      <c r="M108"/>
    </row>
    <row r="109" spans="1:13">
      <c r="A109" s="413">
        <v>44530</v>
      </c>
      <c r="B109" s="414">
        <f>Inputs!D130</f>
        <v>23740519.789999999</v>
      </c>
      <c r="C109" s="417">
        <v>413.7</v>
      </c>
      <c r="D109" s="417">
        <v>0</v>
      </c>
      <c r="E109" s="414">
        <v>30</v>
      </c>
      <c r="F109" s="264">
        <v>0</v>
      </c>
      <c r="G109" s="264">
        <v>1</v>
      </c>
      <c r="H109" s="414">
        <f>Inputs!G130+Inputs!I130+Inputs!L130+Inputs!X130</f>
        <v>19656</v>
      </c>
      <c r="I109" s="414">
        <f t="shared" si="9"/>
        <v>24677021.78478701</v>
      </c>
      <c r="J109" s="28">
        <f t="shared" si="10"/>
        <v>936501.9947870113</v>
      </c>
      <c r="K109" s="36">
        <f t="shared" si="11"/>
        <v>3.9447409031940633E-2</v>
      </c>
      <c r="L109" s="416">
        <f t="shared" si="8"/>
        <v>3.9447409031940633E-2</v>
      </c>
      <c r="M109"/>
    </row>
    <row r="110" spans="1:13">
      <c r="A110" s="413">
        <v>44561</v>
      </c>
      <c r="B110" s="414">
        <f>Inputs!D131</f>
        <v>26760724.010000002</v>
      </c>
      <c r="C110" s="417">
        <v>500.6</v>
      </c>
      <c r="D110" s="417">
        <v>0</v>
      </c>
      <c r="E110" s="414">
        <v>31</v>
      </c>
      <c r="F110" s="264">
        <v>0</v>
      </c>
      <c r="G110" s="264">
        <v>1</v>
      </c>
      <c r="H110" s="414">
        <f>Inputs!G131+Inputs!I131+Inputs!L131+Inputs!X131</f>
        <v>19703</v>
      </c>
      <c r="I110" s="414">
        <f t="shared" si="9"/>
        <v>26443381.279173233</v>
      </c>
      <c r="J110" s="28">
        <f t="shared" si="10"/>
        <v>-317342.73082676902</v>
      </c>
      <c r="K110" s="36">
        <f t="shared" si="11"/>
        <v>-1.1858525602976353E-2</v>
      </c>
      <c r="L110" s="416">
        <f t="shared" si="8"/>
        <v>1.1858525602976353E-2</v>
      </c>
      <c r="M110"/>
    </row>
    <row r="111" spans="1:13">
      <c r="A111" s="413">
        <v>44592</v>
      </c>
      <c r="B111" s="414">
        <f>Inputs!D132</f>
        <v>30693913.289999999</v>
      </c>
      <c r="C111" s="414">
        <v>809.35</v>
      </c>
      <c r="D111" s="414">
        <v>0</v>
      </c>
      <c r="E111" s="414">
        <v>31</v>
      </c>
      <c r="F111" s="264">
        <v>0</v>
      </c>
      <c r="G111" s="264">
        <v>1</v>
      </c>
      <c r="H111" s="414">
        <f>Inputs!G132+Inputs!I132+Inputs!L132+Inputs!X132</f>
        <v>19787</v>
      </c>
      <c r="I111" s="414">
        <f t="shared" si="9"/>
        <v>30414621.221398726</v>
      </c>
      <c r="J111" s="28">
        <f t="shared" si="10"/>
        <v>-279292.068601273</v>
      </c>
      <c r="K111" s="36">
        <f t="shared" si="11"/>
        <v>-9.0992655762882364E-3</v>
      </c>
      <c r="L111" s="416">
        <f t="shared" si="8"/>
        <v>9.0992655762882364E-3</v>
      </c>
      <c r="M111"/>
    </row>
    <row r="112" spans="1:13">
      <c r="A112" s="413">
        <v>44620</v>
      </c>
      <c r="B112" s="414">
        <f>Inputs!D133</f>
        <v>26556495.73</v>
      </c>
      <c r="C112" s="414">
        <v>626.54999999999995</v>
      </c>
      <c r="D112" s="414">
        <v>0</v>
      </c>
      <c r="E112" s="414">
        <v>28</v>
      </c>
      <c r="F112" s="264">
        <v>0</v>
      </c>
      <c r="G112" s="264">
        <v>1</v>
      </c>
      <c r="H112" s="414">
        <f>Inputs!G133+Inputs!I133+Inputs!L133+Inputs!X133</f>
        <v>19809</v>
      </c>
      <c r="I112" s="414">
        <f t="shared" si="9"/>
        <v>26229064.829659157</v>
      </c>
      <c r="J112" s="28">
        <f t="shared" si="10"/>
        <v>-327430.90034084395</v>
      </c>
      <c r="K112" s="36">
        <f t="shared" si="11"/>
        <v>-1.2329597386260417E-2</v>
      </c>
      <c r="L112" s="416">
        <f t="shared" si="8"/>
        <v>1.2329597386260417E-2</v>
      </c>
      <c r="M112"/>
    </row>
    <row r="113" spans="1:13">
      <c r="A113" s="413">
        <v>44651</v>
      </c>
      <c r="B113" s="414">
        <f>Inputs!D134</f>
        <v>26436228.200000003</v>
      </c>
      <c r="C113" s="414">
        <v>523.90000000000009</v>
      </c>
      <c r="D113" s="414">
        <v>0</v>
      </c>
      <c r="E113" s="414">
        <v>31</v>
      </c>
      <c r="F113" s="264">
        <v>1</v>
      </c>
      <c r="G113" s="264">
        <v>1</v>
      </c>
      <c r="H113" s="414">
        <f>Inputs!G134+Inputs!I134+Inputs!L134+Inputs!X134</f>
        <v>19853</v>
      </c>
      <c r="I113" s="414">
        <f t="shared" si="9"/>
        <v>26136427.923693076</v>
      </c>
      <c r="J113" s="28">
        <f t="shared" si="10"/>
        <v>-299800.2763069272</v>
      </c>
      <c r="K113" s="36">
        <f t="shared" si="11"/>
        <v>-1.1340508715495471E-2</v>
      </c>
      <c r="L113" s="416">
        <f t="shared" si="8"/>
        <v>1.1340508715495471E-2</v>
      </c>
      <c r="M113"/>
    </row>
    <row r="114" spans="1:13">
      <c r="A114" s="413">
        <v>44681</v>
      </c>
      <c r="B114" s="414">
        <f>Inputs!D135</f>
        <v>22507686.228</v>
      </c>
      <c r="C114" s="414">
        <v>339.94999999999993</v>
      </c>
      <c r="D114" s="414">
        <v>0</v>
      </c>
      <c r="E114" s="414">
        <v>30</v>
      </c>
      <c r="F114" s="264">
        <v>1</v>
      </c>
      <c r="G114" s="264">
        <v>0</v>
      </c>
      <c r="H114" s="414">
        <f>Inputs!G135+Inputs!I135+Inputs!L135+Inputs!X135</f>
        <v>19918</v>
      </c>
      <c r="I114" s="414">
        <f t="shared" si="9"/>
        <v>22645490.792202968</v>
      </c>
      <c r="J114" s="28">
        <f t="shared" si="10"/>
        <v>137804.56420296803</v>
      </c>
      <c r="K114" s="36">
        <f t="shared" si="11"/>
        <v>6.122555770816481E-3</v>
      </c>
      <c r="L114" s="416">
        <f t="shared" si="8"/>
        <v>6.122555770816481E-3</v>
      </c>
      <c r="M114"/>
    </row>
    <row r="115" spans="1:13">
      <c r="A115" s="413">
        <v>44712</v>
      </c>
      <c r="B115" s="414">
        <f>Inputs!D136</f>
        <v>22133009.34</v>
      </c>
      <c r="C115" s="414">
        <v>108.24999999999997</v>
      </c>
      <c r="D115" s="414">
        <v>36.75</v>
      </c>
      <c r="E115" s="414">
        <v>31</v>
      </c>
      <c r="F115" s="264">
        <v>1</v>
      </c>
      <c r="G115" s="264">
        <v>0</v>
      </c>
      <c r="H115" s="414">
        <f>Inputs!G136+Inputs!I136+Inputs!L136+Inputs!X136</f>
        <v>19960</v>
      </c>
      <c r="I115" s="414">
        <f t="shared" si="9"/>
        <v>22099632.499821708</v>
      </c>
      <c r="J115" s="28">
        <f t="shared" si="10"/>
        <v>-33376.840178292245</v>
      </c>
      <c r="K115" s="36">
        <f t="shared" si="11"/>
        <v>-1.5080118417504019E-3</v>
      </c>
      <c r="L115" s="416">
        <f t="shared" si="8"/>
        <v>1.5080118417504019E-3</v>
      </c>
      <c r="M115"/>
    </row>
    <row r="116" spans="1:13">
      <c r="A116" s="413">
        <v>44742</v>
      </c>
      <c r="B116" s="414">
        <f>Inputs!D137</f>
        <v>23221729.140000001</v>
      </c>
      <c r="C116" s="414">
        <v>17.699999999999996</v>
      </c>
      <c r="D116" s="414">
        <v>64.2</v>
      </c>
      <c r="E116" s="414">
        <v>30</v>
      </c>
      <c r="F116" s="264">
        <v>0</v>
      </c>
      <c r="G116" s="264">
        <v>0</v>
      </c>
      <c r="H116" s="414">
        <f>Inputs!G137+Inputs!I137+Inputs!L137+Inputs!X137</f>
        <v>20014</v>
      </c>
      <c r="I116" s="414">
        <f t="shared" si="9"/>
        <v>22372036.285726283</v>
      </c>
      <c r="J116" s="28">
        <f t="shared" si="10"/>
        <v>-849692.85427371785</v>
      </c>
      <c r="K116" s="36">
        <f t="shared" si="11"/>
        <v>-3.6590421374354115E-2</v>
      </c>
      <c r="L116" s="416">
        <f t="shared" si="8"/>
        <v>3.6590421374354115E-2</v>
      </c>
      <c r="M116"/>
    </row>
    <row r="117" spans="1:13">
      <c r="A117" s="413">
        <v>44773</v>
      </c>
      <c r="B117" s="414">
        <f>Inputs!D138</f>
        <v>26415918.866999999</v>
      </c>
      <c r="C117" s="414">
        <v>0</v>
      </c>
      <c r="D117" s="414">
        <v>144.69999999999996</v>
      </c>
      <c r="E117" s="414">
        <v>31</v>
      </c>
      <c r="F117" s="264">
        <v>0</v>
      </c>
      <c r="G117" s="264">
        <v>0</v>
      </c>
      <c r="H117" s="414">
        <f>Inputs!G138+Inputs!I138+Inputs!L138+Inputs!X138</f>
        <v>20060</v>
      </c>
      <c r="I117" s="414">
        <f t="shared" si="9"/>
        <v>26585424.430908374</v>
      </c>
      <c r="J117" s="28">
        <f t="shared" si="10"/>
        <v>169505.5639083758</v>
      </c>
      <c r="K117" s="36">
        <f t="shared" si="11"/>
        <v>6.416796052479177E-3</v>
      </c>
      <c r="L117" s="416">
        <f t="shared" si="8"/>
        <v>6.416796052479177E-3</v>
      </c>
      <c r="M117"/>
    </row>
    <row r="118" spans="1:13">
      <c r="A118" s="413">
        <v>44804</v>
      </c>
      <c r="B118" s="414">
        <f>Inputs!D139</f>
        <v>27237589.953000002</v>
      </c>
      <c r="C118" s="414">
        <v>0</v>
      </c>
      <c r="D118" s="414">
        <v>140.49999999999997</v>
      </c>
      <c r="E118" s="414">
        <v>31</v>
      </c>
      <c r="F118" s="264">
        <v>0</v>
      </c>
      <c r="G118" s="264">
        <v>0</v>
      </c>
      <c r="H118" s="414">
        <f>Inputs!G139+Inputs!I139+Inputs!L139+Inputs!X139</f>
        <v>20153</v>
      </c>
      <c r="I118" s="414">
        <f t="shared" si="9"/>
        <v>26461841.344914392</v>
      </c>
      <c r="J118" s="28">
        <f t="shared" si="10"/>
        <v>-775748.60808560997</v>
      </c>
      <c r="K118" s="36">
        <f t="shared" si="11"/>
        <v>-2.8480809404363896E-2</v>
      </c>
      <c r="L118" s="416">
        <f t="shared" si="8"/>
        <v>2.8480809404363896E-2</v>
      </c>
      <c r="M118"/>
    </row>
    <row r="119" spans="1:13">
      <c r="A119" s="413">
        <v>44834</v>
      </c>
      <c r="B119" s="414">
        <f>Inputs!D140</f>
        <v>22039776.68</v>
      </c>
      <c r="C119" s="414">
        <v>52.3</v>
      </c>
      <c r="D119" s="414">
        <v>49.15</v>
      </c>
      <c r="E119" s="414">
        <v>30</v>
      </c>
      <c r="F119" s="264">
        <v>1</v>
      </c>
      <c r="G119" s="264">
        <v>0</v>
      </c>
      <c r="H119" s="414">
        <f>Inputs!G140+Inputs!I140+Inputs!L140+Inputs!X140</f>
        <v>20166</v>
      </c>
      <c r="I119" s="414">
        <f t="shared" si="9"/>
        <v>21504601.147157189</v>
      </c>
      <c r="J119" s="28">
        <f t="shared" si="10"/>
        <v>-535175.5328428112</v>
      </c>
      <c r="K119" s="36">
        <f t="shared" si="11"/>
        <v>-2.4282257511640596E-2</v>
      </c>
      <c r="L119" s="416">
        <f t="shared" si="8"/>
        <v>2.4282257511640596E-2</v>
      </c>
      <c r="M119"/>
    </row>
    <row r="120" spans="1:13">
      <c r="A120" s="413">
        <v>44865</v>
      </c>
      <c r="B120" s="414">
        <f>Inputs!D141</f>
        <v>21742886.627999999</v>
      </c>
      <c r="C120" s="414">
        <v>236.70000000000002</v>
      </c>
      <c r="D120" s="414">
        <v>0.2</v>
      </c>
      <c r="E120" s="414">
        <v>31</v>
      </c>
      <c r="F120" s="264">
        <v>1</v>
      </c>
      <c r="G120" s="264">
        <v>0</v>
      </c>
      <c r="H120" s="414">
        <f>Inputs!G141+Inputs!I141+Inputs!L141+Inputs!X141</f>
        <v>20304</v>
      </c>
      <c r="I120" s="414">
        <f t="shared" si="9"/>
        <v>22282808.387258686</v>
      </c>
      <c r="J120" s="28">
        <f t="shared" si="10"/>
        <v>539921.7592586875</v>
      </c>
      <c r="K120" s="36">
        <f t="shared" si="11"/>
        <v>2.4832110312500478E-2</v>
      </c>
      <c r="L120" s="416">
        <f t="shared" si="8"/>
        <v>2.4832110312500478E-2</v>
      </c>
      <c r="M120"/>
    </row>
    <row r="121" spans="1:13">
      <c r="A121" s="413">
        <v>44895</v>
      </c>
      <c r="B121" s="414">
        <f>Inputs!D142</f>
        <v>23454128.573000003</v>
      </c>
      <c r="C121" s="414">
        <v>380.09999999999997</v>
      </c>
      <c r="D121" s="414">
        <v>0.9</v>
      </c>
      <c r="E121" s="414">
        <v>30</v>
      </c>
      <c r="F121" s="264">
        <v>0</v>
      </c>
      <c r="G121" s="264">
        <v>0</v>
      </c>
      <c r="H121" s="414">
        <f>Inputs!G142+Inputs!I142+Inputs!L142+Inputs!X142</f>
        <v>20412</v>
      </c>
      <c r="I121" s="414">
        <f t="shared" si="9"/>
        <v>24303721.300299667</v>
      </c>
      <c r="J121" s="28">
        <f t="shared" si="10"/>
        <v>849592.72729966417</v>
      </c>
      <c r="K121" s="36">
        <f t="shared" si="11"/>
        <v>3.6223589576365713E-2</v>
      </c>
      <c r="L121" s="416">
        <f t="shared" si="8"/>
        <v>3.6223589576365713E-2</v>
      </c>
      <c r="M121"/>
    </row>
    <row r="122" spans="1:13">
      <c r="A122" s="413">
        <v>44926</v>
      </c>
      <c r="B122" s="414">
        <f>Inputs!D143</f>
        <v>27495141.667000003</v>
      </c>
      <c r="C122" s="414">
        <v>575.29999999999984</v>
      </c>
      <c r="D122" s="414">
        <v>0</v>
      </c>
      <c r="E122" s="414">
        <v>31</v>
      </c>
      <c r="F122" s="264">
        <v>0</v>
      </c>
      <c r="G122" s="264">
        <v>0</v>
      </c>
      <c r="H122" s="414">
        <f>Inputs!G143+Inputs!I143+Inputs!L143+Inputs!X143</f>
        <v>20513</v>
      </c>
      <c r="I122" s="414">
        <f t="shared" si="9"/>
        <v>27440211.300802413</v>
      </c>
      <c r="J122" s="28">
        <f t="shared" si="10"/>
        <v>-54930.366197589785</v>
      </c>
      <c r="K122" s="36">
        <f t="shared" si="11"/>
        <v>-1.9978208100494303E-3</v>
      </c>
      <c r="L122" s="416">
        <f t="shared" si="8"/>
        <v>1.9978208100494303E-3</v>
      </c>
      <c r="M122"/>
    </row>
    <row r="123" spans="1:13">
      <c r="A123" s="413">
        <v>44957</v>
      </c>
      <c r="B123" s="418">
        <f>Inputs!D144</f>
        <v>27816333.475000001</v>
      </c>
      <c r="C123" s="418">
        <v>585.09999999999991</v>
      </c>
      <c r="D123" s="418">
        <v>0</v>
      </c>
      <c r="E123" s="417">
        <v>31</v>
      </c>
      <c r="F123" s="419">
        <v>0</v>
      </c>
      <c r="G123" s="264">
        <v>0</v>
      </c>
      <c r="H123" s="418">
        <f>Inputs!G144+Inputs!I144+Inputs!L144+Inputs!X144</f>
        <v>20698</v>
      </c>
      <c r="I123" s="414">
        <f t="shared" si="9"/>
        <v>27709689.571987845</v>
      </c>
      <c r="J123" s="28">
        <f t="shared" ref="J123:J128" si="12">I123-B123</f>
        <v>-106643.90301215649</v>
      </c>
      <c r="K123" s="36">
        <f t="shared" ref="K123:K128" si="13">J123/B123</f>
        <v>-3.8338590924646108E-3</v>
      </c>
      <c r="L123" s="416">
        <f t="shared" ref="L123:L128" si="14">ABS(K123)</f>
        <v>3.8338590924646108E-3</v>
      </c>
    </row>
    <row r="124" spans="1:13">
      <c r="A124" s="413">
        <v>44985</v>
      </c>
      <c r="B124" s="418">
        <f>Inputs!D145</f>
        <v>25737050.190000001</v>
      </c>
      <c r="C124" s="418">
        <v>543.29999999999995</v>
      </c>
      <c r="D124" s="418">
        <v>0</v>
      </c>
      <c r="E124" s="417">
        <v>28</v>
      </c>
      <c r="F124" s="419">
        <v>0</v>
      </c>
      <c r="G124" s="264">
        <v>0</v>
      </c>
      <c r="H124" s="418">
        <f>Inputs!G145+Inputs!I145+Inputs!L145+Inputs!X145</f>
        <v>20814</v>
      </c>
      <c r="I124" s="414">
        <f t="shared" si="9"/>
        <v>25381486.383827113</v>
      </c>
      <c r="J124" s="28">
        <f t="shared" si="12"/>
        <v>-355563.80617288873</v>
      </c>
      <c r="K124" s="36">
        <f t="shared" si="13"/>
        <v>-1.3815250914459546E-2</v>
      </c>
      <c r="L124" s="416">
        <f t="shared" si="14"/>
        <v>1.3815250914459546E-2</v>
      </c>
      <c r="M124"/>
    </row>
    <row r="125" spans="1:13">
      <c r="A125" s="413">
        <v>45016</v>
      </c>
      <c r="B125" s="418">
        <f>Inputs!D146</f>
        <v>26997986.940000001</v>
      </c>
      <c r="C125" s="418">
        <v>530.90000000000009</v>
      </c>
      <c r="D125" s="418">
        <v>0</v>
      </c>
      <c r="E125" s="417">
        <v>31</v>
      </c>
      <c r="F125" s="419">
        <v>1</v>
      </c>
      <c r="G125" s="264">
        <v>0</v>
      </c>
      <c r="H125" s="418">
        <f>Inputs!G146+Inputs!I146+Inputs!L146+Inputs!X146</f>
        <v>20948</v>
      </c>
      <c r="I125" s="414">
        <f t="shared" si="9"/>
        <v>26501154.783396691</v>
      </c>
      <c r="J125" s="28">
        <f t="shared" si="12"/>
        <v>-496832.15660331026</v>
      </c>
      <c r="K125" s="36">
        <f t="shared" si="13"/>
        <v>-1.8402563039513428E-2</v>
      </c>
      <c r="L125" s="416">
        <f t="shared" si="14"/>
        <v>1.8402563039513428E-2</v>
      </c>
      <c r="M125"/>
    </row>
    <row r="126" spans="1:13">
      <c r="A126" s="413">
        <v>45046</v>
      </c>
      <c r="B126" s="418">
        <f>Inputs!D147</f>
        <v>22470351.425000001</v>
      </c>
      <c r="C126" s="418">
        <v>275.70000000000005</v>
      </c>
      <c r="D126" s="418">
        <v>7.1000000000000005</v>
      </c>
      <c r="E126" s="417">
        <v>30</v>
      </c>
      <c r="F126" s="419">
        <v>1</v>
      </c>
      <c r="G126" s="264">
        <v>0</v>
      </c>
      <c r="H126" s="418">
        <f>Inputs!G147+Inputs!I147+Inputs!L147+Inputs!X147</f>
        <v>21058</v>
      </c>
      <c r="I126" s="414">
        <f t="shared" si="9"/>
        <v>23062167.609364044</v>
      </c>
      <c r="J126" s="28">
        <f t="shared" si="12"/>
        <v>591816.18436404318</v>
      </c>
      <c r="K126" s="36">
        <f t="shared" si="13"/>
        <v>2.6337647025208605E-2</v>
      </c>
      <c r="L126" s="416">
        <f t="shared" si="14"/>
        <v>2.6337647025208605E-2</v>
      </c>
      <c r="M126"/>
    </row>
    <row r="127" spans="1:13">
      <c r="A127" s="413">
        <v>45077</v>
      </c>
      <c r="B127" s="418">
        <f>Inputs!D148</f>
        <v>22071224.705000002</v>
      </c>
      <c r="C127" s="418">
        <v>153.89999999999998</v>
      </c>
      <c r="D127" s="418">
        <v>15</v>
      </c>
      <c r="E127" s="417">
        <v>31</v>
      </c>
      <c r="F127" s="419">
        <v>1</v>
      </c>
      <c r="G127" s="264">
        <v>0</v>
      </c>
      <c r="H127" s="418">
        <f>Inputs!G148+Inputs!I148+Inputs!L148+Inputs!X148</f>
        <v>21104</v>
      </c>
      <c r="I127" s="414">
        <f t="shared" si="9"/>
        <v>22558095.892980356</v>
      </c>
      <c r="J127" s="28">
        <f t="shared" si="12"/>
        <v>486871.18798035383</v>
      </c>
      <c r="K127" s="36">
        <f t="shared" si="13"/>
        <v>2.2059092528293564E-2</v>
      </c>
      <c r="L127" s="416">
        <f t="shared" si="14"/>
        <v>2.2059092528293564E-2</v>
      </c>
      <c r="M127"/>
    </row>
    <row r="128" spans="1:13">
      <c r="A128" s="413">
        <v>45107</v>
      </c>
      <c r="B128" s="418">
        <f>Inputs!D149</f>
        <v>24243663.09</v>
      </c>
      <c r="C128" s="418">
        <v>16.099999999999998</v>
      </c>
      <c r="D128" s="418">
        <v>59.100000000000009</v>
      </c>
      <c r="E128" s="417">
        <v>30</v>
      </c>
      <c r="F128" s="419">
        <v>0</v>
      </c>
      <c r="G128" s="264">
        <v>0</v>
      </c>
      <c r="H128" s="418">
        <f>Inputs!G149+Inputs!I149+Inputs!L149+Inputs!X149</f>
        <v>21324</v>
      </c>
      <c r="I128" s="414">
        <f t="shared" si="9"/>
        <v>23143375.41103946</v>
      </c>
      <c r="J128" s="28">
        <f t="shared" si="12"/>
        <v>-1100287.6789605394</v>
      </c>
      <c r="K128" s="36">
        <f t="shared" si="13"/>
        <v>-4.5384547494985807E-2</v>
      </c>
      <c r="L128" s="416">
        <f t="shared" si="14"/>
        <v>4.5384547494985807E-2</v>
      </c>
      <c r="M128"/>
    </row>
    <row r="129" spans="1:13">
      <c r="A129" s="413">
        <v>45138</v>
      </c>
      <c r="B129" s="414"/>
      <c r="C129" s="420">
        <f t="shared" ref="C129:D134" si="15">+(C9+C21+C33+C45+C57+C69+C81+C93+C105+C117)/10</f>
        <v>1.37</v>
      </c>
      <c r="D129" s="420">
        <f t="shared" si="15"/>
        <v>141.07500000000002</v>
      </c>
      <c r="E129" s="417">
        <v>31</v>
      </c>
      <c r="F129" s="419">
        <v>0</v>
      </c>
      <c r="G129" s="264">
        <v>0</v>
      </c>
      <c r="H129" s="421">
        <f>'Rate Class Customer Model'!P17</f>
        <v>21390.792984375654</v>
      </c>
      <c r="I129" s="414">
        <f t="shared" si="9"/>
        <v>27479778.0257953</v>
      </c>
      <c r="J129" s="28"/>
      <c r="K129"/>
      <c r="L129" s="248">
        <f>AVERAGE(L9:L128)</f>
        <v>1.8024419710260371E-2</v>
      </c>
      <c r="M129" t="s">
        <v>209</v>
      </c>
    </row>
    <row r="130" spans="1:13">
      <c r="A130" s="413">
        <v>45169</v>
      </c>
      <c r="B130" s="414"/>
      <c r="C130" s="420">
        <f t="shared" si="15"/>
        <v>3.2950000000000004</v>
      </c>
      <c r="D130" s="420">
        <f t="shared" si="15"/>
        <v>124.67</v>
      </c>
      <c r="E130" s="417">
        <v>31</v>
      </c>
      <c r="F130" s="419">
        <v>0</v>
      </c>
      <c r="G130" s="264">
        <v>0</v>
      </c>
      <c r="H130" s="421">
        <f>'Rate Class Customer Model'!P18</f>
        <v>21457.795183849874</v>
      </c>
      <c r="I130" s="414">
        <f t="shared" si="9"/>
        <v>26788378.795449182</v>
      </c>
      <c r="J130" s="28"/>
      <c r="K130"/>
      <c r="L130"/>
      <c r="M130"/>
    </row>
    <row r="131" spans="1:13">
      <c r="A131" s="413">
        <v>45199</v>
      </c>
      <c r="B131" s="414"/>
      <c r="C131" s="420">
        <f t="shared" si="15"/>
        <v>50.260000000000005</v>
      </c>
      <c r="D131" s="420">
        <f t="shared" si="15"/>
        <v>49.079999999999991</v>
      </c>
      <c r="E131" s="417">
        <v>30</v>
      </c>
      <c r="F131" s="419">
        <v>1</v>
      </c>
      <c r="G131" s="264">
        <v>0</v>
      </c>
      <c r="H131" s="421">
        <f>'Rate Class Customer Model'!P19</f>
        <v>21525.007253745338</v>
      </c>
      <c r="I131" s="414">
        <f t="shared" si="9"/>
        <v>22544543.343194988</v>
      </c>
      <c r="J131" s="28"/>
      <c r="K131"/>
      <c r="L131"/>
      <c r="M131"/>
    </row>
    <row r="132" spans="1:13">
      <c r="A132" s="413">
        <v>45230</v>
      </c>
      <c r="B132" s="414"/>
      <c r="C132" s="420">
        <f t="shared" si="15"/>
        <v>222.22000000000003</v>
      </c>
      <c r="D132" s="420">
        <f t="shared" si="15"/>
        <v>3.3</v>
      </c>
      <c r="E132" s="417">
        <v>31</v>
      </c>
      <c r="F132" s="419">
        <v>1</v>
      </c>
      <c r="G132" s="264">
        <v>0</v>
      </c>
      <c r="H132" s="421">
        <f>'Rate Class Customer Model'!P20</f>
        <v>21592.429851437388</v>
      </c>
      <c r="I132" s="414">
        <f t="shared" ref="I132:I146" si="16">$O$18+$O$19*C132+$O$20*D132+$O$21*E132+$O$22*F132+$O$23*G132+$O$24*H132</f>
        <v>23258378.999067802</v>
      </c>
      <c r="J132" s="28"/>
      <c r="K132"/>
      <c r="L132"/>
      <c r="M132"/>
    </row>
    <row r="133" spans="1:13">
      <c r="A133" s="413">
        <v>45260</v>
      </c>
      <c r="B133" s="414"/>
      <c r="C133" s="420">
        <f t="shared" si="15"/>
        <v>420.84500000000008</v>
      </c>
      <c r="D133" s="420">
        <f t="shared" si="15"/>
        <v>0.09</v>
      </c>
      <c r="E133" s="417">
        <v>30</v>
      </c>
      <c r="F133" s="419">
        <v>0</v>
      </c>
      <c r="G133" s="264">
        <v>0</v>
      </c>
      <c r="H133" s="421">
        <f>'Rate Class Customer Model'!P21</f>
        <v>21660.063636360454</v>
      </c>
      <c r="I133" s="414">
        <f t="shared" si="16"/>
        <v>25762887.075364765</v>
      </c>
      <c r="J133" s="28"/>
      <c r="K133"/>
      <c r="L133"/>
      <c r="M133"/>
    </row>
    <row r="134" spans="1:13">
      <c r="A134" s="413">
        <v>45291</v>
      </c>
      <c r="B134" s="414"/>
      <c r="C134" s="420">
        <f t="shared" si="15"/>
        <v>579.06000000000006</v>
      </c>
      <c r="D134" s="420">
        <f t="shared" si="15"/>
        <v>0</v>
      </c>
      <c r="E134" s="417">
        <v>31</v>
      </c>
      <c r="F134" s="419">
        <v>0</v>
      </c>
      <c r="G134" s="264">
        <v>0</v>
      </c>
      <c r="H134" s="421">
        <f>'Rate Class Customer Model'!P22</f>
        <v>21727.909270014512</v>
      </c>
      <c r="I134" s="414">
        <f t="shared" si="16"/>
        <v>28443442.131520286</v>
      </c>
      <c r="J134" s="28"/>
      <c r="K134"/>
      <c r="L134"/>
      <c r="M134"/>
    </row>
    <row r="135" spans="1:13">
      <c r="A135" s="413">
        <v>45322</v>
      </c>
      <c r="B135" s="414"/>
      <c r="C135" s="420">
        <f>+(C15+C27+C39+C51+C63+C75+C87+C99+C111+C123)/10</f>
        <v>703.65</v>
      </c>
      <c r="D135" s="420">
        <f t="shared" ref="D135" si="17">+(D15+D27+D39+D51+D63+D75+D87+D99+D111+D123)/10</f>
        <v>0</v>
      </c>
      <c r="E135" s="417">
        <v>31</v>
      </c>
      <c r="F135" s="419">
        <v>0</v>
      </c>
      <c r="G135" s="264">
        <v>0</v>
      </c>
      <c r="H135" s="421">
        <f>'Rate Class Customer Model'!Q11</f>
        <v>21780.227756376426</v>
      </c>
      <c r="I135" s="414">
        <f t="shared" si="16"/>
        <v>30060449.114910293</v>
      </c>
      <c r="J135" s="28"/>
      <c r="K135"/>
      <c r="L135"/>
      <c r="M135"/>
    </row>
    <row r="136" spans="1:13">
      <c r="A136" s="413">
        <v>45351</v>
      </c>
      <c r="B136" s="414"/>
      <c r="C136" s="420">
        <f t="shared" ref="C136:D136" si="18">+(C16+C28+C40+C52+C64+C76+C88+C100+C112+C124)/10</f>
        <v>630.40499999999997</v>
      </c>
      <c r="D136" s="420">
        <f t="shared" si="18"/>
        <v>0</v>
      </c>
      <c r="E136" s="417">
        <v>29</v>
      </c>
      <c r="F136" s="419">
        <v>0</v>
      </c>
      <c r="G136" s="264">
        <v>0</v>
      </c>
      <c r="H136" s="421">
        <f>'Rate Class Customer Model'!Q12</f>
        <v>21832.672220069206</v>
      </c>
      <c r="I136" s="414">
        <f t="shared" si="16"/>
        <v>27914776.604957283</v>
      </c>
      <c r="J136" s="28"/>
      <c r="K136"/>
      <c r="L136"/>
      <c r="M136"/>
    </row>
    <row r="137" spans="1:13">
      <c r="A137" s="413">
        <v>45382</v>
      </c>
      <c r="B137" s="414"/>
      <c r="C137" s="420">
        <f t="shared" ref="C137:D137" si="19">+(C17+C29+C41+C53+C65+C77+C89+C101+C113+C125)/10</f>
        <v>547.82999999999993</v>
      </c>
      <c r="D137" s="420">
        <f t="shared" si="19"/>
        <v>0</v>
      </c>
      <c r="E137" s="417">
        <v>31</v>
      </c>
      <c r="F137" s="419">
        <v>1</v>
      </c>
      <c r="G137" s="264">
        <v>0</v>
      </c>
      <c r="H137" s="421">
        <f>'Rate Class Customer Model'!Q13</f>
        <v>21885.242964432822</v>
      </c>
      <c r="I137" s="414">
        <f t="shared" si="16"/>
        <v>27452545.612564713</v>
      </c>
      <c r="J137" s="28"/>
      <c r="K137"/>
      <c r="L137"/>
      <c r="M137"/>
    </row>
    <row r="138" spans="1:13">
      <c r="A138" s="413">
        <v>45412</v>
      </c>
      <c r="B138" s="414"/>
      <c r="C138" s="420">
        <f t="shared" ref="C138:D138" si="20">+(C18+C30+C42+C54+C66+C78+C90+C102+C114+C126)/10</f>
        <v>338.72500000000002</v>
      </c>
      <c r="D138" s="420">
        <f t="shared" si="20"/>
        <v>0.71000000000000008</v>
      </c>
      <c r="E138" s="417">
        <v>30</v>
      </c>
      <c r="F138" s="419">
        <v>1</v>
      </c>
      <c r="G138" s="264">
        <v>0</v>
      </c>
      <c r="H138" s="421">
        <f>'Rate Class Customer Model'!Q14</f>
        <v>21937.940293537653</v>
      </c>
      <c r="I138" s="414">
        <f t="shared" si="16"/>
        <v>24252182.413061127</v>
      </c>
      <c r="J138" s="28"/>
      <c r="K138"/>
      <c r="L138"/>
      <c r="M138"/>
    </row>
    <row r="139" spans="1:13">
      <c r="A139" s="413">
        <v>45443</v>
      </c>
      <c r="B139" s="414"/>
      <c r="C139" s="420">
        <f>+(C19+C31+C43+C55+C67+C79+C91+C103+C115+C127)/10</f>
        <v>144.06</v>
      </c>
      <c r="D139" s="420">
        <f t="shared" ref="D139" si="21">+(D19+D31+D43+D55+D67+D79+D91+D103+D115+D127)/10</f>
        <v>23.914999999999999</v>
      </c>
      <c r="E139" s="417">
        <v>31</v>
      </c>
      <c r="F139" s="419">
        <v>1</v>
      </c>
      <c r="G139" s="264">
        <v>0</v>
      </c>
      <c r="H139" s="421">
        <f>'Rate Class Customer Model'!Q15</f>
        <v>21990.764512186241</v>
      </c>
      <c r="I139" s="414">
        <f t="shared" si="16"/>
        <v>23548785.835732143</v>
      </c>
      <c r="J139" s="28"/>
      <c r="K139"/>
      <c r="L139"/>
      <c r="M139"/>
    </row>
    <row r="140" spans="1:13">
      <c r="A140" s="413">
        <v>45473</v>
      </c>
      <c r="B140" s="414"/>
      <c r="C140" s="420">
        <f>+(C20+C32+C44+C56+C68+C80+C92+C104+C116+C128)/10</f>
        <v>21.37</v>
      </c>
      <c r="D140" s="420">
        <f>+(D20+D32+D44+D56+D68+D80+D92+D104+D116+D128)/10</f>
        <v>69.710000000000008</v>
      </c>
      <c r="E140" s="417">
        <v>30</v>
      </c>
      <c r="F140" s="419">
        <v>0</v>
      </c>
      <c r="G140" s="264">
        <v>0</v>
      </c>
      <c r="H140" s="421">
        <f>'Rate Class Customer Model'!Q16</f>
        <v>22043.715925915061</v>
      </c>
      <c r="I140" s="414">
        <f t="shared" si="16"/>
        <v>24273175.464534663</v>
      </c>
      <c r="J140" s="28"/>
      <c r="K140"/>
      <c r="L140"/>
      <c r="M140"/>
    </row>
    <row r="141" spans="1:13">
      <c r="A141" s="413">
        <v>45504</v>
      </c>
      <c r="B141" s="414"/>
      <c r="C141" s="420">
        <v>1.37</v>
      </c>
      <c r="D141" s="420">
        <v>141.07500000000002</v>
      </c>
      <c r="E141" s="417">
        <v>31</v>
      </c>
      <c r="F141" s="419">
        <v>0</v>
      </c>
      <c r="G141" s="264">
        <v>0</v>
      </c>
      <c r="H141" s="421">
        <f>'Rate Class Customer Model'!Q17</f>
        <v>22096.794840996296</v>
      </c>
      <c r="I141" s="414">
        <f t="shared" si="16"/>
        <v>28035133.949350111</v>
      </c>
      <c r="J141" s="28"/>
      <c r="K141"/>
      <c r="L141"/>
      <c r="M141"/>
    </row>
    <row r="142" spans="1:13">
      <c r="A142" s="413">
        <v>45535</v>
      </c>
      <c r="B142" s="414"/>
      <c r="C142" s="420">
        <v>3.2950000000000004</v>
      </c>
      <c r="D142" s="420">
        <v>124.67</v>
      </c>
      <c r="E142" s="417">
        <v>31</v>
      </c>
      <c r="F142" s="419">
        <v>0</v>
      </c>
      <c r="G142" s="264">
        <v>0</v>
      </c>
      <c r="H142" s="421">
        <f>'Rate Class Customer Model'!Q18</f>
        <v>22150.00156443959</v>
      </c>
      <c r="I142" s="414">
        <f t="shared" si="16"/>
        <v>27332882.907128163</v>
      </c>
      <c r="J142" s="28"/>
      <c r="K142"/>
      <c r="L142"/>
      <c r="M142"/>
    </row>
    <row r="143" spans="1:13">
      <c r="A143" s="413">
        <v>45565</v>
      </c>
      <c r="B143" s="414"/>
      <c r="C143" s="420">
        <v>50.260000000000005</v>
      </c>
      <c r="D143" s="420">
        <v>49.079999999999991</v>
      </c>
      <c r="E143" s="417">
        <v>30</v>
      </c>
      <c r="F143" s="419">
        <v>1</v>
      </c>
      <c r="G143" s="264">
        <v>0</v>
      </c>
      <c r="H143" s="421">
        <f>'Rate Class Customer Model'!Q19</f>
        <v>22203.336403993839</v>
      </c>
      <c r="I143" s="414">
        <f t="shared" si="16"/>
        <v>23078131.333336532</v>
      </c>
      <c r="J143" s="28"/>
      <c r="K143"/>
      <c r="L143"/>
      <c r="M143"/>
    </row>
    <row r="144" spans="1:13">
      <c r="A144" s="413">
        <v>45596</v>
      </c>
      <c r="B144" s="414"/>
      <c r="C144" s="420">
        <v>222.22000000000003</v>
      </c>
      <c r="D144" s="420">
        <v>3.3</v>
      </c>
      <c r="E144" s="417">
        <v>31</v>
      </c>
      <c r="F144" s="419">
        <v>1</v>
      </c>
      <c r="G144" s="264">
        <v>0</v>
      </c>
      <c r="H144" s="421">
        <f>'Rate Class Customer Model'!Q20</f>
        <v>22256.79966814896</v>
      </c>
      <c r="I144" s="414">
        <f t="shared" si="16"/>
        <v>23780986.283569679</v>
      </c>
      <c r="J144" s="28"/>
      <c r="K144"/>
      <c r="L144"/>
      <c r="M144"/>
    </row>
    <row r="145" spans="1:13">
      <c r="A145" s="413">
        <v>45626</v>
      </c>
      <c r="B145" s="414"/>
      <c r="C145" s="420">
        <v>420.84500000000008</v>
      </c>
      <c r="D145" s="420">
        <v>0.09</v>
      </c>
      <c r="E145" s="417">
        <v>30</v>
      </c>
      <c r="F145" s="419">
        <v>0</v>
      </c>
      <c r="G145" s="264">
        <v>0</v>
      </c>
      <c r="H145" s="421">
        <f>'Rate Class Customer Model'!Q21</f>
        <v>22310.391666137686</v>
      </c>
      <c r="I145" s="414">
        <f t="shared" si="16"/>
        <v>26274448.794648714</v>
      </c>
      <c r="J145" s="28"/>
      <c r="M145"/>
    </row>
    <row r="146" spans="1:13">
      <c r="A146" s="413">
        <v>45657</v>
      </c>
      <c r="B146" s="414"/>
      <c r="C146" s="420">
        <v>579.06000000000006</v>
      </c>
      <c r="D146" s="420">
        <v>0</v>
      </c>
      <c r="E146" s="417">
        <v>31</v>
      </c>
      <c r="F146" s="419">
        <v>0</v>
      </c>
      <c r="G146" s="264">
        <v>0</v>
      </c>
      <c r="H146" s="421">
        <f>'Rate Class Customer Model'!Q22</f>
        <v>22364.112707937351</v>
      </c>
      <c r="I146" s="414">
        <f t="shared" si="16"/>
        <v>28943893.149492942</v>
      </c>
      <c r="J146" s="28"/>
      <c r="M146"/>
    </row>
    <row r="147" spans="1:13">
      <c r="A147" s="29"/>
      <c r="E147" s="422"/>
      <c r="F147" s="423"/>
      <c r="G147" s="423"/>
      <c r="M147"/>
    </row>
    <row r="148" spans="1:13">
      <c r="A148" s="29"/>
      <c r="E148" s="422"/>
      <c r="F148" s="423"/>
      <c r="G148" s="423"/>
      <c r="M148"/>
    </row>
    <row r="149" spans="1:13">
      <c r="A149" s="29"/>
      <c r="C149" s="90" t="s">
        <v>210</v>
      </c>
      <c r="D149" s="88"/>
      <c r="E149" s="422"/>
      <c r="F149" s="423"/>
      <c r="G149" s="423"/>
      <c r="M149"/>
    </row>
    <row r="150" spans="1:13">
      <c r="A150" s="29"/>
      <c r="C150" s="91" t="s">
        <v>211</v>
      </c>
      <c r="D150" s="89"/>
      <c r="E150" s="422"/>
      <c r="F150" s="423"/>
      <c r="G150" s="423"/>
      <c r="I150" s="28">
        <f>SUM(I2:I146)</f>
        <v>3341474693.7254667</v>
      </c>
      <c r="M150"/>
    </row>
    <row r="151" spans="1:13">
      <c r="A151" s="29"/>
      <c r="C151" s="230" t="s">
        <v>212</v>
      </c>
      <c r="D151" s="231"/>
      <c r="E151" s="422"/>
      <c r="F151" s="423"/>
      <c r="G151" s="423"/>
      <c r="M151"/>
    </row>
    <row r="152" spans="1:13">
      <c r="A152" s="21">
        <v>2013</v>
      </c>
      <c r="B152" s="6">
        <f>SUM(B3:B14)</f>
        <v>251758061.40000001</v>
      </c>
      <c r="I152" s="6">
        <f>SUM(I3:I14)</f>
        <v>247528992.67039391</v>
      </c>
      <c r="J152"/>
      <c r="K152"/>
      <c r="L152" s="5"/>
      <c r="M152"/>
    </row>
    <row r="153" spans="1:13">
      <c r="A153" s="21">
        <v>2014</v>
      </c>
      <c r="B153" s="6">
        <f>SUM(B15:B26)</f>
        <v>253254986.30000001</v>
      </c>
      <c r="I153" s="6">
        <f>SUM(I15:I26)</f>
        <v>251542200.21569908</v>
      </c>
      <c r="J153"/>
      <c r="K153"/>
      <c r="L153" s="5"/>
      <c r="M153"/>
    </row>
    <row r="154" spans="1:13">
      <c r="A154" s="21">
        <v>2015</v>
      </c>
      <c r="B154" s="6">
        <f>SUM(B27:B38)</f>
        <v>255774983.09999999</v>
      </c>
      <c r="I154" s="6">
        <f>SUM(I27:I38)</f>
        <v>254805593.44736814</v>
      </c>
      <c r="J154"/>
      <c r="K154"/>
      <c r="L154" s="5"/>
      <c r="M154"/>
    </row>
    <row r="155" spans="1:13">
      <c r="A155" s="21">
        <v>2016</v>
      </c>
      <c r="B155" s="6">
        <f>SUM(B39:B50)</f>
        <v>259382036</v>
      </c>
      <c r="I155" s="6">
        <f>SUM(I39:I50)</f>
        <v>265077245.1744242</v>
      </c>
      <c r="J155"/>
      <c r="K155"/>
      <c r="L155" s="5"/>
      <c r="M155"/>
    </row>
    <row r="156" spans="1:13">
      <c r="A156" s="21">
        <v>2017</v>
      </c>
      <c r="B156" s="6">
        <f>SUM(B51:B62)</f>
        <v>256769434.55879995</v>
      </c>
      <c r="I156" s="6">
        <f>SUM(I51:I62)</f>
        <v>259229801.31076357</v>
      </c>
      <c r="J156"/>
      <c r="K156"/>
      <c r="L156" s="5"/>
      <c r="M156"/>
    </row>
    <row r="157" spans="1:13">
      <c r="A157" s="21">
        <v>2018</v>
      </c>
      <c r="B157" s="6">
        <f>SUM(B63:B74)</f>
        <v>278813235.74599999</v>
      </c>
      <c r="I157" s="6">
        <f>SUM(I63:I74)</f>
        <v>278937077.48432195</v>
      </c>
      <c r="J157"/>
      <c r="K157"/>
      <c r="L157" s="5"/>
      <c r="M157"/>
    </row>
    <row r="158" spans="1:13">
      <c r="A158" s="21">
        <v>2019</v>
      </c>
      <c r="B158" s="6">
        <f>SUM(B75:B86)</f>
        <v>280581536.88999999</v>
      </c>
      <c r="I158" s="6">
        <f>SUM(I75:I86)</f>
        <v>280607002.24884319</v>
      </c>
      <c r="J158"/>
      <c r="K158"/>
      <c r="L158" s="5"/>
      <c r="M158"/>
    </row>
    <row r="159" spans="1:13">
      <c r="A159" s="21">
        <v>2020</v>
      </c>
      <c r="B159" s="6">
        <f>SUM(B87:B98)</f>
        <v>291404251.64599001</v>
      </c>
      <c r="I159" s="6">
        <f>SUM(I87:I98)</f>
        <v>292154381.51722866</v>
      </c>
      <c r="J159"/>
      <c r="K159"/>
      <c r="L159" s="5"/>
      <c r="M159"/>
    </row>
    <row r="160" spans="1:13">
      <c r="A160" s="21">
        <v>2021</v>
      </c>
      <c r="B160" s="6">
        <f>SUM(B99:B110)</f>
        <v>295240254.13</v>
      </c>
      <c r="I160" s="6">
        <f>SUM(I99:I110)</f>
        <v>295535748.70630878</v>
      </c>
      <c r="J160"/>
      <c r="K160"/>
      <c r="L160" s="5"/>
      <c r="M160"/>
    </row>
    <row r="161" spans="1:15">
      <c r="A161" s="21">
        <v>2022</v>
      </c>
      <c r="B161" s="6">
        <f>SUM(B111:B122)</f>
        <v>299934504.296</v>
      </c>
      <c r="I161" s="6">
        <f>SUM(I111:I122)</f>
        <v>298475881.46384263</v>
      </c>
      <c r="J161"/>
      <c r="K161"/>
      <c r="L161" s="5"/>
      <c r="M161"/>
    </row>
    <row r="162" spans="1:15">
      <c r="A162" s="21">
        <v>2023</v>
      </c>
      <c r="B162" s="6">
        <f>SUM(B123:B128)+SUM(I129:I134)</f>
        <v>303614018.19539231</v>
      </c>
      <c r="I162" s="12">
        <f>SUM(I123:I134)</f>
        <v>302633378.02298784</v>
      </c>
      <c r="J162"/>
      <c r="K162"/>
      <c r="L162" s="5"/>
      <c r="M162"/>
    </row>
    <row r="163" spans="1:15">
      <c r="A163" s="21">
        <v>2024</v>
      </c>
      <c r="I163" s="12">
        <f>SUM(I135:I146)</f>
        <v>314947391.46328634</v>
      </c>
      <c r="J163" s="19"/>
      <c r="K163" s="5"/>
      <c r="L163" s="5"/>
      <c r="M163"/>
      <c r="N163" s="6"/>
      <c r="O163" s="32"/>
    </row>
    <row r="164" spans="1:15">
      <c r="I164" s="6"/>
      <c r="M164"/>
      <c r="N164" s="6"/>
      <c r="O164" s="32"/>
    </row>
    <row r="165" spans="1:15">
      <c r="A165" s="37" t="s">
        <v>19</v>
      </c>
      <c r="B165" s="6">
        <f>SUM(B152:B162)</f>
        <v>3026527302.2621822</v>
      </c>
      <c r="I165" s="6">
        <f>SUM(I152:I162)</f>
        <v>3026527302.2621818</v>
      </c>
      <c r="J165" s="28">
        <f>I165-B165</f>
        <v>0</v>
      </c>
      <c r="K165" s="1" t="s">
        <v>213</v>
      </c>
      <c r="M165" s="5"/>
      <c r="N165" s="6"/>
      <c r="O165" s="32"/>
    </row>
    <row r="166" spans="1:15">
      <c r="M166" s="5"/>
      <c r="N166" s="6"/>
      <c r="O166" s="32"/>
    </row>
    <row r="167" spans="1:15">
      <c r="I167" s="6">
        <f>SUM(I152:I163)</f>
        <v>3341474693.7254682</v>
      </c>
      <c r="J167" s="28">
        <f>I150-I167</f>
        <v>0</v>
      </c>
      <c r="M167" s="5"/>
      <c r="N167" s="6"/>
      <c r="O167" s="32"/>
    </row>
    <row r="168" spans="1:15">
      <c r="I168" s="293"/>
      <c r="J168" s="293"/>
      <c r="K168"/>
      <c r="L168"/>
      <c r="M168" s="5"/>
      <c r="N168" s="6"/>
      <c r="O168" s="32"/>
    </row>
    <row r="169" spans="1:15">
      <c r="M169" s="6"/>
      <c r="N169" s="6"/>
      <c r="O169" s="32"/>
    </row>
    <row r="170" spans="1:15">
      <c r="M170" s="6"/>
      <c r="N170" s="6"/>
      <c r="O170" s="32"/>
    </row>
    <row r="171" spans="1:15">
      <c r="A171"/>
      <c r="B171"/>
      <c r="C171"/>
      <c r="D171"/>
      <c r="E171"/>
      <c r="H171"/>
      <c r="I171"/>
      <c r="J171"/>
    </row>
    <row r="172" spans="1:15">
      <c r="A172"/>
      <c r="B172"/>
      <c r="C172"/>
      <c r="D172"/>
      <c r="E172"/>
      <c r="H172"/>
      <c r="I172"/>
      <c r="J172"/>
    </row>
    <row r="173" spans="1:15">
      <c r="A173"/>
      <c r="B173"/>
      <c r="C173"/>
      <c r="D173"/>
      <c r="E173"/>
      <c r="H173"/>
      <c r="I173"/>
      <c r="J173"/>
    </row>
    <row r="174" spans="1:15">
      <c r="A174"/>
      <c r="B174"/>
      <c r="C174"/>
      <c r="D174"/>
      <c r="E174"/>
      <c r="H174"/>
      <c r="I174"/>
      <c r="J174"/>
    </row>
    <row r="175" spans="1:15">
      <c r="A175"/>
      <c r="B175"/>
      <c r="C175"/>
      <c r="D175"/>
      <c r="E175"/>
      <c r="H175"/>
      <c r="I175"/>
      <c r="J175"/>
    </row>
    <row r="176" spans="1:15">
      <c r="A176"/>
      <c r="B176"/>
      <c r="C176"/>
      <c r="D176"/>
      <c r="E176"/>
      <c r="H176"/>
      <c r="I176"/>
      <c r="J176"/>
    </row>
    <row r="177" spans="1:13">
      <c r="A177"/>
      <c r="B177"/>
      <c r="C177"/>
      <c r="D177"/>
      <c r="E177"/>
      <c r="H177"/>
      <c r="I177"/>
      <c r="J177"/>
    </row>
    <row r="178" spans="1:13">
      <c r="A178"/>
      <c r="B178"/>
      <c r="C178"/>
      <c r="D178"/>
      <c r="E178"/>
      <c r="H178"/>
      <c r="I178"/>
      <c r="J178"/>
    </row>
    <row r="179" spans="1:13">
      <c r="A179"/>
      <c r="B179"/>
      <c r="C179"/>
      <c r="D179"/>
      <c r="E179"/>
      <c r="H179"/>
      <c r="I179"/>
      <c r="J179"/>
      <c r="K179"/>
      <c r="L179"/>
      <c r="M179"/>
    </row>
    <row r="180" spans="1:13">
      <c r="A180"/>
      <c r="B180"/>
      <c r="C180"/>
      <c r="D180"/>
      <c r="E180"/>
      <c r="H180"/>
      <c r="I180"/>
      <c r="J180"/>
      <c r="K180"/>
      <c r="L180"/>
      <c r="M180"/>
    </row>
    <row r="181" spans="1:13">
      <c r="A181"/>
      <c r="B181"/>
      <c r="C181"/>
      <c r="D181"/>
      <c r="E181"/>
      <c r="H181"/>
      <c r="I181"/>
      <c r="J181"/>
      <c r="K181"/>
      <c r="L181"/>
      <c r="M181"/>
    </row>
    <row r="182" spans="1:13">
      <c r="A182"/>
      <c r="B182"/>
      <c r="C182"/>
      <c r="D182"/>
      <c r="E182"/>
      <c r="H182"/>
      <c r="I182"/>
      <c r="J182"/>
      <c r="K182"/>
      <c r="L182"/>
      <c r="M182"/>
    </row>
    <row r="183" spans="1:13">
      <c r="A183"/>
      <c r="B183"/>
      <c r="C183"/>
      <c r="D183"/>
      <c r="E183"/>
      <c r="H183"/>
      <c r="I183"/>
      <c r="J183"/>
      <c r="K183"/>
      <c r="L183"/>
      <c r="M183"/>
    </row>
    <row r="184" spans="1:13">
      <c r="A184"/>
      <c r="K184"/>
      <c r="L184"/>
      <c r="M184"/>
    </row>
    <row r="185" spans="1:13">
      <c r="A185"/>
      <c r="K185"/>
      <c r="L185"/>
      <c r="M185"/>
    </row>
    <row r="186" spans="1:13">
      <c r="A186"/>
      <c r="K186"/>
      <c r="L186"/>
      <c r="M186"/>
    </row>
    <row r="187" spans="1:13">
      <c r="A187"/>
      <c r="K187"/>
      <c r="L187"/>
      <c r="M187"/>
    </row>
    <row r="188" spans="1:13">
      <c r="A188"/>
      <c r="K188"/>
      <c r="L188"/>
      <c r="M188"/>
    </row>
    <row r="189" spans="1:13">
      <c r="A189"/>
      <c r="K189"/>
      <c r="L189"/>
      <c r="M189"/>
    </row>
    <row r="190" spans="1:13">
      <c r="A190"/>
      <c r="K190"/>
      <c r="L190"/>
      <c r="M190"/>
    </row>
    <row r="191" spans="1:13">
      <c r="A191"/>
      <c r="K191"/>
      <c r="L191"/>
      <c r="M191"/>
    </row>
    <row r="192" spans="1:13">
      <c r="A192"/>
      <c r="K192"/>
      <c r="L192"/>
      <c r="M192"/>
    </row>
    <row r="193" spans="1:13">
      <c r="A193"/>
      <c r="K193"/>
      <c r="L193"/>
      <c r="M193"/>
    </row>
    <row r="194" spans="1:13">
      <c r="A194"/>
      <c r="K194"/>
      <c r="L194"/>
      <c r="M194"/>
    </row>
    <row r="195" spans="1:13" customFormat="1">
      <c r="F195" s="48"/>
      <c r="G195" s="48"/>
    </row>
    <row r="196" spans="1:13" customFormat="1">
      <c r="F196" s="48"/>
      <c r="G196" s="48"/>
    </row>
  </sheetData>
  <mergeCells count="1">
    <mergeCell ref="I168:J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57FEC-B659-4D1F-922B-3AE6DB82DFB2}">
  <sheetPr>
    <tabColor rgb="FF00B0F0"/>
    <pageSetUpPr fitToPage="1"/>
  </sheetPr>
  <dimension ref="A1:AA196"/>
  <sheetViews>
    <sheetView tabSelected="1" zoomScale="78" zoomScaleNormal="78" workbookViewId="0">
      <pane xSplit="1" ySplit="2" topLeftCell="B135" activePane="bottomRight" state="frozen"/>
      <selection pane="bottomRight" activeCell="N160" sqref="N160"/>
      <selection pane="bottomLeft" activeCell="A3" sqref="A3"/>
      <selection pane="topRight" activeCell="C1" sqref="C1"/>
    </sheetView>
  </sheetViews>
  <sheetFormatPr defaultRowHeight="12.75"/>
  <cols>
    <col min="1" max="1" width="11.85546875" style="21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0.28515625" style="48" customWidth="1"/>
    <col min="8" max="8" width="13" style="1" customWidth="1"/>
    <col min="9" max="9" width="15.5703125" style="1" bestFit="1" customWidth="1"/>
    <col min="10" max="10" width="16" style="1" customWidth="1"/>
    <col min="11" max="12" width="8.42578125" style="1" customWidth="1"/>
    <col min="13" max="13" width="4.85546875" style="1" customWidth="1"/>
    <col min="14" max="14" width="44.42578125" customWidth="1"/>
    <col min="15" max="15" width="18.42578125" customWidth="1"/>
    <col min="16" max="22" width="12.5703125" customWidth="1"/>
    <col min="23" max="23" width="42.42578125" bestFit="1" customWidth="1"/>
    <col min="24" max="24" width="15.5703125" bestFit="1" customWidth="1"/>
    <col min="25" max="25" width="26.140625" bestFit="1" customWidth="1"/>
    <col min="26" max="26" width="23" bestFit="1" customWidth="1"/>
    <col min="29" max="29" width="40.5703125" bestFit="1" customWidth="1"/>
    <col min="30" max="30" width="42.85546875" bestFit="1" customWidth="1"/>
  </cols>
  <sheetData>
    <row r="1" spans="1:27">
      <c r="W1" s="92" t="s">
        <v>173</v>
      </c>
      <c r="X1" s="92"/>
      <c r="Y1" s="92"/>
      <c r="Z1" s="92"/>
      <c r="AA1" s="92"/>
    </row>
    <row r="2" spans="1:27" ht="38.25">
      <c r="A2" s="409"/>
      <c r="B2" s="410" t="s">
        <v>174</v>
      </c>
      <c r="C2" s="411" t="s">
        <v>175</v>
      </c>
      <c r="D2" s="411" t="s">
        <v>176</v>
      </c>
      <c r="E2" s="411" t="s">
        <v>177</v>
      </c>
      <c r="F2" s="263" t="s">
        <v>178</v>
      </c>
      <c r="G2" s="263" t="s">
        <v>179</v>
      </c>
      <c r="H2" s="411" t="s">
        <v>149</v>
      </c>
      <c r="I2" s="411" t="s">
        <v>180</v>
      </c>
      <c r="J2" s="412" t="s">
        <v>181</v>
      </c>
      <c r="K2" s="411" t="s">
        <v>182</v>
      </c>
      <c r="L2" s="411" t="s">
        <v>183</v>
      </c>
      <c r="M2"/>
      <c r="N2" t="s">
        <v>184</v>
      </c>
      <c r="W2" s="92" t="s">
        <v>185</v>
      </c>
      <c r="X2" s="92"/>
      <c r="Y2" s="92"/>
      <c r="Z2" s="92"/>
      <c r="AA2" s="92"/>
    </row>
    <row r="3" spans="1:27" ht="13.5" thickBot="1">
      <c r="A3" s="413">
        <v>41305</v>
      </c>
      <c r="B3" s="414">
        <f>Inputs!D24</f>
        <v>24666681.099999998</v>
      </c>
      <c r="C3" s="415">
        <v>703.65</v>
      </c>
      <c r="D3" s="415">
        <v>0</v>
      </c>
      <c r="E3" s="414">
        <v>31</v>
      </c>
      <c r="F3" s="264">
        <v>0</v>
      </c>
      <c r="G3" s="264">
        <v>0</v>
      </c>
      <c r="H3" s="414">
        <f>Inputs!G24+Inputs!I24+Inputs!L24+Inputs!X24</f>
        <v>15076</v>
      </c>
      <c r="I3" s="414">
        <f>$O$18+$O$19*C3+$O$20*D3+$O$21*E3+$O$22*F3+$O$23*G3+$O$24*H3</f>
        <v>24786762.42067707</v>
      </c>
      <c r="J3" s="28">
        <f t="shared" ref="J3:J66" si="0">I3-B3</f>
        <v>120081.32067707181</v>
      </c>
      <c r="K3" s="36">
        <f t="shared" ref="K3:K66" si="1">J3/B3</f>
        <v>4.8681588005397214E-3</v>
      </c>
      <c r="L3" s="416">
        <f>ABS(K3)</f>
        <v>4.8681588005397214E-3</v>
      </c>
      <c r="M3" s="416"/>
      <c r="W3" s="92" t="s">
        <v>186</v>
      </c>
      <c r="X3" s="92"/>
      <c r="Y3" s="92"/>
      <c r="Z3" s="92"/>
      <c r="AA3" s="92"/>
    </row>
    <row r="4" spans="1:27">
      <c r="A4" s="413">
        <v>41333</v>
      </c>
      <c r="B4" s="414">
        <f>Inputs!D25</f>
        <v>22513099.599999998</v>
      </c>
      <c r="C4" s="415">
        <v>630.40499999999997</v>
      </c>
      <c r="D4" s="415">
        <v>0</v>
      </c>
      <c r="E4" s="414">
        <v>28</v>
      </c>
      <c r="F4" s="264">
        <v>0</v>
      </c>
      <c r="G4" s="264">
        <v>0</v>
      </c>
      <c r="H4" s="414">
        <f>Inputs!G25+Inputs!I25+Inputs!L25+Inputs!X25</f>
        <v>15088</v>
      </c>
      <c r="I4" s="414">
        <f t="shared" ref="I4:I67" si="2">$O$18+$O$19*C4+$O$20*D4+$O$21*E4+$O$22*F4+$O$23*G4+$O$24*H4</f>
        <v>21979024.732549444</v>
      </c>
      <c r="J4" s="28">
        <f t="shared" si="0"/>
        <v>-534074.86745055392</v>
      </c>
      <c r="K4" s="36">
        <f t="shared" si="1"/>
        <v>-2.3722849227325142E-2</v>
      </c>
      <c r="L4" s="416">
        <f t="shared" ref="L4:L67" si="3">ABS(K4)</f>
        <v>2.3722849227325142E-2</v>
      </c>
      <c r="M4" s="416"/>
      <c r="N4" s="267" t="s">
        <v>187</v>
      </c>
      <c r="O4" s="267"/>
      <c r="W4" s="92"/>
      <c r="X4" s="92"/>
      <c r="Y4" s="92"/>
      <c r="Z4" s="92"/>
      <c r="AA4" s="92"/>
    </row>
    <row r="5" spans="1:27">
      <c r="A5" s="413">
        <v>41364</v>
      </c>
      <c r="B5" s="414">
        <f>Inputs!D26</f>
        <v>22356782.100000001</v>
      </c>
      <c r="C5" s="415">
        <v>547.82999999999993</v>
      </c>
      <c r="D5" s="415">
        <v>0</v>
      </c>
      <c r="E5" s="414">
        <v>31</v>
      </c>
      <c r="F5" s="264">
        <v>1</v>
      </c>
      <c r="G5" s="264">
        <v>0</v>
      </c>
      <c r="H5" s="414">
        <f>Inputs!G26+Inputs!I26+Inputs!L26+Inputs!X26</f>
        <v>15100</v>
      </c>
      <c r="I5" s="414">
        <f t="shared" si="2"/>
        <v>22115130.650097884</v>
      </c>
      <c r="J5" s="28">
        <f t="shared" si="0"/>
        <v>-241651.44990211725</v>
      </c>
      <c r="K5" s="36">
        <f t="shared" si="1"/>
        <v>-1.0808865462893126E-2</v>
      </c>
      <c r="L5" s="416">
        <f t="shared" si="3"/>
        <v>1.0808865462893126E-2</v>
      </c>
      <c r="M5" s="416"/>
      <c r="N5" t="s">
        <v>188</v>
      </c>
      <c r="O5">
        <v>0.98533842711816955</v>
      </c>
      <c r="W5" s="92" t="s">
        <v>189</v>
      </c>
      <c r="X5" s="92"/>
      <c r="Y5" s="92"/>
      <c r="Z5" s="92"/>
      <c r="AA5" s="92"/>
    </row>
    <row r="6" spans="1:27">
      <c r="A6" s="413">
        <v>41394</v>
      </c>
      <c r="B6" s="414">
        <f>Inputs!D27</f>
        <v>19424576.5</v>
      </c>
      <c r="C6" s="415">
        <v>338.72500000000002</v>
      </c>
      <c r="D6" s="415">
        <v>0.71000000000000008</v>
      </c>
      <c r="E6" s="414">
        <v>30</v>
      </c>
      <c r="F6" s="264">
        <v>1</v>
      </c>
      <c r="G6" s="264">
        <v>0</v>
      </c>
      <c r="H6" s="414">
        <f>Inputs!G27+Inputs!I27+Inputs!L27+Inputs!X27</f>
        <v>15107</v>
      </c>
      <c r="I6" s="414">
        <f t="shared" si="2"/>
        <v>18878820.96947528</v>
      </c>
      <c r="J6" s="28">
        <f t="shared" si="0"/>
        <v>-545755.53052471951</v>
      </c>
      <c r="K6" s="36">
        <f t="shared" si="1"/>
        <v>-2.8096135353309737E-2</v>
      </c>
      <c r="L6" s="416">
        <f t="shared" si="3"/>
        <v>2.8096135353309737E-2</v>
      </c>
      <c r="M6" s="416"/>
      <c r="N6" t="s">
        <v>29</v>
      </c>
      <c r="O6">
        <v>0.97089181595570839</v>
      </c>
      <c r="W6" s="92" t="s">
        <v>190</v>
      </c>
      <c r="X6" s="92"/>
      <c r="Y6" s="92"/>
      <c r="Z6" s="92"/>
      <c r="AA6" s="92"/>
    </row>
    <row r="7" spans="1:27">
      <c r="A7" s="413">
        <v>41425</v>
      </c>
      <c r="B7" s="414">
        <f>Inputs!D28</f>
        <v>17840112.599999998</v>
      </c>
      <c r="C7" s="415">
        <v>144.06</v>
      </c>
      <c r="D7" s="415">
        <v>23.914999999999999</v>
      </c>
      <c r="E7" s="414">
        <v>31</v>
      </c>
      <c r="F7" s="264">
        <v>1</v>
      </c>
      <c r="G7" s="264">
        <v>0</v>
      </c>
      <c r="H7" s="414">
        <f>Inputs!G28+Inputs!I28+Inputs!L28+Inputs!X28</f>
        <v>15139</v>
      </c>
      <c r="I7" s="414">
        <f t="shared" si="2"/>
        <v>18159043.623354487</v>
      </c>
      <c r="J7" s="28">
        <f t="shared" si="0"/>
        <v>318931.02335448936</v>
      </c>
      <c r="K7" s="36">
        <f t="shared" si="1"/>
        <v>1.7877186680676522E-2</v>
      </c>
      <c r="L7" s="416">
        <f t="shared" si="3"/>
        <v>1.7877186680676522E-2</v>
      </c>
      <c r="M7" s="416"/>
      <c r="N7" t="s">
        <v>30</v>
      </c>
      <c r="O7">
        <v>0.96942417642406342</v>
      </c>
      <c r="W7" s="92"/>
      <c r="X7" s="92"/>
      <c r="Y7" s="92"/>
      <c r="Z7" s="92"/>
      <c r="AA7" s="92"/>
    </row>
    <row r="8" spans="1:27">
      <c r="A8" s="413">
        <v>41455</v>
      </c>
      <c r="B8" s="414">
        <f>Inputs!D29</f>
        <v>18666406.800000001</v>
      </c>
      <c r="C8" s="415">
        <v>21.37</v>
      </c>
      <c r="D8" s="415">
        <v>69.710000000000008</v>
      </c>
      <c r="E8" s="414">
        <v>30</v>
      </c>
      <c r="F8" s="264">
        <v>0</v>
      </c>
      <c r="G8" s="264">
        <v>0</v>
      </c>
      <c r="H8" s="414">
        <f>Inputs!G29+Inputs!I29+Inputs!L29+Inputs!X29</f>
        <v>15172</v>
      </c>
      <c r="I8" s="414">
        <f t="shared" si="2"/>
        <v>18867739.050089844</v>
      </c>
      <c r="J8" s="28">
        <f t="shared" si="0"/>
        <v>201332.25008984283</v>
      </c>
      <c r="K8" s="36">
        <f t="shared" si="1"/>
        <v>1.0785806408646511E-2</v>
      </c>
      <c r="L8" s="416">
        <f t="shared" si="3"/>
        <v>1.0785806408646511E-2</v>
      </c>
      <c r="M8" s="416"/>
      <c r="N8" t="s">
        <v>191</v>
      </c>
      <c r="O8">
        <v>522565.06296396116</v>
      </c>
      <c r="W8" s="92"/>
      <c r="X8" s="92"/>
      <c r="Y8" s="92"/>
      <c r="Z8" s="92"/>
      <c r="AA8" s="92"/>
    </row>
    <row r="9" spans="1:27" ht="13.5" thickBot="1">
      <c r="A9" s="413">
        <v>41486</v>
      </c>
      <c r="B9" s="414">
        <f>Inputs!D30</f>
        <v>22033173.100000001</v>
      </c>
      <c r="C9" s="414">
        <v>1.37</v>
      </c>
      <c r="D9" s="414">
        <v>141.07500000000002</v>
      </c>
      <c r="E9" s="414">
        <v>31</v>
      </c>
      <c r="F9" s="264">
        <v>0</v>
      </c>
      <c r="G9" s="264">
        <v>0</v>
      </c>
      <c r="H9" s="414">
        <f>Inputs!G30+Inputs!I30+Inputs!L30+Inputs!X30</f>
        <v>15207</v>
      </c>
      <c r="I9" s="414">
        <f t="shared" si="2"/>
        <v>22615476.279695194</v>
      </c>
      <c r="J9" s="28">
        <f t="shared" si="0"/>
        <v>582303.17969519272</v>
      </c>
      <c r="K9" s="36">
        <f t="shared" si="1"/>
        <v>2.6428475692191276E-2</v>
      </c>
      <c r="L9" s="416">
        <f t="shared" si="3"/>
        <v>2.6428475692191276E-2</v>
      </c>
      <c r="M9" s="416"/>
      <c r="N9" s="265" t="s">
        <v>192</v>
      </c>
      <c r="O9" s="265">
        <v>126</v>
      </c>
      <c r="W9" s="92"/>
      <c r="X9" s="92"/>
      <c r="Y9" s="92"/>
      <c r="Z9" s="92"/>
      <c r="AA9" s="92"/>
    </row>
    <row r="10" spans="1:27">
      <c r="A10" s="413">
        <v>41517</v>
      </c>
      <c r="B10" s="414">
        <f>Inputs!D31</f>
        <v>20162331.399999999</v>
      </c>
      <c r="C10" s="414">
        <v>3.2950000000000004</v>
      </c>
      <c r="D10" s="414">
        <v>124.67</v>
      </c>
      <c r="E10" s="414">
        <v>31</v>
      </c>
      <c r="F10" s="264">
        <v>0</v>
      </c>
      <c r="G10" s="264">
        <v>0</v>
      </c>
      <c r="H10" s="414">
        <f>Inputs!G31+Inputs!I31+Inputs!L31+Inputs!X31</f>
        <v>15244</v>
      </c>
      <c r="I10" s="414">
        <f t="shared" si="2"/>
        <v>21900476.687619947</v>
      </c>
      <c r="J10" s="28">
        <f t="shared" si="0"/>
        <v>1738145.2876199484</v>
      </c>
      <c r="K10" s="36">
        <f t="shared" si="1"/>
        <v>8.6207554728514602E-2</v>
      </c>
      <c r="L10" s="416">
        <f t="shared" si="3"/>
        <v>8.6207554728514602E-2</v>
      </c>
      <c r="M10" s="416"/>
      <c r="W10" s="92"/>
      <c r="X10" s="92"/>
      <c r="Y10" s="92"/>
      <c r="Z10" s="92"/>
      <c r="AA10" s="92"/>
    </row>
    <row r="11" spans="1:27" ht="13.5" thickBot="1">
      <c r="A11" s="413">
        <v>41547</v>
      </c>
      <c r="B11" s="414">
        <f>Inputs!D32</f>
        <v>17834215.399999999</v>
      </c>
      <c r="C11" s="414">
        <v>50.260000000000005</v>
      </c>
      <c r="D11" s="414">
        <v>49.079999999999991</v>
      </c>
      <c r="E11" s="414">
        <v>30</v>
      </c>
      <c r="F11" s="264">
        <v>1</v>
      </c>
      <c r="G11" s="264">
        <v>0</v>
      </c>
      <c r="H11" s="414">
        <f>Inputs!G32+Inputs!I32+Inputs!L32+Inputs!X32</f>
        <v>15260</v>
      </c>
      <c r="I11" s="414">
        <f t="shared" si="2"/>
        <v>17616356.743041493</v>
      </c>
      <c r="J11" s="28">
        <f t="shared" si="0"/>
        <v>-217858.65695850551</v>
      </c>
      <c r="K11" s="36">
        <f t="shared" si="1"/>
        <v>-1.2215769074904497E-2</v>
      </c>
      <c r="L11" s="416">
        <f t="shared" si="3"/>
        <v>1.2215769074904497E-2</v>
      </c>
      <c r="M11" s="416"/>
      <c r="N11" t="s">
        <v>193</v>
      </c>
    </row>
    <row r="12" spans="1:27">
      <c r="A12" s="413">
        <v>41578</v>
      </c>
      <c r="B12" s="414">
        <f>Inputs!D33</f>
        <v>19036509.300000001</v>
      </c>
      <c r="C12" s="414">
        <v>222.22000000000003</v>
      </c>
      <c r="D12" s="414">
        <v>3.3</v>
      </c>
      <c r="E12" s="414">
        <v>31</v>
      </c>
      <c r="F12" s="264">
        <v>1</v>
      </c>
      <c r="G12" s="264">
        <v>0</v>
      </c>
      <c r="H12" s="414">
        <f>Inputs!G33+Inputs!I33+Inputs!L33+Inputs!X33</f>
        <v>15288</v>
      </c>
      <c r="I12" s="414">
        <f t="shared" si="2"/>
        <v>18299181.753623664</v>
      </c>
      <c r="J12" s="28">
        <f t="shared" si="0"/>
        <v>-737327.54637633637</v>
      </c>
      <c r="K12" s="36">
        <f t="shared" si="1"/>
        <v>-3.8732287246398496E-2</v>
      </c>
      <c r="L12" s="416">
        <f t="shared" si="3"/>
        <v>3.8732287246398496E-2</v>
      </c>
      <c r="M12" s="416"/>
      <c r="N12" s="266"/>
      <c r="O12" s="266" t="s">
        <v>194</v>
      </c>
      <c r="P12" s="266" t="s">
        <v>195</v>
      </c>
      <c r="Q12" s="266" t="s">
        <v>196</v>
      </c>
      <c r="R12" s="266" t="s">
        <v>197</v>
      </c>
      <c r="S12" s="266" t="s">
        <v>198</v>
      </c>
    </row>
    <row r="13" spans="1:27">
      <c r="A13" s="413">
        <v>41608</v>
      </c>
      <c r="B13" s="414">
        <f>Inputs!D34</f>
        <v>21552244.500000004</v>
      </c>
      <c r="C13" s="414">
        <v>420.84500000000008</v>
      </c>
      <c r="D13" s="414">
        <v>0.09</v>
      </c>
      <c r="E13" s="414">
        <v>30</v>
      </c>
      <c r="F13" s="264">
        <v>0</v>
      </c>
      <c r="G13" s="264">
        <v>0</v>
      </c>
      <c r="H13" s="414">
        <f>Inputs!G34+Inputs!I34+Inputs!L34+Inputs!X34</f>
        <v>15334</v>
      </c>
      <c r="I13" s="414">
        <f t="shared" si="2"/>
        <v>20786672.239253879</v>
      </c>
      <c r="J13" s="28">
        <f t="shared" si="0"/>
        <v>-765572.26074612513</v>
      </c>
      <c r="K13" s="36">
        <f t="shared" si="1"/>
        <v>-3.5521695234393108E-2</v>
      </c>
      <c r="L13" s="416">
        <f t="shared" si="3"/>
        <v>3.5521695234393108E-2</v>
      </c>
      <c r="M13" s="416"/>
      <c r="N13" t="s">
        <v>199</v>
      </c>
      <c r="O13">
        <v>6</v>
      </c>
      <c r="P13">
        <v>1083885561536761.6</v>
      </c>
      <c r="Q13">
        <v>180647593589460.28</v>
      </c>
      <c r="R13">
        <v>661.53288666701076</v>
      </c>
      <c r="S13">
        <v>7.1329926807429673E-89</v>
      </c>
    </row>
    <row r="14" spans="1:27">
      <c r="A14" s="413">
        <v>41639</v>
      </c>
      <c r="B14" s="414">
        <f>Inputs!D35</f>
        <v>25671928.999999996</v>
      </c>
      <c r="C14" s="414">
        <v>579.06000000000006</v>
      </c>
      <c r="D14" s="414">
        <v>0</v>
      </c>
      <c r="E14" s="414">
        <v>31</v>
      </c>
      <c r="F14" s="264">
        <v>0</v>
      </c>
      <c r="G14" s="264">
        <v>0</v>
      </c>
      <c r="H14" s="414">
        <f>Inputs!G35+Inputs!I35+Inputs!L35+Inputs!X35</f>
        <v>15352</v>
      </c>
      <c r="I14" s="414">
        <f t="shared" si="2"/>
        <v>23428017.670599591</v>
      </c>
      <c r="J14" s="28">
        <f t="shared" si="0"/>
        <v>-2243911.3294004053</v>
      </c>
      <c r="K14" s="36">
        <f t="shared" si="1"/>
        <v>-8.7407195984392352E-2</v>
      </c>
      <c r="L14" s="416">
        <f t="shared" si="3"/>
        <v>8.7407195984392352E-2</v>
      </c>
      <c r="M14" s="416"/>
      <c r="N14" t="s">
        <v>200</v>
      </c>
      <c r="O14">
        <v>119</v>
      </c>
      <c r="P14">
        <v>32495835158632.918</v>
      </c>
      <c r="Q14">
        <v>273074245030.52872</v>
      </c>
    </row>
    <row r="15" spans="1:27" ht="13.5" thickBot="1">
      <c r="A15" s="413">
        <v>41670</v>
      </c>
      <c r="B15" s="414">
        <f>Inputs!D36</f>
        <v>27344318.300000001</v>
      </c>
      <c r="C15" s="414">
        <v>703.65</v>
      </c>
      <c r="D15" s="414">
        <v>0</v>
      </c>
      <c r="E15" s="414">
        <v>31</v>
      </c>
      <c r="F15" s="264">
        <v>0</v>
      </c>
      <c r="G15" s="264">
        <v>0</v>
      </c>
      <c r="H15" s="414">
        <f>Inputs!G36+Inputs!I36+Inputs!L36+Inputs!X36</f>
        <v>15406</v>
      </c>
      <c r="I15" s="414">
        <f t="shared" si="2"/>
        <v>25046347.368017461</v>
      </c>
      <c r="J15" s="28">
        <f t="shared" si="0"/>
        <v>-2297970.9319825396</v>
      </c>
      <c r="K15" s="36">
        <f t="shared" si="1"/>
        <v>-8.403833318391922E-2</v>
      </c>
      <c r="L15" s="416">
        <f t="shared" si="3"/>
        <v>8.403833318391922E-2</v>
      </c>
      <c r="M15" s="416"/>
      <c r="N15" s="265" t="s">
        <v>19</v>
      </c>
      <c r="O15" s="265">
        <v>125</v>
      </c>
      <c r="P15" s="265">
        <v>1116381396695394.5</v>
      </c>
      <c r="Q15" s="265"/>
      <c r="R15" s="265"/>
      <c r="S15" s="265"/>
    </row>
    <row r="16" spans="1:27" ht="13.5" thickBot="1">
      <c r="A16" s="413">
        <v>41698</v>
      </c>
      <c r="B16" s="414">
        <f>Inputs!D37</f>
        <v>23698938.399999999</v>
      </c>
      <c r="C16" s="414">
        <v>630.40499999999997</v>
      </c>
      <c r="D16" s="414">
        <v>0</v>
      </c>
      <c r="E16" s="414">
        <v>28</v>
      </c>
      <c r="F16" s="264">
        <v>0</v>
      </c>
      <c r="G16" s="264">
        <v>0</v>
      </c>
      <c r="H16" s="414">
        <f>Inputs!G37+Inputs!I37+Inputs!L37+Inputs!X37</f>
        <v>15425</v>
      </c>
      <c r="I16" s="414">
        <f t="shared" si="2"/>
        <v>22244116.027257666</v>
      </c>
      <c r="J16" s="28">
        <f t="shared" si="0"/>
        <v>-1454822.3727423325</v>
      </c>
      <c r="K16" s="36">
        <f t="shared" si="1"/>
        <v>-6.1387659995028834E-2</v>
      </c>
      <c r="L16" s="416">
        <f t="shared" si="3"/>
        <v>6.1387659995028834E-2</v>
      </c>
      <c r="M16" s="416"/>
    </row>
    <row r="17" spans="1:22">
      <c r="A17" s="413">
        <v>41729</v>
      </c>
      <c r="B17" s="414">
        <f>Inputs!D38</f>
        <v>24427814.699999999</v>
      </c>
      <c r="C17" s="414">
        <v>547.82999999999993</v>
      </c>
      <c r="D17" s="414">
        <v>0</v>
      </c>
      <c r="E17" s="414">
        <v>31</v>
      </c>
      <c r="F17" s="264">
        <v>1</v>
      </c>
      <c r="G17" s="264">
        <v>0</v>
      </c>
      <c r="H17" s="414">
        <f>Inputs!G38+Inputs!I38+Inputs!L38+Inputs!X38</f>
        <v>15444</v>
      </c>
      <c r="I17" s="414">
        <f t="shared" si="2"/>
        <v>22385728.292173926</v>
      </c>
      <c r="J17" s="28">
        <f t="shared" si="0"/>
        <v>-2042086.4078260735</v>
      </c>
      <c r="K17" s="36">
        <f t="shared" si="1"/>
        <v>-8.3596770030602591E-2</v>
      </c>
      <c r="L17" s="416">
        <f t="shared" si="3"/>
        <v>8.3596770030602591E-2</v>
      </c>
      <c r="M17" s="416"/>
      <c r="N17" s="266"/>
      <c r="O17" s="266" t="s">
        <v>201</v>
      </c>
      <c r="P17" s="266" t="s">
        <v>191</v>
      </c>
      <c r="Q17" s="266" t="s">
        <v>202</v>
      </c>
      <c r="R17" s="266" t="s">
        <v>203</v>
      </c>
      <c r="S17" s="266" t="s">
        <v>204</v>
      </c>
      <c r="T17" s="266" t="s">
        <v>205</v>
      </c>
      <c r="U17" s="266" t="s">
        <v>206</v>
      </c>
      <c r="V17" s="266" t="s">
        <v>207</v>
      </c>
    </row>
    <row r="18" spans="1:22">
      <c r="A18" s="413">
        <v>41759</v>
      </c>
      <c r="B18" s="414">
        <f>Inputs!D39</f>
        <v>19352180.899999999</v>
      </c>
      <c r="C18" s="414">
        <v>338.72500000000002</v>
      </c>
      <c r="D18" s="414">
        <v>0.71000000000000008</v>
      </c>
      <c r="E18" s="414">
        <v>30</v>
      </c>
      <c r="F18" s="264">
        <v>1</v>
      </c>
      <c r="G18" s="264">
        <v>0</v>
      </c>
      <c r="H18" s="414">
        <f>Inputs!G39+Inputs!I39+Inputs!L39+Inputs!X39</f>
        <v>15478</v>
      </c>
      <c r="I18" s="414">
        <f t="shared" si="2"/>
        <v>19170657.379970085</v>
      </c>
      <c r="J18" s="28">
        <f t="shared" si="0"/>
        <v>-181523.52002991363</v>
      </c>
      <c r="K18" s="36">
        <f t="shared" si="1"/>
        <v>-9.380003265157243E-3</v>
      </c>
      <c r="L18" s="416">
        <f t="shared" si="3"/>
        <v>9.380003265157243E-3</v>
      </c>
      <c r="M18" s="416"/>
      <c r="N18" t="s">
        <v>208</v>
      </c>
      <c r="O18">
        <v>-15510087.539512426</v>
      </c>
      <c r="P18">
        <v>1854317.709985255</v>
      </c>
      <c r="Q18">
        <v>-8.3643096627900704</v>
      </c>
      <c r="R18">
        <v>1.3301804990151445E-13</v>
      </c>
      <c r="S18">
        <v>-19181821.80796615</v>
      </c>
      <c r="T18">
        <v>-11838353.271058701</v>
      </c>
      <c r="U18">
        <v>-19181821.80796615</v>
      </c>
      <c r="V18">
        <v>-11838353.271058701</v>
      </c>
    </row>
    <row r="19" spans="1:22">
      <c r="A19" s="413">
        <v>41790</v>
      </c>
      <c r="B19" s="414">
        <f>Inputs!D40</f>
        <v>17549445.199999999</v>
      </c>
      <c r="C19" s="414">
        <v>144.06</v>
      </c>
      <c r="D19" s="414">
        <v>23.914999999999999</v>
      </c>
      <c r="E19" s="414">
        <v>31</v>
      </c>
      <c r="F19" s="264">
        <v>1</v>
      </c>
      <c r="G19" s="264">
        <v>0</v>
      </c>
      <c r="H19" s="414">
        <f>Inputs!G40+Inputs!I40+Inputs!L40+Inputs!X40</f>
        <v>15497</v>
      </c>
      <c r="I19" s="414">
        <f t="shared" si="2"/>
        <v>18440653.960166182</v>
      </c>
      <c r="J19" s="28">
        <f t="shared" si="0"/>
        <v>891208.76016618311</v>
      </c>
      <c r="K19" s="36">
        <f t="shared" si="1"/>
        <v>5.0782731306296972E-2</v>
      </c>
      <c r="L19" s="416">
        <f t="shared" si="3"/>
        <v>5.0782731306296972E-2</v>
      </c>
      <c r="M19" s="416"/>
      <c r="N19" t="s">
        <v>175</v>
      </c>
      <c r="O19">
        <v>12648.303720847203</v>
      </c>
      <c r="P19">
        <v>303.90887229595808</v>
      </c>
      <c r="Q19">
        <v>41.618737963430704</v>
      </c>
      <c r="R19">
        <v>9.122890274202579E-73</v>
      </c>
      <c r="S19">
        <v>12046.533800359808</v>
      </c>
      <c r="T19">
        <v>13250.073641334599</v>
      </c>
      <c r="U19">
        <v>12046.533800359808</v>
      </c>
      <c r="V19">
        <v>13250.073641334599</v>
      </c>
    </row>
    <row r="20" spans="1:22">
      <c r="A20" s="413">
        <v>41820</v>
      </c>
      <c r="B20" s="414">
        <f>Inputs!D41</f>
        <v>18258424.300000001</v>
      </c>
      <c r="C20" s="414">
        <v>21.37</v>
      </c>
      <c r="D20" s="414">
        <v>69.710000000000008</v>
      </c>
      <c r="E20" s="414">
        <v>30</v>
      </c>
      <c r="F20" s="264">
        <v>0</v>
      </c>
      <c r="G20" s="264">
        <v>0</v>
      </c>
      <c r="H20" s="414">
        <f>Inputs!G41+Inputs!I41+Inputs!L41+Inputs!X41</f>
        <v>15515</v>
      </c>
      <c r="I20" s="414">
        <f t="shared" si="2"/>
        <v>19137550.071113341</v>
      </c>
      <c r="J20" s="28">
        <f t="shared" si="0"/>
        <v>879125.77111333981</v>
      </c>
      <c r="K20" s="36">
        <f t="shared" si="1"/>
        <v>4.8149049264527156E-2</v>
      </c>
      <c r="L20" s="416">
        <f t="shared" si="3"/>
        <v>4.8149049264527156E-2</v>
      </c>
      <c r="M20" s="416"/>
      <c r="N20" t="s">
        <v>176</v>
      </c>
      <c r="O20">
        <v>46842.581876385528</v>
      </c>
      <c r="P20">
        <v>1617.340024854725</v>
      </c>
      <c r="Q20">
        <v>28.962729640350727</v>
      </c>
      <c r="R20">
        <v>9.9924919337198426E-56</v>
      </c>
      <c r="S20">
        <v>43640.087092981819</v>
      </c>
      <c r="T20">
        <v>50045.076659789236</v>
      </c>
      <c r="U20">
        <v>43640.087092981819</v>
      </c>
      <c r="V20">
        <v>50045.076659789236</v>
      </c>
    </row>
    <row r="21" spans="1:22">
      <c r="A21" s="413">
        <v>41851</v>
      </c>
      <c r="B21" s="414">
        <f>Inputs!D42</f>
        <v>19452973.100000001</v>
      </c>
      <c r="C21" s="414">
        <v>1.37</v>
      </c>
      <c r="D21" s="414">
        <v>141.07500000000002</v>
      </c>
      <c r="E21" s="414">
        <v>31</v>
      </c>
      <c r="F21" s="264">
        <v>0</v>
      </c>
      <c r="G21" s="264">
        <v>0</v>
      </c>
      <c r="H21" s="414">
        <f>Inputs!G42+Inputs!I42+Inputs!L42+Inputs!X42</f>
        <v>15587</v>
      </c>
      <c r="I21" s="414">
        <f t="shared" si="2"/>
        <v>22914392.279662918</v>
      </c>
      <c r="J21" s="28">
        <f t="shared" si="0"/>
        <v>3461419.1796629168</v>
      </c>
      <c r="K21" s="36">
        <f t="shared" si="1"/>
        <v>0.17793779705904783</v>
      </c>
      <c r="L21" s="416">
        <f t="shared" si="3"/>
        <v>0.17793779705904783</v>
      </c>
      <c r="M21" s="416"/>
      <c r="N21" t="s">
        <v>177</v>
      </c>
      <c r="O21">
        <v>630250.71157491021</v>
      </c>
      <c r="P21">
        <v>59167.990629492917</v>
      </c>
      <c r="Q21">
        <v>10.651886347155331</v>
      </c>
      <c r="R21">
        <v>5.1563559495940608E-19</v>
      </c>
      <c r="S21">
        <v>513092.18063924578</v>
      </c>
      <c r="T21">
        <v>747409.24251057464</v>
      </c>
      <c r="U21">
        <v>513092.18063924578</v>
      </c>
      <c r="V21">
        <v>747409.24251057464</v>
      </c>
    </row>
    <row r="22" spans="1:22">
      <c r="A22" s="413">
        <v>41882</v>
      </c>
      <c r="B22" s="414">
        <f>Inputs!D43</f>
        <v>19828414.199999999</v>
      </c>
      <c r="C22" s="414">
        <v>3.2950000000000004</v>
      </c>
      <c r="D22" s="414">
        <v>124.67</v>
      </c>
      <c r="E22" s="414">
        <v>31</v>
      </c>
      <c r="F22" s="264">
        <v>0</v>
      </c>
      <c r="G22" s="264">
        <v>0</v>
      </c>
      <c r="H22" s="414">
        <f>Inputs!G43+Inputs!I43+Inputs!L43+Inputs!X43</f>
        <v>15628</v>
      </c>
      <c r="I22" s="414">
        <f t="shared" si="2"/>
        <v>22202539.171797857</v>
      </c>
      <c r="J22" s="28">
        <f t="shared" si="0"/>
        <v>2374124.9717978574</v>
      </c>
      <c r="K22" s="36">
        <f t="shared" si="1"/>
        <v>0.11973347681015548</v>
      </c>
      <c r="L22" s="416">
        <f t="shared" si="3"/>
        <v>0.11973347681015548</v>
      </c>
      <c r="M22" s="416"/>
      <c r="N22" t="s">
        <v>178</v>
      </c>
      <c r="O22">
        <v>-719651.99005789624</v>
      </c>
      <c r="P22">
        <v>121885.1317127955</v>
      </c>
      <c r="Q22">
        <v>-5.9043460013945834</v>
      </c>
      <c r="R22">
        <v>3.4276080238196049E-8</v>
      </c>
      <c r="S22">
        <v>-960996.72430434078</v>
      </c>
      <c r="T22">
        <v>-478307.2558114517</v>
      </c>
      <c r="U22">
        <v>-960996.72430434078</v>
      </c>
      <c r="V22">
        <v>-478307.2558114517</v>
      </c>
    </row>
    <row r="23" spans="1:22">
      <c r="A23" s="413">
        <v>41912</v>
      </c>
      <c r="B23" s="414">
        <f>Inputs!D44</f>
        <v>17976813.599999998</v>
      </c>
      <c r="C23" s="414">
        <v>50.260000000000005</v>
      </c>
      <c r="D23" s="414">
        <v>49.079999999999991</v>
      </c>
      <c r="E23" s="414">
        <v>30</v>
      </c>
      <c r="F23" s="264">
        <v>1</v>
      </c>
      <c r="G23" s="264">
        <v>0</v>
      </c>
      <c r="H23" s="414">
        <f>Inputs!G44+Inputs!I44+Inputs!L44+Inputs!X44</f>
        <v>15648</v>
      </c>
      <c r="I23" s="414">
        <f t="shared" si="2"/>
        <v>17921565.711429592</v>
      </c>
      <c r="J23" s="28">
        <f t="shared" si="0"/>
        <v>-55247.888570405543</v>
      </c>
      <c r="K23" s="36">
        <f t="shared" si="1"/>
        <v>-3.0732859448687586E-3</v>
      </c>
      <c r="L23" s="416">
        <f t="shared" si="3"/>
        <v>3.0732859448687586E-3</v>
      </c>
      <c r="M23" s="416"/>
      <c r="N23" t="s">
        <v>179</v>
      </c>
      <c r="O23">
        <v>585161.31888088316</v>
      </c>
      <c r="P23">
        <v>132932.69196764237</v>
      </c>
      <c r="Q23">
        <v>4.4019368766211358</v>
      </c>
      <c r="R23">
        <v>2.3554509941241006E-5</v>
      </c>
      <c r="S23">
        <v>321941.31193866569</v>
      </c>
      <c r="T23">
        <v>848381.32582310063</v>
      </c>
      <c r="U23">
        <v>321941.31193866569</v>
      </c>
      <c r="V23">
        <v>848381.32582310063</v>
      </c>
    </row>
    <row r="24" spans="1:22" ht="13.5" thickBot="1">
      <c r="A24" s="413">
        <v>41943</v>
      </c>
      <c r="B24" s="414">
        <f>Inputs!D45</f>
        <v>19058731</v>
      </c>
      <c r="C24" s="414">
        <v>222.22000000000003</v>
      </c>
      <c r="D24" s="414">
        <v>3.3</v>
      </c>
      <c r="E24" s="414">
        <v>31</v>
      </c>
      <c r="F24" s="264">
        <v>1</v>
      </c>
      <c r="G24" s="264">
        <v>0</v>
      </c>
      <c r="H24" s="414">
        <f>Inputs!G45+Inputs!I45+Inputs!L45+Inputs!X45</f>
        <v>15688</v>
      </c>
      <c r="I24" s="414">
        <f t="shared" si="2"/>
        <v>18613830.174642321</v>
      </c>
      <c r="J24" s="28">
        <f t="shared" si="0"/>
        <v>-444900.82535767928</v>
      </c>
      <c r="K24" s="36">
        <f t="shared" si="1"/>
        <v>-2.3343675156424593E-2</v>
      </c>
      <c r="L24" s="416">
        <f t="shared" si="3"/>
        <v>2.3343675156424593E-2</v>
      </c>
      <c r="M24" s="416"/>
      <c r="N24" s="265" t="s">
        <v>149</v>
      </c>
      <c r="O24" s="265">
        <v>786.62105254664016</v>
      </c>
      <c r="P24" s="265">
        <v>29.672705203389295</v>
      </c>
      <c r="Q24" s="265">
        <v>26.509920384906131</v>
      </c>
      <c r="R24" s="265">
        <v>9.2009850187954678E-52</v>
      </c>
      <c r="S24" s="265">
        <v>727.86613263926574</v>
      </c>
      <c r="T24" s="265">
        <v>845.37597245401457</v>
      </c>
      <c r="U24" s="265">
        <v>727.86613263926574</v>
      </c>
      <c r="V24" s="265">
        <v>845.37597245401457</v>
      </c>
    </row>
    <row r="25" spans="1:22">
      <c r="A25" s="413">
        <v>41973</v>
      </c>
      <c r="B25" s="414">
        <f>Inputs!D46</f>
        <v>22053998.800000001</v>
      </c>
      <c r="C25" s="414">
        <v>420.84500000000008</v>
      </c>
      <c r="D25" s="414">
        <v>0.09</v>
      </c>
      <c r="E25" s="414">
        <v>30</v>
      </c>
      <c r="F25" s="264">
        <v>0</v>
      </c>
      <c r="G25" s="264">
        <v>0</v>
      </c>
      <c r="H25" s="414">
        <f>Inputs!G46+Inputs!I46+Inputs!L46+Inputs!X46</f>
        <v>15720</v>
      </c>
      <c r="I25" s="414">
        <f t="shared" si="2"/>
        <v>21090307.965536881</v>
      </c>
      <c r="J25" s="28">
        <f t="shared" si="0"/>
        <v>-963690.83446311951</v>
      </c>
      <c r="K25" s="36">
        <f t="shared" si="1"/>
        <v>-4.3696875256160776E-2</v>
      </c>
      <c r="L25" s="416">
        <f t="shared" si="3"/>
        <v>4.3696875256160776E-2</v>
      </c>
      <c r="M25" s="416"/>
    </row>
    <row r="26" spans="1:22">
      <c r="A26" s="413">
        <v>42004</v>
      </c>
      <c r="B26" s="414">
        <f>Inputs!D47</f>
        <v>24252933.800000001</v>
      </c>
      <c r="C26" s="414">
        <v>579.06000000000006</v>
      </c>
      <c r="D26" s="414">
        <v>0</v>
      </c>
      <c r="E26" s="414">
        <v>31</v>
      </c>
      <c r="F26" s="264">
        <v>0</v>
      </c>
      <c r="G26" s="264">
        <v>0</v>
      </c>
      <c r="H26" s="414">
        <f>Inputs!G47+Inputs!I47+Inputs!L47+Inputs!X47</f>
        <v>15775</v>
      </c>
      <c r="I26" s="414">
        <f t="shared" si="2"/>
        <v>23760758.375826821</v>
      </c>
      <c r="J26" s="28">
        <f t="shared" si="0"/>
        <v>-492175.42417318001</v>
      </c>
      <c r="K26" s="36">
        <f t="shared" si="1"/>
        <v>-2.0293438650839841E-2</v>
      </c>
      <c r="L26" s="416">
        <f t="shared" si="3"/>
        <v>2.0293438650839841E-2</v>
      </c>
      <c r="M26" s="416"/>
    </row>
    <row r="27" spans="1:22">
      <c r="A27" s="413">
        <v>42035</v>
      </c>
      <c r="B27" s="414">
        <f>Inputs!D48</f>
        <v>26957597.760000002</v>
      </c>
      <c r="C27" s="414">
        <v>703.65</v>
      </c>
      <c r="D27" s="414">
        <v>0</v>
      </c>
      <c r="E27" s="414">
        <v>31</v>
      </c>
      <c r="F27" s="264">
        <v>0</v>
      </c>
      <c r="G27" s="264">
        <v>0</v>
      </c>
      <c r="H27" s="414">
        <f>Inputs!G48+Inputs!I48+Inputs!L48+Inputs!X48</f>
        <v>15793</v>
      </c>
      <c r="I27" s="414">
        <f t="shared" si="2"/>
        <v>25350769.715353012</v>
      </c>
      <c r="J27" s="28">
        <f t="shared" si="0"/>
        <v>-1606828.0446469896</v>
      </c>
      <c r="K27" s="36">
        <f t="shared" si="1"/>
        <v>-5.9605757862861944E-2</v>
      </c>
      <c r="L27" s="416">
        <f t="shared" si="3"/>
        <v>5.9605757862861944E-2</v>
      </c>
    </row>
    <row r="28" spans="1:22">
      <c r="A28" s="413">
        <v>42063</v>
      </c>
      <c r="B28" s="414">
        <f>Inputs!D49</f>
        <v>25654360.289999999</v>
      </c>
      <c r="C28" s="414">
        <v>630.40499999999997</v>
      </c>
      <c r="D28" s="414">
        <v>0</v>
      </c>
      <c r="E28" s="414">
        <v>28</v>
      </c>
      <c r="F28" s="264">
        <v>0</v>
      </c>
      <c r="G28" s="264">
        <v>0</v>
      </c>
      <c r="H28" s="414">
        <f>Inputs!G49+Inputs!I49+Inputs!L49+Inputs!X49</f>
        <v>15802</v>
      </c>
      <c r="I28" s="414">
        <f t="shared" si="2"/>
        <v>22540672.164067745</v>
      </c>
      <c r="J28" s="28">
        <f t="shared" si="0"/>
        <v>-3113688.1259322539</v>
      </c>
      <c r="K28" s="36">
        <f t="shared" si="1"/>
        <v>-0.1213707179105129</v>
      </c>
      <c r="L28" s="416">
        <f t="shared" si="3"/>
        <v>0.1213707179105129</v>
      </c>
    </row>
    <row r="29" spans="1:22">
      <c r="A29" s="413">
        <v>42094</v>
      </c>
      <c r="B29" s="414">
        <f>Inputs!D50</f>
        <v>23473380.280000001</v>
      </c>
      <c r="C29" s="414">
        <v>547.82999999999993</v>
      </c>
      <c r="D29" s="414">
        <v>0</v>
      </c>
      <c r="E29" s="414">
        <v>31</v>
      </c>
      <c r="F29" s="264">
        <v>1</v>
      </c>
      <c r="G29" s="264">
        <v>0</v>
      </c>
      <c r="H29" s="414">
        <f>Inputs!G50+Inputs!I50+Inputs!L50+Inputs!X50</f>
        <v>15826</v>
      </c>
      <c r="I29" s="414">
        <f t="shared" si="2"/>
        <v>22686217.534246743</v>
      </c>
      <c r="J29" s="28">
        <f t="shared" si="0"/>
        <v>-787162.74575325847</v>
      </c>
      <c r="K29" s="36">
        <f t="shared" si="1"/>
        <v>-3.353427313678993E-2</v>
      </c>
      <c r="L29" s="416">
        <f t="shared" si="3"/>
        <v>3.353427313678993E-2</v>
      </c>
    </row>
    <row r="30" spans="1:22">
      <c r="A30" s="413">
        <v>42124</v>
      </c>
      <c r="B30" s="414">
        <f>Inputs!D51</f>
        <v>18844476.52</v>
      </c>
      <c r="C30" s="414">
        <v>338.72500000000002</v>
      </c>
      <c r="D30" s="414">
        <v>0.71000000000000008</v>
      </c>
      <c r="E30" s="414">
        <v>30</v>
      </c>
      <c r="F30" s="264">
        <v>1</v>
      </c>
      <c r="G30" s="264">
        <v>0</v>
      </c>
      <c r="H30" s="414">
        <f>Inputs!G51+Inputs!I51+Inputs!L51+Inputs!X51</f>
        <v>15843</v>
      </c>
      <c r="I30" s="414">
        <f t="shared" si="2"/>
        <v>19457774.064149607</v>
      </c>
      <c r="J30" s="28">
        <f t="shared" si="0"/>
        <v>613297.54414960742</v>
      </c>
      <c r="K30" s="36">
        <f t="shared" si="1"/>
        <v>3.254521522519891E-2</v>
      </c>
      <c r="L30" s="416">
        <f t="shared" si="3"/>
        <v>3.254521522519891E-2</v>
      </c>
    </row>
    <row r="31" spans="1:22">
      <c r="A31" s="413">
        <v>42155</v>
      </c>
      <c r="B31" s="414">
        <f>Inputs!D52</f>
        <v>18113892.379999999</v>
      </c>
      <c r="C31" s="414">
        <v>144.06</v>
      </c>
      <c r="D31" s="414">
        <v>23.914999999999999</v>
      </c>
      <c r="E31" s="414">
        <v>31</v>
      </c>
      <c r="F31" s="264">
        <v>1</v>
      </c>
      <c r="G31" s="264">
        <v>0</v>
      </c>
      <c r="H31" s="414">
        <f>Inputs!G52+Inputs!I52+Inputs!L52+Inputs!X52</f>
        <v>15856</v>
      </c>
      <c r="I31" s="414">
        <f t="shared" si="2"/>
        <v>18723050.918030426</v>
      </c>
      <c r="J31" s="28">
        <f t="shared" si="0"/>
        <v>609158.53803042695</v>
      </c>
      <c r="K31" s="36">
        <f t="shared" si="1"/>
        <v>3.36293561456186E-2</v>
      </c>
      <c r="L31" s="416">
        <f t="shared" si="3"/>
        <v>3.36293561456186E-2</v>
      </c>
    </row>
    <row r="32" spans="1:22">
      <c r="A32" s="413">
        <v>42185</v>
      </c>
      <c r="B32" s="414">
        <f>Inputs!D53</f>
        <v>18210408.52</v>
      </c>
      <c r="C32" s="414">
        <v>21.37</v>
      </c>
      <c r="D32" s="414">
        <v>69.710000000000008</v>
      </c>
      <c r="E32" s="414">
        <v>30</v>
      </c>
      <c r="F32" s="264">
        <v>0</v>
      </c>
      <c r="G32" s="264">
        <v>0</v>
      </c>
      <c r="H32" s="414">
        <f>Inputs!G53+Inputs!I53+Inputs!L53+Inputs!X53</f>
        <v>15883</v>
      </c>
      <c r="I32" s="414">
        <f t="shared" si="2"/>
        <v>19427026.618450508</v>
      </c>
      <c r="J32" s="28">
        <f t="shared" si="0"/>
        <v>1216618.098450508</v>
      </c>
      <c r="K32" s="36">
        <f t="shared" si="1"/>
        <v>6.6808940453715202E-2</v>
      </c>
      <c r="L32" s="416">
        <f t="shared" si="3"/>
        <v>6.6808940453715202E-2</v>
      </c>
    </row>
    <row r="33" spans="1:15">
      <c r="A33" s="413">
        <v>42216</v>
      </c>
      <c r="B33" s="414">
        <f>Inputs!D54</f>
        <v>21783993.609999999</v>
      </c>
      <c r="C33" s="414">
        <v>1.37</v>
      </c>
      <c r="D33" s="414">
        <v>141.07500000000002</v>
      </c>
      <c r="E33" s="414">
        <v>31</v>
      </c>
      <c r="F33" s="264">
        <v>0</v>
      </c>
      <c r="G33" s="264">
        <v>0</v>
      </c>
      <c r="H33" s="414">
        <f>Inputs!G54+Inputs!I54+Inputs!L54+Inputs!X54</f>
        <v>15881</v>
      </c>
      <c r="I33" s="414">
        <f t="shared" si="2"/>
        <v>23145658.869111627</v>
      </c>
      <c r="J33" s="28">
        <f t="shared" si="0"/>
        <v>1361665.2591116279</v>
      </c>
      <c r="K33" s="36">
        <f t="shared" si="1"/>
        <v>6.2507604596732533E-2</v>
      </c>
      <c r="L33" s="416">
        <f t="shared" si="3"/>
        <v>6.2507604596732533E-2</v>
      </c>
      <c r="M33"/>
      <c r="O33" s="40"/>
    </row>
    <row r="34" spans="1:15">
      <c r="A34" s="413">
        <v>42247</v>
      </c>
      <c r="B34" s="414">
        <f>Inputs!D55</f>
        <v>20815474.270000003</v>
      </c>
      <c r="C34" s="414">
        <v>3.2950000000000004</v>
      </c>
      <c r="D34" s="414">
        <v>124.67</v>
      </c>
      <c r="E34" s="414">
        <v>31</v>
      </c>
      <c r="F34" s="264">
        <v>0</v>
      </c>
      <c r="G34" s="264">
        <v>0</v>
      </c>
      <c r="H34" s="414">
        <f>Inputs!G55+Inputs!I55+Inputs!L55+Inputs!X55</f>
        <v>15970</v>
      </c>
      <c r="I34" s="414">
        <f t="shared" si="2"/>
        <v>22471563.571768809</v>
      </c>
      <c r="J34" s="28">
        <f t="shared" si="0"/>
        <v>1656089.3017688058</v>
      </c>
      <c r="K34" s="36">
        <f t="shared" si="1"/>
        <v>7.9560488523464493E-2</v>
      </c>
      <c r="L34" s="416">
        <f t="shared" si="3"/>
        <v>7.9560488523464493E-2</v>
      </c>
      <c r="M34"/>
    </row>
    <row r="35" spans="1:15">
      <c r="A35" s="413">
        <v>42277</v>
      </c>
      <c r="B35" s="414">
        <f>Inputs!D56</f>
        <v>19854447.340000004</v>
      </c>
      <c r="C35" s="414">
        <v>50.260000000000005</v>
      </c>
      <c r="D35" s="414">
        <v>49.079999999999991</v>
      </c>
      <c r="E35" s="414">
        <v>30</v>
      </c>
      <c r="F35" s="264">
        <v>1</v>
      </c>
      <c r="G35" s="264">
        <v>0</v>
      </c>
      <c r="H35" s="414">
        <f>Inputs!G56+Inputs!I56+Inputs!L56+Inputs!X56</f>
        <v>16005</v>
      </c>
      <c r="I35" s="414">
        <f t="shared" si="2"/>
        <v>18202389.427188743</v>
      </c>
      <c r="J35" s="28">
        <f t="shared" si="0"/>
        <v>-1652057.9128112607</v>
      </c>
      <c r="K35" s="36">
        <f t="shared" si="1"/>
        <v>-8.320845624762982E-2</v>
      </c>
      <c r="L35" s="416">
        <f t="shared" si="3"/>
        <v>8.320845624762982E-2</v>
      </c>
      <c r="M35"/>
    </row>
    <row r="36" spans="1:15">
      <c r="A36" s="413">
        <v>42308</v>
      </c>
      <c r="B36" s="414">
        <f>Inputs!D57</f>
        <v>19438981.529999997</v>
      </c>
      <c r="C36" s="414">
        <v>222.22000000000003</v>
      </c>
      <c r="D36" s="414">
        <v>3.3</v>
      </c>
      <c r="E36" s="414">
        <v>31</v>
      </c>
      <c r="F36" s="264">
        <v>1</v>
      </c>
      <c r="G36" s="264">
        <v>0</v>
      </c>
      <c r="H36" s="414">
        <f>Inputs!G57+Inputs!I57+Inputs!L57+Inputs!X57</f>
        <v>16050</v>
      </c>
      <c r="I36" s="414">
        <f t="shared" si="2"/>
        <v>18898586.995664205</v>
      </c>
      <c r="J36" s="28">
        <f t="shared" si="0"/>
        <v>-540394.53433579206</v>
      </c>
      <c r="K36" s="36">
        <f t="shared" si="1"/>
        <v>-2.7799529183244825E-2</v>
      </c>
      <c r="L36" s="416">
        <f t="shared" si="3"/>
        <v>2.7799529183244825E-2</v>
      </c>
      <c r="M36"/>
    </row>
    <row r="37" spans="1:15">
      <c r="A37" s="413">
        <v>42338</v>
      </c>
      <c r="B37" s="414">
        <f>Inputs!D58</f>
        <v>20136180.119999997</v>
      </c>
      <c r="C37" s="414">
        <v>420.84500000000008</v>
      </c>
      <c r="D37" s="414">
        <v>0.09</v>
      </c>
      <c r="E37" s="414">
        <v>30</v>
      </c>
      <c r="F37" s="264">
        <v>0</v>
      </c>
      <c r="G37" s="264">
        <v>0</v>
      </c>
      <c r="H37" s="414">
        <f>Inputs!G58+Inputs!I58+Inputs!L58+Inputs!X58</f>
        <v>16127</v>
      </c>
      <c r="I37" s="414">
        <f t="shared" si="2"/>
        <v>21410462.733923364</v>
      </c>
      <c r="J37" s="28">
        <f t="shared" si="0"/>
        <v>1274282.6139233671</v>
      </c>
      <c r="K37" s="36">
        <f t="shared" si="1"/>
        <v>6.3283234770913799E-2</v>
      </c>
      <c r="L37" s="416">
        <f t="shared" si="3"/>
        <v>6.3283234770913799E-2</v>
      </c>
      <c r="M37"/>
    </row>
    <row r="38" spans="1:15">
      <c r="A38" s="413">
        <v>42369</v>
      </c>
      <c r="B38" s="414">
        <f>Inputs!D59</f>
        <v>22491790.48</v>
      </c>
      <c r="C38" s="414">
        <v>579.06000000000006</v>
      </c>
      <c r="D38" s="414">
        <v>0</v>
      </c>
      <c r="E38" s="414">
        <v>31</v>
      </c>
      <c r="F38" s="264">
        <v>0</v>
      </c>
      <c r="G38" s="264">
        <v>0</v>
      </c>
      <c r="H38" s="414">
        <f>Inputs!G59+Inputs!I59+Inputs!L59+Inputs!X59</f>
        <v>16168</v>
      </c>
      <c r="I38" s="414">
        <f t="shared" si="2"/>
        <v>24069900.44947765</v>
      </c>
      <c r="J38" s="28">
        <f t="shared" si="0"/>
        <v>1578109.9694776498</v>
      </c>
      <c r="K38" s="36">
        <f t="shared" si="1"/>
        <v>7.0163821367664178E-2</v>
      </c>
      <c r="L38" s="416">
        <f t="shared" si="3"/>
        <v>7.0163821367664178E-2</v>
      </c>
      <c r="M38"/>
    </row>
    <row r="39" spans="1:15">
      <c r="A39" s="413">
        <v>42400</v>
      </c>
      <c r="B39" s="414">
        <f>Inputs!D60</f>
        <v>25159552</v>
      </c>
      <c r="C39" s="414">
        <v>703.65</v>
      </c>
      <c r="D39" s="414">
        <v>0</v>
      </c>
      <c r="E39" s="414">
        <v>31</v>
      </c>
      <c r="F39" s="264">
        <v>0</v>
      </c>
      <c r="G39" s="264">
        <v>0</v>
      </c>
      <c r="H39" s="414">
        <f>Inputs!G60+Inputs!I60+Inputs!L60+Inputs!X60</f>
        <v>16197</v>
      </c>
      <c r="I39" s="414">
        <f t="shared" si="2"/>
        <v>25668564.620581854</v>
      </c>
      <c r="J39" s="28">
        <f t="shared" si="0"/>
        <v>509012.62058185413</v>
      </c>
      <c r="K39" s="36">
        <f t="shared" si="1"/>
        <v>2.0231386496144848E-2</v>
      </c>
      <c r="L39" s="416">
        <f t="shared" si="3"/>
        <v>2.0231386496144848E-2</v>
      </c>
      <c r="M39"/>
    </row>
    <row r="40" spans="1:15">
      <c r="A40" s="413">
        <v>42429</v>
      </c>
      <c r="B40" s="414">
        <f>Inputs!D61</f>
        <v>23014941</v>
      </c>
      <c r="C40" s="414">
        <v>630.40499999999997</v>
      </c>
      <c r="D40" s="414">
        <v>0</v>
      </c>
      <c r="E40" s="414">
        <v>29</v>
      </c>
      <c r="F40" s="264">
        <v>0</v>
      </c>
      <c r="G40" s="264">
        <v>0</v>
      </c>
      <c r="H40" s="414">
        <f>Inputs!G61+Inputs!I61+Inputs!L61+Inputs!X61</f>
        <v>16212</v>
      </c>
      <c r="I40" s="414">
        <f t="shared" si="2"/>
        <v>23493437.507186782</v>
      </c>
      <c r="J40" s="28">
        <f t="shared" si="0"/>
        <v>478496.50718678162</v>
      </c>
      <c r="K40" s="36">
        <f t="shared" si="1"/>
        <v>2.0790690151531635E-2</v>
      </c>
      <c r="L40" s="416">
        <f t="shared" si="3"/>
        <v>2.0790690151531635E-2</v>
      </c>
      <c r="M40"/>
    </row>
    <row r="41" spans="1:15">
      <c r="A41" s="413">
        <v>42460</v>
      </c>
      <c r="B41" s="414">
        <f>Inputs!D62</f>
        <v>21970551</v>
      </c>
      <c r="C41" s="414">
        <v>547.82999999999993</v>
      </c>
      <c r="D41" s="414">
        <v>0</v>
      </c>
      <c r="E41" s="414">
        <v>31</v>
      </c>
      <c r="F41" s="264">
        <v>1</v>
      </c>
      <c r="G41" s="264">
        <v>0</v>
      </c>
      <c r="H41" s="414">
        <f>Inputs!G62+Inputs!I62+Inputs!L62+Inputs!X62</f>
        <v>16243</v>
      </c>
      <c r="I41" s="414">
        <f t="shared" si="2"/>
        <v>23014238.513158694</v>
      </c>
      <c r="J41" s="28">
        <f t="shared" si="0"/>
        <v>1043687.5131586939</v>
      </c>
      <c r="K41" s="36">
        <f t="shared" si="1"/>
        <v>4.7503929835837705E-2</v>
      </c>
      <c r="L41" s="416">
        <f t="shared" si="3"/>
        <v>4.7503929835837705E-2</v>
      </c>
      <c r="M41"/>
    </row>
    <row r="42" spans="1:15">
      <c r="A42" s="413">
        <v>42490</v>
      </c>
      <c r="B42" s="414">
        <f>Inputs!D63</f>
        <v>19763963</v>
      </c>
      <c r="C42" s="414">
        <v>338.72500000000002</v>
      </c>
      <c r="D42" s="414">
        <v>0.71000000000000008</v>
      </c>
      <c r="E42" s="414">
        <v>30</v>
      </c>
      <c r="F42" s="264">
        <v>1</v>
      </c>
      <c r="G42" s="264">
        <v>0</v>
      </c>
      <c r="H42" s="414">
        <f>Inputs!G63+Inputs!I63+Inputs!L63+Inputs!X63</f>
        <v>16249</v>
      </c>
      <c r="I42" s="414">
        <f t="shared" si="2"/>
        <v>19777142.211483546</v>
      </c>
      <c r="J42" s="28">
        <f t="shared" si="0"/>
        <v>13179.211483545601</v>
      </c>
      <c r="K42" s="36">
        <f t="shared" si="1"/>
        <v>6.6683040661154856E-4</v>
      </c>
      <c r="L42" s="416">
        <f t="shared" si="3"/>
        <v>6.6683040661154856E-4</v>
      </c>
      <c r="M42"/>
    </row>
    <row r="43" spans="1:15">
      <c r="A43" s="413">
        <v>42521</v>
      </c>
      <c r="B43" s="414">
        <f>Inputs!D64</f>
        <v>18836973</v>
      </c>
      <c r="C43" s="414">
        <v>144.06</v>
      </c>
      <c r="D43" s="414">
        <v>23.914999999999999</v>
      </c>
      <c r="E43" s="414">
        <v>31</v>
      </c>
      <c r="F43" s="264">
        <v>1</v>
      </c>
      <c r="G43" s="264">
        <v>0</v>
      </c>
      <c r="H43" s="414">
        <f>Inputs!G64+Inputs!I64+Inputs!L64+Inputs!X64</f>
        <v>16261</v>
      </c>
      <c r="I43" s="414">
        <f t="shared" si="2"/>
        <v>19041632.444311816</v>
      </c>
      <c r="J43" s="28">
        <f t="shared" si="0"/>
        <v>204659.44431181625</v>
      </c>
      <c r="K43" s="36">
        <f t="shared" si="1"/>
        <v>1.0864773459717559E-2</v>
      </c>
      <c r="L43" s="416">
        <f t="shared" si="3"/>
        <v>1.0864773459717559E-2</v>
      </c>
      <c r="M43"/>
    </row>
    <row r="44" spans="1:15">
      <c r="A44" s="413">
        <v>42551</v>
      </c>
      <c r="B44" s="414">
        <f>Inputs!D65</f>
        <v>19211234</v>
      </c>
      <c r="C44" s="414">
        <v>21.37</v>
      </c>
      <c r="D44" s="414">
        <v>69.710000000000008</v>
      </c>
      <c r="E44" s="414">
        <v>30</v>
      </c>
      <c r="F44" s="264">
        <v>0</v>
      </c>
      <c r="G44" s="264">
        <v>0</v>
      </c>
      <c r="H44" s="414">
        <f>Inputs!G65+Inputs!I65+Inputs!L65+Inputs!X65</f>
        <v>16269</v>
      </c>
      <c r="I44" s="414">
        <f t="shared" si="2"/>
        <v>19730662.34473351</v>
      </c>
      <c r="J44" s="28">
        <f t="shared" si="0"/>
        <v>519428.34473351017</v>
      </c>
      <c r="K44" s="36">
        <f t="shared" si="1"/>
        <v>2.7037739727365256E-2</v>
      </c>
      <c r="L44" s="416">
        <f t="shared" si="3"/>
        <v>2.7037739727365256E-2</v>
      </c>
      <c r="M44"/>
    </row>
    <row r="45" spans="1:15">
      <c r="A45" s="413">
        <v>42582</v>
      </c>
      <c r="B45" s="414">
        <f>Inputs!D66</f>
        <v>23404500</v>
      </c>
      <c r="C45" s="414">
        <v>1.37</v>
      </c>
      <c r="D45" s="414">
        <v>141.07500000000002</v>
      </c>
      <c r="E45" s="414">
        <v>31</v>
      </c>
      <c r="F45" s="264">
        <v>0</v>
      </c>
      <c r="G45" s="264">
        <v>0</v>
      </c>
      <c r="H45" s="414">
        <f>Inputs!G66+Inputs!I66+Inputs!L66+Inputs!X66</f>
        <v>16281</v>
      </c>
      <c r="I45" s="414">
        <f t="shared" si="2"/>
        <v>23460307.290130287</v>
      </c>
      <c r="J45" s="28">
        <f t="shared" si="0"/>
        <v>55807.290130287409</v>
      </c>
      <c r="K45" s="36">
        <f t="shared" si="1"/>
        <v>2.3844683770337929E-3</v>
      </c>
      <c r="L45" s="416">
        <f t="shared" si="3"/>
        <v>2.3844683770337929E-3</v>
      </c>
      <c r="M45"/>
    </row>
    <row r="46" spans="1:15">
      <c r="A46" s="413">
        <v>42613</v>
      </c>
      <c r="B46" s="414">
        <f>Inputs!D67</f>
        <v>24564804</v>
      </c>
      <c r="C46" s="414">
        <v>3.2950000000000004</v>
      </c>
      <c r="D46" s="414">
        <v>124.67</v>
      </c>
      <c r="E46" s="414">
        <v>31</v>
      </c>
      <c r="F46" s="264">
        <v>0</v>
      </c>
      <c r="G46" s="264">
        <v>0</v>
      </c>
      <c r="H46" s="414">
        <f>Inputs!G67+Inputs!I67+Inputs!L67+Inputs!X67</f>
        <v>16292</v>
      </c>
      <c r="I46" s="414">
        <f t="shared" si="2"/>
        <v>22724855.550688826</v>
      </c>
      <c r="J46" s="28">
        <f t="shared" si="0"/>
        <v>-1839948.4493111745</v>
      </c>
      <c r="K46" s="36">
        <f t="shared" si="1"/>
        <v>-7.490181681527662E-2</v>
      </c>
      <c r="L46" s="416">
        <f t="shared" si="3"/>
        <v>7.490181681527662E-2</v>
      </c>
      <c r="M46"/>
    </row>
    <row r="47" spans="1:15">
      <c r="A47" s="413">
        <v>42643</v>
      </c>
      <c r="B47" s="414">
        <f>Inputs!D68</f>
        <v>19239594</v>
      </c>
      <c r="C47" s="414">
        <v>50.260000000000005</v>
      </c>
      <c r="D47" s="414">
        <v>49.079999999999991</v>
      </c>
      <c r="E47" s="414">
        <v>30</v>
      </c>
      <c r="F47" s="264">
        <v>1</v>
      </c>
      <c r="G47" s="264">
        <v>0</v>
      </c>
      <c r="H47" s="414">
        <f>Inputs!G68+Inputs!I68+Inputs!L68+Inputs!X68</f>
        <v>16323</v>
      </c>
      <c r="I47" s="414">
        <f t="shared" si="2"/>
        <v>18452534.921898574</v>
      </c>
      <c r="J47" s="28">
        <f t="shared" si="0"/>
        <v>-787059.07810142636</v>
      </c>
      <c r="K47" s="36">
        <f t="shared" si="1"/>
        <v>-4.09082997334261E-2</v>
      </c>
      <c r="L47" s="416">
        <f t="shared" si="3"/>
        <v>4.09082997334261E-2</v>
      </c>
      <c r="M47"/>
    </row>
    <row r="48" spans="1:15">
      <c r="A48" s="413">
        <v>42674</v>
      </c>
      <c r="B48" s="414">
        <f>Inputs!D69</f>
        <v>19360398</v>
      </c>
      <c r="C48" s="414">
        <v>222.22000000000003</v>
      </c>
      <c r="D48" s="414">
        <v>3.3</v>
      </c>
      <c r="E48" s="414">
        <v>31</v>
      </c>
      <c r="F48" s="264">
        <v>1</v>
      </c>
      <c r="G48" s="264">
        <v>0</v>
      </c>
      <c r="H48" s="414">
        <f>Inputs!G69+Inputs!I69+Inputs!L69+Inputs!X69</f>
        <v>16370</v>
      </c>
      <c r="I48" s="414">
        <f t="shared" si="2"/>
        <v>19150305.732479129</v>
      </c>
      <c r="J48" s="28">
        <f t="shared" si="0"/>
        <v>-210092.26752087101</v>
      </c>
      <c r="K48" s="36">
        <f t="shared" si="1"/>
        <v>-1.0851650235747788E-2</v>
      </c>
      <c r="L48" s="416">
        <f t="shared" si="3"/>
        <v>1.0851650235747788E-2</v>
      </c>
      <c r="M48"/>
    </row>
    <row r="49" spans="1:13">
      <c r="A49" s="413">
        <v>42704</v>
      </c>
      <c r="B49" s="414">
        <f>Inputs!D70</f>
        <v>20317470</v>
      </c>
      <c r="C49" s="414">
        <v>420.84500000000008</v>
      </c>
      <c r="D49" s="414">
        <v>0.09</v>
      </c>
      <c r="E49" s="414">
        <v>30</v>
      </c>
      <c r="F49" s="264">
        <v>0</v>
      </c>
      <c r="G49" s="264">
        <v>0</v>
      </c>
      <c r="H49" s="414">
        <f>Inputs!G70+Inputs!I70+Inputs!L70+Inputs!X70</f>
        <v>16399</v>
      </c>
      <c r="I49" s="414">
        <f t="shared" si="2"/>
        <v>21624423.660216048</v>
      </c>
      <c r="J49" s="28">
        <f t="shared" si="0"/>
        <v>1306953.6602160484</v>
      </c>
      <c r="K49" s="36">
        <f t="shared" si="1"/>
        <v>6.4326594808115797E-2</v>
      </c>
      <c r="L49" s="416">
        <f t="shared" si="3"/>
        <v>6.4326594808115797E-2</v>
      </c>
      <c r="M49"/>
    </row>
    <row r="50" spans="1:13">
      <c r="A50" s="413">
        <v>42735</v>
      </c>
      <c r="B50" s="414">
        <f>Inputs!D71</f>
        <v>24538056</v>
      </c>
      <c r="C50" s="414">
        <v>579.06000000000006</v>
      </c>
      <c r="D50" s="414">
        <v>0</v>
      </c>
      <c r="E50" s="414">
        <v>31</v>
      </c>
      <c r="F50" s="264">
        <v>0</v>
      </c>
      <c r="G50" s="264">
        <v>0</v>
      </c>
      <c r="H50" s="414">
        <f>Inputs!G71+Inputs!I71+Inputs!L71+Inputs!X71</f>
        <v>16425</v>
      </c>
      <c r="I50" s="414">
        <f t="shared" si="2"/>
        <v>24272062.059982136</v>
      </c>
      <c r="J50" s="28">
        <f t="shared" si="0"/>
        <v>-265993.94001786411</v>
      </c>
      <c r="K50" s="36">
        <f t="shared" si="1"/>
        <v>-1.0840057583121666E-2</v>
      </c>
      <c r="L50" s="416">
        <f t="shared" si="3"/>
        <v>1.0840057583121666E-2</v>
      </c>
      <c r="M50"/>
    </row>
    <row r="51" spans="1:13">
      <c r="A51" s="413">
        <v>42766</v>
      </c>
      <c r="B51" s="414">
        <f>Inputs!D72</f>
        <v>24383250.957844518</v>
      </c>
      <c r="C51" s="414">
        <v>703.65</v>
      </c>
      <c r="D51" s="414">
        <v>0</v>
      </c>
      <c r="E51" s="414">
        <v>31</v>
      </c>
      <c r="F51" s="264">
        <v>0</v>
      </c>
      <c r="G51" s="264">
        <v>0</v>
      </c>
      <c r="H51" s="414">
        <f>Inputs!G72+Inputs!I72+Inputs!L72+Inputs!X72</f>
        <v>16478</v>
      </c>
      <c r="I51" s="414">
        <f t="shared" si="2"/>
        <v>25889605.136347458</v>
      </c>
      <c r="J51" s="28">
        <f t="shared" si="0"/>
        <v>1506354.1785029396</v>
      </c>
      <c r="K51" s="36">
        <f t="shared" si="1"/>
        <v>6.1778233801031326E-2</v>
      </c>
      <c r="L51" s="416">
        <f t="shared" si="3"/>
        <v>6.1778233801031326E-2</v>
      </c>
      <c r="M51"/>
    </row>
    <row r="52" spans="1:13">
      <c r="A52" s="413">
        <v>42794</v>
      </c>
      <c r="B52" s="414">
        <f>Inputs!D73</f>
        <v>21070773.226623036</v>
      </c>
      <c r="C52" s="414">
        <v>630.40499999999997</v>
      </c>
      <c r="D52" s="414">
        <v>0</v>
      </c>
      <c r="E52" s="414">
        <v>28</v>
      </c>
      <c r="F52" s="264">
        <v>0</v>
      </c>
      <c r="G52" s="264">
        <v>0</v>
      </c>
      <c r="H52" s="414">
        <f>Inputs!G73+Inputs!I73+Inputs!L73+Inputs!X73</f>
        <v>16482</v>
      </c>
      <c r="I52" s="414">
        <f t="shared" si="2"/>
        <v>23075574.479799464</v>
      </c>
      <c r="J52" s="28">
        <f t="shared" si="0"/>
        <v>2004801.2531764284</v>
      </c>
      <c r="K52" s="36">
        <f t="shared" si="1"/>
        <v>9.5146069468554251E-2</v>
      </c>
      <c r="L52" s="416">
        <f t="shared" si="3"/>
        <v>9.5146069468554251E-2</v>
      </c>
      <c r="M52"/>
    </row>
    <row r="53" spans="1:13">
      <c r="A53" s="413">
        <v>42825</v>
      </c>
      <c r="B53" s="414">
        <f>Inputs!D74</f>
        <v>23393184.032128658</v>
      </c>
      <c r="C53" s="414">
        <v>547.82999999999993</v>
      </c>
      <c r="D53" s="414">
        <v>0</v>
      </c>
      <c r="E53" s="414">
        <v>31</v>
      </c>
      <c r="F53" s="264">
        <v>1</v>
      </c>
      <c r="G53" s="264">
        <v>0</v>
      </c>
      <c r="H53" s="414">
        <f>Inputs!G74+Inputs!I74+Inputs!L74+Inputs!X74</f>
        <v>16496</v>
      </c>
      <c r="I53" s="414">
        <f t="shared" si="2"/>
        <v>23213253.639452994</v>
      </c>
      <c r="J53" s="28">
        <f t="shared" si="0"/>
        <v>-179930.39267566428</v>
      </c>
      <c r="K53" s="36">
        <f t="shared" si="1"/>
        <v>-7.6915734270522704E-3</v>
      </c>
      <c r="L53" s="416">
        <f t="shared" si="3"/>
        <v>7.6915734270522704E-3</v>
      </c>
      <c r="M53"/>
    </row>
    <row r="54" spans="1:13">
      <c r="A54" s="413">
        <v>42855</v>
      </c>
      <c r="B54" s="414">
        <f>Inputs!D75</f>
        <v>18825985.160844527</v>
      </c>
      <c r="C54" s="414">
        <v>338.72500000000002</v>
      </c>
      <c r="D54" s="414">
        <v>0.71000000000000008</v>
      </c>
      <c r="E54" s="414">
        <v>30</v>
      </c>
      <c r="F54" s="264">
        <v>1</v>
      </c>
      <c r="G54" s="264">
        <v>0</v>
      </c>
      <c r="H54" s="414">
        <f>Inputs!G75+Inputs!I75+Inputs!L75+Inputs!X75</f>
        <v>16509</v>
      </c>
      <c r="I54" s="414">
        <f t="shared" si="2"/>
        <v>19981663.685145669</v>
      </c>
      <c r="J54" s="28">
        <f t="shared" si="0"/>
        <v>1155678.5243011415</v>
      </c>
      <c r="K54" s="36">
        <f t="shared" si="1"/>
        <v>6.13874128991026E-2</v>
      </c>
      <c r="L54" s="416">
        <f t="shared" si="3"/>
        <v>6.13874128991026E-2</v>
      </c>
      <c r="M54"/>
    </row>
    <row r="55" spans="1:13">
      <c r="A55" s="413">
        <v>42886</v>
      </c>
      <c r="B55" s="414">
        <f>Inputs!D76</f>
        <v>18786333.0832728</v>
      </c>
      <c r="C55" s="414">
        <v>144.06</v>
      </c>
      <c r="D55" s="414">
        <v>23.914999999999999</v>
      </c>
      <c r="E55" s="414">
        <v>31</v>
      </c>
      <c r="F55" s="264">
        <v>1</v>
      </c>
      <c r="G55" s="264">
        <v>0</v>
      </c>
      <c r="H55" s="414">
        <f>Inputs!G76+Inputs!I76+Inputs!L76+Inputs!X76</f>
        <v>16549</v>
      </c>
      <c r="I55" s="414">
        <f t="shared" si="2"/>
        <v>19268179.30744525</v>
      </c>
      <c r="J55" s="28">
        <f t="shared" si="0"/>
        <v>481846.2241724506</v>
      </c>
      <c r="K55" s="36">
        <f t="shared" si="1"/>
        <v>2.5648764026306049E-2</v>
      </c>
      <c r="L55" s="416">
        <f t="shared" si="3"/>
        <v>2.5648764026306049E-2</v>
      </c>
      <c r="M55"/>
    </row>
    <row r="56" spans="1:13">
      <c r="A56" s="413">
        <v>42916</v>
      </c>
      <c r="B56" s="414">
        <f>Inputs!D77</f>
        <v>19567266.152046304</v>
      </c>
      <c r="C56" s="414">
        <v>21.37</v>
      </c>
      <c r="D56" s="414">
        <v>69.710000000000008</v>
      </c>
      <c r="E56" s="414">
        <v>30</v>
      </c>
      <c r="F56" s="264">
        <v>0</v>
      </c>
      <c r="G56" s="264">
        <v>0</v>
      </c>
      <c r="H56" s="414">
        <f>Inputs!G77+Inputs!I77+Inputs!L77+Inputs!X77</f>
        <v>16588</v>
      </c>
      <c r="I56" s="414">
        <f t="shared" si="2"/>
        <v>19981594.460495889</v>
      </c>
      <c r="J56" s="28">
        <f t="shared" si="0"/>
        <v>414328.30844958499</v>
      </c>
      <c r="K56" s="36">
        <f t="shared" si="1"/>
        <v>2.1174562927190287E-2</v>
      </c>
      <c r="L56" s="416">
        <f t="shared" si="3"/>
        <v>2.1174562927190287E-2</v>
      </c>
      <c r="M56"/>
    </row>
    <row r="57" spans="1:13">
      <c r="A57" s="413">
        <v>42947</v>
      </c>
      <c r="B57" s="414">
        <f>Inputs!D78</f>
        <v>22381676.491002649</v>
      </c>
      <c r="C57" s="414">
        <v>1.37</v>
      </c>
      <c r="D57" s="414">
        <v>141.07500000000002</v>
      </c>
      <c r="E57" s="414">
        <v>31</v>
      </c>
      <c r="F57" s="264">
        <v>0</v>
      </c>
      <c r="G57" s="264">
        <v>0</v>
      </c>
      <c r="H57" s="414">
        <f>Inputs!G78+Inputs!I78+Inputs!L78+Inputs!X78</f>
        <v>16718</v>
      </c>
      <c r="I57" s="414">
        <f t="shared" si="2"/>
        <v>23804060.690093167</v>
      </c>
      <c r="J57" s="28">
        <f t="shared" si="0"/>
        <v>1422384.1990905181</v>
      </c>
      <c r="K57" s="36">
        <f t="shared" si="1"/>
        <v>6.3551280426303688E-2</v>
      </c>
      <c r="L57" s="416">
        <f t="shared" si="3"/>
        <v>6.3551280426303688E-2</v>
      </c>
      <c r="M57"/>
    </row>
    <row r="58" spans="1:13">
      <c r="A58" s="413">
        <v>42978</v>
      </c>
      <c r="B58" s="414">
        <f>Inputs!D79</f>
        <v>21132315.915526163</v>
      </c>
      <c r="C58" s="414">
        <v>3.2950000000000004</v>
      </c>
      <c r="D58" s="414">
        <v>124.67</v>
      </c>
      <c r="E58" s="414">
        <v>31</v>
      </c>
      <c r="F58" s="264">
        <v>0</v>
      </c>
      <c r="G58" s="264">
        <v>0</v>
      </c>
      <c r="H58" s="414">
        <f>Inputs!G79+Inputs!I79+Inputs!L79+Inputs!X79</f>
        <v>16774</v>
      </c>
      <c r="I58" s="414">
        <f t="shared" si="2"/>
        <v>23104006.898016308</v>
      </c>
      <c r="J58" s="28">
        <f t="shared" si="0"/>
        <v>1971690.9824901447</v>
      </c>
      <c r="K58" s="36">
        <f t="shared" si="1"/>
        <v>9.3302172387150425E-2</v>
      </c>
      <c r="L58" s="416">
        <f t="shared" si="3"/>
        <v>9.3302172387150425E-2</v>
      </c>
      <c r="M58"/>
    </row>
    <row r="59" spans="1:13">
      <c r="A59" s="413">
        <v>43008</v>
      </c>
      <c r="B59" s="414">
        <f>Inputs!D80</f>
        <v>19954544.032724753</v>
      </c>
      <c r="C59" s="414">
        <v>50.260000000000005</v>
      </c>
      <c r="D59" s="414">
        <v>49.079999999999991</v>
      </c>
      <c r="E59" s="414">
        <v>30</v>
      </c>
      <c r="F59" s="264">
        <v>1</v>
      </c>
      <c r="G59" s="264">
        <v>0</v>
      </c>
      <c r="H59" s="414">
        <f>Inputs!G80+Inputs!I80+Inputs!L80+Inputs!X80</f>
        <v>16850</v>
      </c>
      <c r="I59" s="414">
        <f t="shared" si="2"/>
        <v>18867084.21659065</v>
      </c>
      <c r="J59" s="28">
        <f t="shared" si="0"/>
        <v>-1087459.8161341026</v>
      </c>
      <c r="K59" s="36">
        <f t="shared" si="1"/>
        <v>-5.4496851160853718E-2</v>
      </c>
      <c r="L59" s="416">
        <f t="shared" si="3"/>
        <v>5.4496851160853718E-2</v>
      </c>
      <c r="M59"/>
    </row>
    <row r="60" spans="1:13">
      <c r="A60" s="413">
        <v>43039</v>
      </c>
      <c r="B60" s="414">
        <f>Inputs!D81</f>
        <v>19246234.531076949</v>
      </c>
      <c r="C60" s="414">
        <v>222.22000000000003</v>
      </c>
      <c r="D60" s="414">
        <v>3.3</v>
      </c>
      <c r="E60" s="414">
        <v>31</v>
      </c>
      <c r="F60" s="264">
        <v>1</v>
      </c>
      <c r="G60" s="264">
        <v>0</v>
      </c>
      <c r="H60" s="414">
        <f>Inputs!G81+Inputs!I81+Inputs!L81+Inputs!X81</f>
        <v>17086</v>
      </c>
      <c r="I60" s="414">
        <f t="shared" si="2"/>
        <v>19713526.406102523</v>
      </c>
      <c r="J60" s="28">
        <f t="shared" si="0"/>
        <v>467291.87502557412</v>
      </c>
      <c r="K60" s="36">
        <f t="shared" si="1"/>
        <v>2.4279651911704423E-2</v>
      </c>
      <c r="L60" s="416">
        <f t="shared" si="3"/>
        <v>2.4279651911704423E-2</v>
      </c>
      <c r="M60"/>
    </row>
    <row r="61" spans="1:13">
      <c r="A61" s="413">
        <v>43069</v>
      </c>
      <c r="B61" s="414">
        <f>Inputs!D82</f>
        <v>21849761.600563686</v>
      </c>
      <c r="C61" s="414">
        <v>420.84500000000008</v>
      </c>
      <c r="D61" s="414">
        <v>0.09</v>
      </c>
      <c r="E61" s="414">
        <v>30</v>
      </c>
      <c r="F61" s="264">
        <v>0</v>
      </c>
      <c r="G61" s="264">
        <v>0</v>
      </c>
      <c r="H61" s="414">
        <f>Inputs!G82+Inputs!I82+Inputs!L82+Inputs!X82</f>
        <v>17226</v>
      </c>
      <c r="I61" s="414">
        <f t="shared" si="2"/>
        <v>22274959.27067212</v>
      </c>
      <c r="J61" s="28">
        <f t="shared" si="0"/>
        <v>425197.67010843381</v>
      </c>
      <c r="K61" s="36">
        <f t="shared" si="1"/>
        <v>1.9460059925663648E-2</v>
      </c>
      <c r="L61" s="416">
        <f t="shared" si="3"/>
        <v>1.9460059925663648E-2</v>
      </c>
      <c r="M61"/>
    </row>
    <row r="62" spans="1:13">
      <c r="A62" s="413">
        <v>43100</v>
      </c>
      <c r="B62" s="414">
        <f>Inputs!D83</f>
        <v>26178109.375145946</v>
      </c>
      <c r="C62" s="414">
        <v>579.06000000000006</v>
      </c>
      <c r="D62" s="414">
        <v>0</v>
      </c>
      <c r="E62" s="414">
        <v>31</v>
      </c>
      <c r="F62" s="264">
        <v>0</v>
      </c>
      <c r="G62" s="264">
        <v>0</v>
      </c>
      <c r="H62" s="414">
        <f>Inputs!G83+Inputs!I83+Inputs!L83+Inputs!X83</f>
        <v>17228</v>
      </c>
      <c r="I62" s="414">
        <f t="shared" si="2"/>
        <v>24903718.765177086</v>
      </c>
      <c r="J62" s="28">
        <f t="shared" si="0"/>
        <v>-1274390.6099688597</v>
      </c>
      <c r="K62" s="36">
        <f t="shared" si="1"/>
        <v>-4.8681537375605641E-2</v>
      </c>
      <c r="L62" s="416">
        <f t="shared" si="3"/>
        <v>4.8681537375605641E-2</v>
      </c>
      <c r="M62"/>
    </row>
    <row r="63" spans="1:13">
      <c r="A63" s="413">
        <v>43131</v>
      </c>
      <c r="B63" s="414">
        <f>Inputs!D84</f>
        <v>27156877.702999998</v>
      </c>
      <c r="C63" s="414">
        <v>703.65</v>
      </c>
      <c r="D63" s="414">
        <v>0</v>
      </c>
      <c r="E63" s="414">
        <v>31</v>
      </c>
      <c r="F63" s="264">
        <v>0</v>
      </c>
      <c r="G63" s="264">
        <v>0</v>
      </c>
      <c r="H63" s="414">
        <f>Inputs!G84+Inputs!I84+Inputs!L84+Inputs!X84</f>
        <v>17401</v>
      </c>
      <c r="I63" s="414">
        <f t="shared" si="2"/>
        <v>26615656.367848009</v>
      </c>
      <c r="J63" s="28">
        <f t="shared" si="0"/>
        <v>-541221.33515198901</v>
      </c>
      <c r="K63" s="36">
        <f t="shared" si="1"/>
        <v>-1.9929438909400132E-2</v>
      </c>
      <c r="L63" s="416">
        <f t="shared" si="3"/>
        <v>1.9929438909400132E-2</v>
      </c>
      <c r="M63"/>
    </row>
    <row r="64" spans="1:13">
      <c r="A64" s="413">
        <v>43159</v>
      </c>
      <c r="B64" s="414">
        <f>Inputs!D85</f>
        <v>22662310.571999997</v>
      </c>
      <c r="C64" s="414">
        <v>630.40499999999997</v>
      </c>
      <c r="D64" s="414">
        <v>0</v>
      </c>
      <c r="E64" s="414">
        <v>28</v>
      </c>
      <c r="F64" s="264">
        <v>0</v>
      </c>
      <c r="G64" s="264">
        <v>0</v>
      </c>
      <c r="H64" s="414">
        <f>Inputs!G85+Inputs!I85+Inputs!L85+Inputs!X85</f>
        <v>17448</v>
      </c>
      <c r="I64" s="414">
        <f t="shared" si="2"/>
        <v>23835450.416559517</v>
      </c>
      <c r="J64" s="28">
        <f t="shared" si="0"/>
        <v>1173139.8445595205</v>
      </c>
      <c r="K64" s="36">
        <f t="shared" si="1"/>
        <v>5.1766118058984324E-2</v>
      </c>
      <c r="L64" s="416">
        <f t="shared" si="3"/>
        <v>5.1766118058984324E-2</v>
      </c>
      <c r="M64"/>
    </row>
    <row r="65" spans="1:13">
      <c r="A65" s="413">
        <v>43190</v>
      </c>
      <c r="B65" s="414">
        <f>Inputs!D86</f>
        <v>23534615.378000002</v>
      </c>
      <c r="C65" s="414">
        <v>547.82999999999993</v>
      </c>
      <c r="D65" s="414">
        <v>0</v>
      </c>
      <c r="E65" s="414">
        <v>31</v>
      </c>
      <c r="F65" s="264">
        <v>1</v>
      </c>
      <c r="G65" s="264">
        <v>0</v>
      </c>
      <c r="H65" s="414">
        <f>Inputs!G86+Inputs!I86+Inputs!L86+Inputs!X86</f>
        <v>17479</v>
      </c>
      <c r="I65" s="414">
        <f t="shared" si="2"/>
        <v>23986502.134106338</v>
      </c>
      <c r="J65" s="28">
        <f t="shared" si="0"/>
        <v>451886.75610633567</v>
      </c>
      <c r="K65" s="36">
        <f t="shared" si="1"/>
        <v>1.9200940778014854E-2</v>
      </c>
      <c r="L65" s="416">
        <f t="shared" si="3"/>
        <v>1.9200940778014854E-2</v>
      </c>
    </row>
    <row r="66" spans="1:13">
      <c r="A66" s="413">
        <v>43220</v>
      </c>
      <c r="B66" s="414">
        <f>Inputs!D87</f>
        <v>21736721.348000001</v>
      </c>
      <c r="C66" s="414">
        <v>338.72500000000002</v>
      </c>
      <c r="D66" s="414">
        <v>0.71000000000000008</v>
      </c>
      <c r="E66" s="414">
        <v>30</v>
      </c>
      <c r="F66" s="264">
        <v>1</v>
      </c>
      <c r="G66" s="264">
        <v>0</v>
      </c>
      <c r="H66" s="414">
        <f>Inputs!G87+Inputs!I87+Inputs!L87+Inputs!X87</f>
        <v>17526</v>
      </c>
      <c r="I66" s="414">
        <f t="shared" si="2"/>
        <v>20781657.295585603</v>
      </c>
      <c r="J66" s="28">
        <f t="shared" si="0"/>
        <v>-955064.05241439864</v>
      </c>
      <c r="K66" s="36">
        <f t="shared" si="1"/>
        <v>-4.3937815511550189E-2</v>
      </c>
      <c r="L66" s="416">
        <f t="shared" si="3"/>
        <v>4.3937815511550189E-2</v>
      </c>
    </row>
    <row r="67" spans="1:13">
      <c r="A67" s="413">
        <v>43251</v>
      </c>
      <c r="B67" s="414">
        <f>Inputs!D88</f>
        <v>19774022.555</v>
      </c>
      <c r="C67" s="414">
        <v>144.06</v>
      </c>
      <c r="D67" s="414">
        <v>23.914999999999999</v>
      </c>
      <c r="E67" s="414">
        <v>31</v>
      </c>
      <c r="F67" s="264">
        <v>1</v>
      </c>
      <c r="G67" s="264">
        <v>0</v>
      </c>
      <c r="H67" s="414">
        <f>Inputs!G88+Inputs!I88+Inputs!L88+Inputs!X88</f>
        <v>17555</v>
      </c>
      <c r="I67" s="414">
        <f t="shared" si="2"/>
        <v>20059520.086307168</v>
      </c>
      <c r="J67" s="28">
        <f t="shared" ref="J67:J128" si="4">I67-B67</f>
        <v>285497.5313071683</v>
      </c>
      <c r="K67" s="36">
        <f t="shared" ref="K67:K128" si="5">J67/B67</f>
        <v>1.4438009793560099E-2</v>
      </c>
      <c r="L67" s="416">
        <f t="shared" si="3"/>
        <v>1.4438009793560099E-2</v>
      </c>
    </row>
    <row r="68" spans="1:13">
      <c r="A68" s="413">
        <v>43281</v>
      </c>
      <c r="B68" s="414">
        <f>Inputs!D89</f>
        <v>21054153.723000001</v>
      </c>
      <c r="C68" s="414">
        <v>21.37</v>
      </c>
      <c r="D68" s="414">
        <v>69.710000000000008</v>
      </c>
      <c r="E68" s="414">
        <v>30</v>
      </c>
      <c r="F68" s="264">
        <v>0</v>
      </c>
      <c r="G68" s="264">
        <v>0</v>
      </c>
      <c r="H68" s="414">
        <f>Inputs!G89+Inputs!I89+Inputs!L89+Inputs!X89</f>
        <v>17627</v>
      </c>
      <c r="I68" s="414">
        <f t="shared" ref="I68:I131" si="6">$O$18+$O$19*C68+$O$20*D68+$O$21*E68+$O$22*F68+$O$23*G68+$O$24*H68</f>
        <v>20798893.734091848</v>
      </c>
      <c r="J68" s="28">
        <f t="shared" si="4"/>
        <v>-255259.98890815303</v>
      </c>
      <c r="K68" s="36">
        <f t="shared" si="5"/>
        <v>-1.2123972887559077E-2</v>
      </c>
      <c r="L68" s="416">
        <f t="shared" ref="L68:L128" si="7">ABS(K68)</f>
        <v>1.2123972887559077E-2</v>
      </c>
    </row>
    <row r="69" spans="1:13">
      <c r="A69" s="413">
        <v>43312</v>
      </c>
      <c r="B69" s="414">
        <f>Inputs!D90</f>
        <v>26045488.691000003</v>
      </c>
      <c r="C69" s="414">
        <v>1.37</v>
      </c>
      <c r="D69" s="414">
        <v>141.07500000000002</v>
      </c>
      <c r="E69" s="414">
        <v>31</v>
      </c>
      <c r="F69" s="264">
        <v>0</v>
      </c>
      <c r="G69" s="264">
        <v>0</v>
      </c>
      <c r="H69" s="414">
        <f>Inputs!G90+Inputs!I90+Inputs!L90+Inputs!X90</f>
        <v>17634</v>
      </c>
      <c r="I69" s="414">
        <f t="shared" si="6"/>
        <v>24524605.574225888</v>
      </c>
      <c r="J69" s="28">
        <f t="shared" si="4"/>
        <v>-1520883.1167741157</v>
      </c>
      <c r="K69" s="36">
        <f t="shared" si="5"/>
        <v>-5.8393341542470487E-2</v>
      </c>
      <c r="L69" s="416">
        <f t="shared" si="7"/>
        <v>5.8393341542470487E-2</v>
      </c>
    </row>
    <row r="70" spans="1:13">
      <c r="A70" s="413">
        <v>43343</v>
      </c>
      <c r="B70" s="414">
        <f>Inputs!D91</f>
        <v>25645894.579999998</v>
      </c>
      <c r="C70" s="414">
        <v>3.2950000000000004</v>
      </c>
      <c r="D70" s="414">
        <v>124.67</v>
      </c>
      <c r="E70" s="414">
        <v>31</v>
      </c>
      <c r="F70" s="264">
        <v>0</v>
      </c>
      <c r="G70" s="264">
        <v>0</v>
      </c>
      <c r="H70" s="414">
        <f>Inputs!G91+Inputs!I91+Inputs!L91+Inputs!X91</f>
        <v>17691</v>
      </c>
      <c r="I70" s="414">
        <f t="shared" si="6"/>
        <v>23825338.403201576</v>
      </c>
      <c r="J70" s="28">
        <f t="shared" si="4"/>
        <v>-1820556.1767984219</v>
      </c>
      <c r="K70" s="36">
        <f t="shared" si="5"/>
        <v>-7.098821104170748E-2</v>
      </c>
      <c r="L70" s="416">
        <f t="shared" si="7"/>
        <v>7.098821104170748E-2</v>
      </c>
    </row>
    <row r="71" spans="1:13">
      <c r="A71" s="413">
        <v>43373</v>
      </c>
      <c r="B71" s="414">
        <f>Inputs!D92</f>
        <v>21607296.151000001</v>
      </c>
      <c r="C71" s="414">
        <v>50.260000000000005</v>
      </c>
      <c r="D71" s="414">
        <v>49.079999999999991</v>
      </c>
      <c r="E71" s="414">
        <v>30</v>
      </c>
      <c r="F71" s="264">
        <v>1</v>
      </c>
      <c r="G71" s="264">
        <v>0</v>
      </c>
      <c r="H71" s="414">
        <f>Inputs!G92+Inputs!I92+Inputs!L92+Inputs!X92</f>
        <v>17721</v>
      </c>
      <c r="I71" s="414">
        <f t="shared" si="6"/>
        <v>19552231.153358776</v>
      </c>
      <c r="J71" s="28">
        <f t="shared" si="4"/>
        <v>-2055064.9976412244</v>
      </c>
      <c r="K71" s="36">
        <f t="shared" si="5"/>
        <v>-9.5109771406827068E-2</v>
      </c>
      <c r="L71" s="416">
        <f t="shared" si="7"/>
        <v>9.5109771406827068E-2</v>
      </c>
    </row>
    <row r="72" spans="1:13">
      <c r="A72" s="413">
        <v>43404</v>
      </c>
      <c r="B72" s="414">
        <f>Inputs!D93</f>
        <v>21087346.497000001</v>
      </c>
      <c r="C72" s="414">
        <v>222.22000000000003</v>
      </c>
      <c r="D72" s="414">
        <v>3.3</v>
      </c>
      <c r="E72" s="414">
        <v>31</v>
      </c>
      <c r="F72" s="264">
        <v>1</v>
      </c>
      <c r="G72" s="264">
        <v>0</v>
      </c>
      <c r="H72" s="414">
        <f>Inputs!G93+Inputs!I93+Inputs!L93+Inputs!X93</f>
        <v>17814</v>
      </c>
      <c r="I72" s="414">
        <f t="shared" si="6"/>
        <v>20286186.532356478</v>
      </c>
      <c r="J72" s="28">
        <f t="shared" si="4"/>
        <v>-801159.9646435231</v>
      </c>
      <c r="K72" s="36">
        <f t="shared" si="5"/>
        <v>-3.7992450342554974E-2</v>
      </c>
      <c r="L72" s="416">
        <f t="shared" si="7"/>
        <v>3.7992450342554974E-2</v>
      </c>
    </row>
    <row r="73" spans="1:13">
      <c r="A73" s="413">
        <v>43434</v>
      </c>
      <c r="B73" s="414">
        <f>Inputs!D94</f>
        <v>23149553.112999998</v>
      </c>
      <c r="C73" s="414">
        <v>420.84500000000008</v>
      </c>
      <c r="D73" s="414">
        <v>0.09</v>
      </c>
      <c r="E73" s="414">
        <v>30</v>
      </c>
      <c r="F73" s="264">
        <v>0</v>
      </c>
      <c r="G73" s="264">
        <v>0</v>
      </c>
      <c r="H73" s="414">
        <f>Inputs!G94+Inputs!I94+Inputs!L94+Inputs!X94</f>
        <v>17905</v>
      </c>
      <c r="I73" s="414">
        <f t="shared" si="6"/>
        <v>22809074.965351291</v>
      </c>
      <c r="J73" s="28">
        <f t="shared" si="4"/>
        <v>-340478.14764870703</v>
      </c>
      <c r="K73" s="36">
        <f t="shared" si="5"/>
        <v>-1.4707763298355256E-2</v>
      </c>
      <c r="L73" s="416">
        <f t="shared" si="7"/>
        <v>1.4707763298355256E-2</v>
      </c>
    </row>
    <row r="74" spans="1:13">
      <c r="A74" s="413">
        <v>43465</v>
      </c>
      <c r="B74" s="414">
        <f>Inputs!D95</f>
        <v>25358955.434999999</v>
      </c>
      <c r="C74" s="414">
        <v>579.06000000000006</v>
      </c>
      <c r="D74" s="414">
        <v>0</v>
      </c>
      <c r="E74" s="414">
        <v>31</v>
      </c>
      <c r="F74" s="264">
        <v>0</v>
      </c>
      <c r="G74" s="264">
        <v>0</v>
      </c>
      <c r="H74" s="414">
        <f>Inputs!G95+Inputs!I95+Inputs!L95+Inputs!X95</f>
        <v>18163</v>
      </c>
      <c r="I74" s="414">
        <f t="shared" si="6"/>
        <v>25639209.449308194</v>
      </c>
      <c r="J74" s="28">
        <f t="shared" si="4"/>
        <v>280254.01430819556</v>
      </c>
      <c r="K74" s="36">
        <f t="shared" si="5"/>
        <v>1.1051481005459465E-2</v>
      </c>
      <c r="L74" s="416">
        <f t="shared" si="7"/>
        <v>1.1051481005459465E-2</v>
      </c>
    </row>
    <row r="75" spans="1:13">
      <c r="A75" s="413">
        <v>43496</v>
      </c>
      <c r="B75" s="414">
        <f>Inputs!D96</f>
        <v>27894969.359999999</v>
      </c>
      <c r="C75" s="414">
        <v>703.65</v>
      </c>
      <c r="D75" s="414">
        <v>0</v>
      </c>
      <c r="E75" s="414">
        <v>31</v>
      </c>
      <c r="F75" s="264">
        <v>0</v>
      </c>
      <c r="G75" s="264">
        <v>0</v>
      </c>
      <c r="H75" s="414">
        <f>Inputs!G96+Inputs!I96+Inputs!L96+Inputs!X96</f>
        <v>18297</v>
      </c>
      <c r="I75" s="414">
        <f t="shared" si="6"/>
        <v>27320468.830929797</v>
      </c>
      <c r="J75" s="28">
        <f t="shared" si="4"/>
        <v>-574500.52907020226</v>
      </c>
      <c r="K75" s="36">
        <f t="shared" si="5"/>
        <v>-2.0595130313855355E-2</v>
      </c>
      <c r="L75" s="416">
        <f t="shared" si="7"/>
        <v>2.0595130313855355E-2</v>
      </c>
      <c r="M75" s="37"/>
    </row>
    <row r="76" spans="1:13">
      <c r="A76" s="413">
        <v>43524</v>
      </c>
      <c r="B76" s="414">
        <f>Inputs!D97</f>
        <v>24435650.726</v>
      </c>
      <c r="C76" s="414">
        <v>630.40499999999997</v>
      </c>
      <c r="D76" s="414">
        <v>0</v>
      </c>
      <c r="E76" s="414">
        <v>28</v>
      </c>
      <c r="F76" s="264">
        <v>0</v>
      </c>
      <c r="G76" s="264">
        <v>0</v>
      </c>
      <c r="H76" s="414">
        <f>Inputs!G97+Inputs!I97+Inputs!L97+Inputs!X97</f>
        <v>18379</v>
      </c>
      <c r="I76" s="414">
        <f t="shared" si="6"/>
        <v>24567794.61648044</v>
      </c>
      <c r="J76" s="28">
        <f t="shared" si="4"/>
        <v>132143.89048044011</v>
      </c>
      <c r="K76" s="36">
        <f t="shared" si="5"/>
        <v>5.407831858549054E-3</v>
      </c>
      <c r="L76" s="416">
        <f t="shared" si="7"/>
        <v>5.407831858549054E-3</v>
      </c>
    </row>
    <row r="77" spans="1:13">
      <c r="A77" s="413">
        <v>43555</v>
      </c>
      <c r="B77" s="414">
        <f>Inputs!D98</f>
        <v>25143357.008000001</v>
      </c>
      <c r="C77" s="414">
        <v>547.82999999999993</v>
      </c>
      <c r="D77" s="414">
        <v>0</v>
      </c>
      <c r="E77" s="414">
        <v>31</v>
      </c>
      <c r="F77" s="264">
        <v>1</v>
      </c>
      <c r="G77" s="264">
        <v>0</v>
      </c>
      <c r="H77" s="414">
        <f>Inputs!G98+Inputs!I98+Inputs!L98+Inputs!X98</f>
        <v>18470</v>
      </c>
      <c r="I77" s="414">
        <f t="shared" si="6"/>
        <v>24766043.597180061</v>
      </c>
      <c r="J77" s="28">
        <f t="shared" si="4"/>
        <v>-377313.41081994027</v>
      </c>
      <c r="K77" s="36">
        <f t="shared" si="5"/>
        <v>-1.5006485040954889E-2</v>
      </c>
      <c r="L77" s="416">
        <f t="shared" si="7"/>
        <v>1.5006485040954889E-2</v>
      </c>
    </row>
    <row r="78" spans="1:13">
      <c r="A78" s="413">
        <v>43585</v>
      </c>
      <c r="B78" s="414">
        <f>Inputs!D99</f>
        <v>21419957.239</v>
      </c>
      <c r="C78" s="414">
        <v>338.72500000000002</v>
      </c>
      <c r="D78" s="414">
        <v>0.71000000000000008</v>
      </c>
      <c r="E78" s="414">
        <v>30</v>
      </c>
      <c r="F78" s="264">
        <v>1</v>
      </c>
      <c r="G78" s="264">
        <v>0</v>
      </c>
      <c r="H78" s="414">
        <f>Inputs!G99+Inputs!I99+Inputs!L99+Inputs!X99</f>
        <v>18479</v>
      </c>
      <c r="I78" s="414">
        <f t="shared" si="6"/>
        <v>21531307.15866255</v>
      </c>
      <c r="J78" s="28">
        <f t="shared" si="4"/>
        <v>111349.91966255009</v>
      </c>
      <c r="K78" s="36">
        <f t="shared" si="5"/>
        <v>5.1984193254976125E-3</v>
      </c>
      <c r="L78" s="416">
        <f t="shared" si="7"/>
        <v>5.1984193254976125E-3</v>
      </c>
    </row>
    <row r="79" spans="1:13">
      <c r="A79" s="413">
        <v>43616</v>
      </c>
      <c r="B79" s="414">
        <f>Inputs!D100</f>
        <v>20126479.741</v>
      </c>
      <c r="C79" s="414">
        <v>144.06</v>
      </c>
      <c r="D79" s="414">
        <v>23.914999999999999</v>
      </c>
      <c r="E79" s="414">
        <v>31</v>
      </c>
      <c r="F79" s="264">
        <v>1</v>
      </c>
      <c r="G79" s="264">
        <v>0</v>
      </c>
      <c r="H79" s="414">
        <f>Inputs!G100+Inputs!I100+Inputs!L100+Inputs!X100</f>
        <v>18491</v>
      </c>
      <c r="I79" s="414">
        <f t="shared" si="6"/>
        <v>20795797.391490825</v>
      </c>
      <c r="J79" s="28">
        <f t="shared" si="4"/>
        <v>669317.65049082413</v>
      </c>
      <c r="K79" s="36">
        <f t="shared" si="5"/>
        <v>3.3255574700793086E-2</v>
      </c>
      <c r="L79" s="416">
        <f t="shared" si="7"/>
        <v>3.3255574700793086E-2</v>
      </c>
    </row>
    <row r="80" spans="1:13">
      <c r="A80" s="413">
        <v>43646</v>
      </c>
      <c r="B80" s="414">
        <f>Inputs!D101</f>
        <v>20273580.334999997</v>
      </c>
      <c r="C80" s="414">
        <v>21.37</v>
      </c>
      <c r="D80" s="414">
        <v>69.710000000000008</v>
      </c>
      <c r="E80" s="414">
        <v>30</v>
      </c>
      <c r="F80" s="264">
        <v>0</v>
      </c>
      <c r="G80" s="264">
        <v>0</v>
      </c>
      <c r="H80" s="414">
        <f>Inputs!G101+Inputs!I101+Inputs!L101+Inputs!X101</f>
        <v>18503</v>
      </c>
      <c r="I80" s="414">
        <f t="shared" si="6"/>
        <v>21487973.776122704</v>
      </c>
      <c r="J80" s="28">
        <f t="shared" si="4"/>
        <v>1214393.441122707</v>
      </c>
      <c r="K80" s="36">
        <f t="shared" si="5"/>
        <v>5.9900294918613699E-2</v>
      </c>
      <c r="L80" s="416">
        <f t="shared" si="7"/>
        <v>5.9900294918613699E-2</v>
      </c>
    </row>
    <row r="81" spans="1:13">
      <c r="A81" s="413">
        <v>43677</v>
      </c>
      <c r="B81" s="414">
        <f>Inputs!D102</f>
        <v>26858420.012999997</v>
      </c>
      <c r="C81" s="414">
        <v>1.37</v>
      </c>
      <c r="D81" s="414">
        <v>141.07500000000002</v>
      </c>
      <c r="E81" s="414">
        <v>31</v>
      </c>
      <c r="F81" s="264">
        <v>0</v>
      </c>
      <c r="G81" s="264">
        <v>0</v>
      </c>
      <c r="H81" s="414">
        <f>Inputs!G102+Inputs!I102+Inputs!L102+Inputs!X102</f>
        <v>18533</v>
      </c>
      <c r="I81" s="414">
        <f t="shared" si="6"/>
        <v>25231777.900465317</v>
      </c>
      <c r="J81" s="28">
        <f t="shared" si="4"/>
        <v>-1626642.1125346795</v>
      </c>
      <c r="K81" s="36">
        <f t="shared" si="5"/>
        <v>-6.0563581616020344E-2</v>
      </c>
      <c r="L81" s="416">
        <f t="shared" si="7"/>
        <v>6.0563581616020344E-2</v>
      </c>
      <c r="M81"/>
    </row>
    <row r="82" spans="1:13">
      <c r="A82" s="413">
        <v>43708</v>
      </c>
      <c r="B82" s="414">
        <f>Inputs!D103</f>
        <v>23828311.434</v>
      </c>
      <c r="C82" s="414">
        <v>3.2950000000000004</v>
      </c>
      <c r="D82" s="414">
        <v>124.67</v>
      </c>
      <c r="E82" s="414">
        <v>31</v>
      </c>
      <c r="F82" s="264">
        <v>0</v>
      </c>
      <c r="G82" s="264">
        <v>0</v>
      </c>
      <c r="H82" s="414">
        <f>Inputs!G103+Inputs!I103+Inputs!L103+Inputs!X103</f>
        <v>18539</v>
      </c>
      <c r="I82" s="414">
        <f t="shared" si="6"/>
        <v>24492393.055761129</v>
      </c>
      <c r="J82" s="28">
        <f t="shared" si="4"/>
        <v>664081.62176112831</v>
      </c>
      <c r="K82" s="36">
        <f t="shared" si="5"/>
        <v>2.7869436892350143E-2</v>
      </c>
      <c r="L82" s="416">
        <f t="shared" si="7"/>
        <v>2.7869436892350143E-2</v>
      </c>
      <c r="M82"/>
    </row>
    <row r="83" spans="1:13">
      <c r="A83" s="413">
        <v>43738</v>
      </c>
      <c r="B83" s="414">
        <f>Inputs!D104</f>
        <v>19656048.893999998</v>
      </c>
      <c r="C83" s="414">
        <v>50.260000000000005</v>
      </c>
      <c r="D83" s="414">
        <v>49.079999999999991</v>
      </c>
      <c r="E83" s="414">
        <v>30</v>
      </c>
      <c r="F83" s="264">
        <v>1</v>
      </c>
      <c r="G83" s="264">
        <v>0</v>
      </c>
      <c r="H83" s="414">
        <f>Inputs!G104+Inputs!I104+Inputs!L104+Inputs!X104</f>
        <v>18550</v>
      </c>
      <c r="I83" s="414">
        <f t="shared" si="6"/>
        <v>20204340.005919941</v>
      </c>
      <c r="J83" s="28">
        <f t="shared" si="4"/>
        <v>548291.11191994324</v>
      </c>
      <c r="K83" s="36">
        <f t="shared" si="5"/>
        <v>2.789426882669736E-2</v>
      </c>
      <c r="L83" s="416">
        <f t="shared" si="7"/>
        <v>2.789426882669736E-2</v>
      </c>
      <c r="M83"/>
    </row>
    <row r="84" spans="1:13">
      <c r="A84" s="413">
        <v>43769</v>
      </c>
      <c r="B84" s="414">
        <f>Inputs!D105</f>
        <v>20804823.366999999</v>
      </c>
      <c r="C84" s="414">
        <v>222.22000000000003</v>
      </c>
      <c r="D84" s="414">
        <v>3.3</v>
      </c>
      <c r="E84" s="414">
        <v>31</v>
      </c>
      <c r="F84" s="264">
        <v>1</v>
      </c>
      <c r="G84" s="264">
        <v>0</v>
      </c>
      <c r="H84" s="414">
        <f>Inputs!G105+Inputs!I105+Inputs!L105+Inputs!X105</f>
        <v>18558</v>
      </c>
      <c r="I84" s="414">
        <f t="shared" si="6"/>
        <v>20871432.59545118</v>
      </c>
      <c r="J84" s="28">
        <f t="shared" si="4"/>
        <v>66609.228451181203</v>
      </c>
      <c r="K84" s="36">
        <f t="shared" si="5"/>
        <v>3.2016243193313918E-3</v>
      </c>
      <c r="L84" s="416">
        <f t="shared" si="7"/>
        <v>3.2016243193313918E-3</v>
      </c>
      <c r="M84"/>
    </row>
    <row r="85" spans="1:13">
      <c r="A85" s="413">
        <v>43799</v>
      </c>
      <c r="B85" s="414">
        <f>Inputs!D106</f>
        <v>23741040.090999998</v>
      </c>
      <c r="C85" s="414">
        <v>420.84500000000008</v>
      </c>
      <c r="D85" s="414">
        <v>0.09</v>
      </c>
      <c r="E85" s="414">
        <v>30</v>
      </c>
      <c r="F85" s="264">
        <v>0</v>
      </c>
      <c r="G85" s="264">
        <v>0</v>
      </c>
      <c r="H85" s="414">
        <f>Inputs!G106+Inputs!I106+Inputs!L106+Inputs!X106</f>
        <v>18575</v>
      </c>
      <c r="I85" s="414">
        <f t="shared" si="6"/>
        <v>23336111.070557538</v>
      </c>
      <c r="J85" s="28">
        <f t="shared" si="4"/>
        <v>-404929.02044245973</v>
      </c>
      <c r="K85" s="36">
        <f t="shared" si="5"/>
        <v>-1.7056077530316984E-2</v>
      </c>
      <c r="L85" s="416">
        <f t="shared" si="7"/>
        <v>1.7056077530316984E-2</v>
      </c>
      <c r="M85"/>
    </row>
    <row r="86" spans="1:13">
      <c r="A86" s="413">
        <v>43830</v>
      </c>
      <c r="B86" s="414">
        <f>Inputs!D107</f>
        <v>26398898.682</v>
      </c>
      <c r="C86" s="414">
        <v>579.06000000000006</v>
      </c>
      <c r="D86" s="414">
        <v>0</v>
      </c>
      <c r="E86" s="414">
        <v>31</v>
      </c>
      <c r="F86" s="264">
        <v>0</v>
      </c>
      <c r="G86" s="264">
        <v>0</v>
      </c>
      <c r="H86" s="414">
        <f>Inputs!G107+Inputs!I107+Inputs!L107+Inputs!X107</f>
        <v>18632</v>
      </c>
      <c r="I86" s="414">
        <f t="shared" si="6"/>
        <v>26008134.722952571</v>
      </c>
      <c r="J86" s="28">
        <f t="shared" si="4"/>
        <v>-390763.95904742926</v>
      </c>
      <c r="K86" s="36">
        <f t="shared" si="5"/>
        <v>-1.4802282616201347E-2</v>
      </c>
      <c r="L86" s="416">
        <f t="shared" si="7"/>
        <v>1.4802282616201347E-2</v>
      </c>
      <c r="M86"/>
    </row>
    <row r="87" spans="1:13">
      <c r="A87" s="413">
        <v>43861</v>
      </c>
      <c r="B87" s="414">
        <f>Inputs!D108</f>
        <v>26523401.686000001</v>
      </c>
      <c r="C87" s="414">
        <v>703.65</v>
      </c>
      <c r="D87" s="414">
        <v>0</v>
      </c>
      <c r="E87" s="414">
        <v>31</v>
      </c>
      <c r="F87" s="264">
        <v>0</v>
      </c>
      <c r="G87" s="264">
        <v>0</v>
      </c>
      <c r="H87" s="414">
        <f>Inputs!G108+Inputs!I108+Inputs!L108+Inputs!X108</f>
        <v>18667</v>
      </c>
      <c r="I87" s="414">
        <f t="shared" si="6"/>
        <v>27611518.620372057</v>
      </c>
      <c r="J87" s="28">
        <f t="shared" si="4"/>
        <v>1088116.9343720563</v>
      </c>
      <c r="K87" s="36">
        <f t="shared" si="5"/>
        <v>4.1024788119330989E-2</v>
      </c>
      <c r="L87" s="416">
        <f t="shared" si="7"/>
        <v>4.1024788119330989E-2</v>
      </c>
      <c r="M87"/>
    </row>
    <row r="88" spans="1:13">
      <c r="A88" s="413">
        <v>43890</v>
      </c>
      <c r="B88" s="414">
        <f>Inputs!D109</f>
        <v>24898397.280999999</v>
      </c>
      <c r="C88" s="414">
        <v>630.40499999999997</v>
      </c>
      <c r="D88" s="414">
        <v>0</v>
      </c>
      <c r="E88" s="414">
        <v>29</v>
      </c>
      <c r="F88" s="264">
        <v>0</v>
      </c>
      <c r="G88" s="264">
        <v>0</v>
      </c>
      <c r="H88" s="414">
        <f>Inputs!G109+Inputs!I109+Inputs!L109+Inputs!X109</f>
        <v>18677</v>
      </c>
      <c r="I88" s="414">
        <f t="shared" si="6"/>
        <v>25432458.40171425</v>
      </c>
      <c r="J88" s="28">
        <f t="shared" si="4"/>
        <v>534061.12071425095</v>
      </c>
      <c r="K88" s="36">
        <f t="shared" si="5"/>
        <v>2.1449618410651423E-2</v>
      </c>
      <c r="L88" s="416">
        <f t="shared" si="7"/>
        <v>2.1449618410651423E-2</v>
      </c>
      <c r="M88"/>
    </row>
    <row r="89" spans="1:13">
      <c r="A89" s="413">
        <v>43921</v>
      </c>
      <c r="B89" s="414">
        <f>Inputs!D110</f>
        <v>24574269.381999999</v>
      </c>
      <c r="C89" s="414">
        <v>547.82999999999993</v>
      </c>
      <c r="D89" s="414">
        <v>0</v>
      </c>
      <c r="E89" s="414">
        <v>31</v>
      </c>
      <c r="F89" s="264">
        <v>1</v>
      </c>
      <c r="G89" s="264">
        <v>1</v>
      </c>
      <c r="H89" s="414">
        <f>Inputs!G110+Inputs!I110+Inputs!L110+Inputs!X110</f>
        <v>18694</v>
      </c>
      <c r="I89" s="414">
        <f t="shared" si="6"/>
        <v>25527408.031831391</v>
      </c>
      <c r="J89" s="28">
        <f t="shared" si="4"/>
        <v>953138.64983139187</v>
      </c>
      <c r="K89" s="36">
        <f t="shared" si="5"/>
        <v>3.8786042222257913E-2</v>
      </c>
      <c r="L89" s="416">
        <f t="shared" si="7"/>
        <v>3.8786042222257913E-2</v>
      </c>
      <c r="M89"/>
    </row>
    <row r="90" spans="1:13">
      <c r="A90" s="413">
        <v>43951</v>
      </c>
      <c r="B90" s="414">
        <f>Inputs!D111</f>
        <v>21967925.707000002</v>
      </c>
      <c r="C90" s="414">
        <v>338.72500000000002</v>
      </c>
      <c r="D90" s="414">
        <v>0.71000000000000008</v>
      </c>
      <c r="E90" s="414">
        <v>30</v>
      </c>
      <c r="F90" s="264">
        <v>1</v>
      </c>
      <c r="G90" s="264">
        <v>1</v>
      </c>
      <c r="H90" s="414">
        <f>Inputs!G111+Inputs!I111+Inputs!L111+Inputs!X111</f>
        <v>18694</v>
      </c>
      <c r="I90" s="414">
        <f t="shared" si="6"/>
        <v>22285592.003840961</v>
      </c>
      <c r="J90" s="28">
        <f t="shared" si="4"/>
        <v>317666.2968409583</v>
      </c>
      <c r="K90" s="36">
        <f t="shared" si="5"/>
        <v>1.4460459356876605E-2</v>
      </c>
      <c r="L90" s="416">
        <f t="shared" si="7"/>
        <v>1.4460459356876605E-2</v>
      </c>
      <c r="M90"/>
    </row>
    <row r="91" spans="1:13">
      <c r="A91" s="413">
        <v>43982</v>
      </c>
      <c r="B91" s="414">
        <f>Inputs!D112</f>
        <v>21748680.120000001</v>
      </c>
      <c r="C91" s="414">
        <v>144.06</v>
      </c>
      <c r="D91" s="414">
        <v>23.914999999999999</v>
      </c>
      <c r="E91" s="414">
        <v>31</v>
      </c>
      <c r="F91" s="264">
        <v>1</v>
      </c>
      <c r="G91" s="264">
        <v>1</v>
      </c>
      <c r="H91" s="414">
        <f>Inputs!G112+Inputs!I112+Inputs!L112+Inputs!X112</f>
        <v>18713</v>
      </c>
      <c r="I91" s="414">
        <f t="shared" si="6"/>
        <v>21555588.584037062</v>
      </c>
      <c r="J91" s="28">
        <f t="shared" si="4"/>
        <v>-193091.53596293926</v>
      </c>
      <c r="K91" s="36">
        <f t="shared" si="5"/>
        <v>-8.8783105410324675E-3</v>
      </c>
      <c r="L91" s="416">
        <f t="shared" si="7"/>
        <v>8.8783105410324675E-3</v>
      </c>
      <c r="M91"/>
    </row>
    <row r="92" spans="1:13">
      <c r="A92" s="413">
        <v>44012</v>
      </c>
      <c r="B92" s="414">
        <f>Inputs!D113</f>
        <v>23703342.888</v>
      </c>
      <c r="C92" s="414">
        <v>21.37</v>
      </c>
      <c r="D92" s="414">
        <v>69.710000000000008</v>
      </c>
      <c r="E92" s="414">
        <v>30</v>
      </c>
      <c r="F92" s="264">
        <v>0</v>
      </c>
      <c r="G92" s="264">
        <v>1</v>
      </c>
      <c r="H92" s="414">
        <f>Inputs!G113+Inputs!I113+Inputs!L113+Inputs!X113</f>
        <v>18751</v>
      </c>
      <c r="I92" s="414">
        <f t="shared" si="6"/>
        <v>22268217.116035152</v>
      </c>
      <c r="J92" s="28">
        <f t="shared" si="4"/>
        <v>-1435125.771964848</v>
      </c>
      <c r="K92" s="36">
        <f t="shared" si="5"/>
        <v>-6.0545290119875521E-2</v>
      </c>
      <c r="L92" s="416">
        <f t="shared" si="7"/>
        <v>6.0545290119875521E-2</v>
      </c>
      <c r="M92"/>
    </row>
    <row r="93" spans="1:13">
      <c r="A93" s="413">
        <v>44043</v>
      </c>
      <c r="B93" s="414">
        <f>Inputs!D114</f>
        <v>29815954.280999999</v>
      </c>
      <c r="C93" s="414">
        <v>1.37</v>
      </c>
      <c r="D93" s="414">
        <v>141.07500000000002</v>
      </c>
      <c r="E93" s="414">
        <v>31</v>
      </c>
      <c r="F93" s="264">
        <v>0</v>
      </c>
      <c r="G93" s="264">
        <v>1</v>
      </c>
      <c r="H93" s="414">
        <f>Inputs!G114+Inputs!I114+Inputs!L114+Inputs!X114</f>
        <v>18765</v>
      </c>
      <c r="I93" s="414">
        <f t="shared" si="6"/>
        <v>25999435.303537026</v>
      </c>
      <c r="J93" s="28">
        <f t="shared" si="4"/>
        <v>-3816518.9774629734</v>
      </c>
      <c r="K93" s="36">
        <f t="shared" si="5"/>
        <v>-0.12800257679141339</v>
      </c>
      <c r="L93" s="416">
        <f t="shared" si="7"/>
        <v>0.12800257679141339</v>
      </c>
      <c r="M93"/>
    </row>
    <row r="94" spans="1:13">
      <c r="A94" s="413">
        <v>44074</v>
      </c>
      <c r="B94" s="414">
        <f>Inputs!D115</f>
        <v>26121737.241</v>
      </c>
      <c r="C94" s="414">
        <v>3.2950000000000004</v>
      </c>
      <c r="D94" s="414">
        <v>124.67</v>
      </c>
      <c r="E94" s="414">
        <v>31</v>
      </c>
      <c r="F94" s="264">
        <v>0</v>
      </c>
      <c r="G94" s="264">
        <v>1</v>
      </c>
      <c r="H94" s="414">
        <f>Inputs!G115+Inputs!I115+Inputs!L115+Inputs!X115</f>
        <v>18798</v>
      </c>
      <c r="I94" s="414">
        <f t="shared" si="6"/>
        <v>25281289.227251589</v>
      </c>
      <c r="J94" s="28">
        <f t="shared" si="4"/>
        <v>-840448.01374841109</v>
      </c>
      <c r="K94" s="36">
        <f t="shared" si="5"/>
        <v>-3.2174277154479056E-2</v>
      </c>
      <c r="L94" s="416">
        <f t="shared" si="7"/>
        <v>3.2174277154479056E-2</v>
      </c>
      <c r="M94"/>
    </row>
    <row r="95" spans="1:13">
      <c r="A95" s="413">
        <v>44104</v>
      </c>
      <c r="B95" s="414">
        <f>Inputs!D116</f>
        <v>20682425.02699</v>
      </c>
      <c r="C95" s="414">
        <v>50.260000000000005</v>
      </c>
      <c r="D95" s="414">
        <v>49.079999999999991</v>
      </c>
      <c r="E95" s="414">
        <v>30</v>
      </c>
      <c r="F95" s="264">
        <v>1</v>
      </c>
      <c r="G95" s="264">
        <v>1</v>
      </c>
      <c r="H95" s="414">
        <f>Inputs!G116+Inputs!I116+Inputs!L116+Inputs!X116</f>
        <v>18823</v>
      </c>
      <c r="I95" s="414">
        <f t="shared" si="6"/>
        <v>21004248.872146055</v>
      </c>
      <c r="J95" s="28">
        <f t="shared" si="4"/>
        <v>321823.84515605494</v>
      </c>
      <c r="K95" s="36">
        <f t="shared" si="5"/>
        <v>1.5560256823659876E-2</v>
      </c>
      <c r="L95" s="416">
        <f t="shared" si="7"/>
        <v>1.5560256823659876E-2</v>
      </c>
      <c r="M95"/>
    </row>
    <row r="96" spans="1:13">
      <c r="A96" s="413">
        <v>44135</v>
      </c>
      <c r="B96" s="414">
        <f>Inputs!D117</f>
        <v>21791036.214000002</v>
      </c>
      <c r="C96" s="414">
        <v>222.22000000000003</v>
      </c>
      <c r="D96" s="414">
        <v>3.3</v>
      </c>
      <c r="E96" s="414">
        <v>31</v>
      </c>
      <c r="F96" s="264">
        <v>1</v>
      </c>
      <c r="G96" s="264">
        <v>1</v>
      </c>
      <c r="H96" s="414">
        <f>Inputs!G117+Inputs!I117+Inputs!L117+Inputs!X117</f>
        <v>18970</v>
      </c>
      <c r="I96" s="414">
        <f t="shared" si="6"/>
        <v>21780681.787981279</v>
      </c>
      <c r="J96" s="28">
        <f t="shared" si="4"/>
        <v>-10354.426018722355</v>
      </c>
      <c r="K96" s="36">
        <f t="shared" si="5"/>
        <v>-4.7516905194577153E-4</v>
      </c>
      <c r="L96" s="416">
        <f t="shared" si="7"/>
        <v>4.7516905194577153E-4</v>
      </c>
      <c r="M96"/>
    </row>
    <row r="97" spans="1:13">
      <c r="A97" s="413">
        <v>44165</v>
      </c>
      <c r="B97" s="414">
        <f>Inputs!D118</f>
        <v>22640626.522999998</v>
      </c>
      <c r="C97" s="414">
        <v>420.84500000000008</v>
      </c>
      <c r="D97" s="414">
        <v>0.09</v>
      </c>
      <c r="E97" s="414">
        <v>30</v>
      </c>
      <c r="F97" s="264">
        <v>0</v>
      </c>
      <c r="G97" s="264">
        <v>1</v>
      </c>
      <c r="H97" s="414">
        <f>Inputs!G118+Inputs!I118+Inputs!L118+Inputs!X118</f>
        <v>18969</v>
      </c>
      <c r="I97" s="414">
        <f t="shared" si="6"/>
        <v>24231201.084141798</v>
      </c>
      <c r="J97" s="28">
        <f t="shared" si="4"/>
        <v>1590574.5611418001</v>
      </c>
      <c r="K97" s="36">
        <f t="shared" si="5"/>
        <v>7.0253115987138362E-2</v>
      </c>
      <c r="L97" s="416">
        <f t="shared" si="7"/>
        <v>7.0253115987138362E-2</v>
      </c>
      <c r="M97"/>
    </row>
    <row r="98" spans="1:13">
      <c r="A98" s="413">
        <v>44196</v>
      </c>
      <c r="B98" s="414">
        <f>Inputs!D119</f>
        <v>26936455.295999996</v>
      </c>
      <c r="C98" s="414">
        <v>579.06000000000006</v>
      </c>
      <c r="D98" s="414">
        <v>0</v>
      </c>
      <c r="E98" s="414">
        <v>31</v>
      </c>
      <c r="F98" s="264">
        <v>0</v>
      </c>
      <c r="G98" s="264">
        <v>1</v>
      </c>
      <c r="H98" s="414">
        <f>Inputs!G119+Inputs!I119+Inputs!L119+Inputs!X119</f>
        <v>19281</v>
      </c>
      <c r="I98" s="414">
        <f t="shared" si="6"/>
        <v>27103813.104936223</v>
      </c>
      <c r="J98" s="28">
        <f t="shared" si="4"/>
        <v>167357.80893622711</v>
      </c>
      <c r="K98" s="36">
        <f t="shared" si="5"/>
        <v>6.2130598513115932E-3</v>
      </c>
      <c r="L98" s="416">
        <f t="shared" si="7"/>
        <v>6.2130598513115932E-3</v>
      </c>
      <c r="M98"/>
    </row>
    <row r="99" spans="1:13">
      <c r="A99" s="413">
        <v>44227</v>
      </c>
      <c r="B99" s="414">
        <f>Inputs!D120</f>
        <v>27383194.68</v>
      </c>
      <c r="C99" s="417">
        <v>703.65</v>
      </c>
      <c r="D99" s="417">
        <v>0</v>
      </c>
      <c r="E99" s="414">
        <v>31</v>
      </c>
      <c r="F99" s="264">
        <v>0</v>
      </c>
      <c r="G99" s="264">
        <v>1</v>
      </c>
      <c r="H99" s="414">
        <f>Inputs!G120+Inputs!I120+Inputs!L120+Inputs!X120</f>
        <v>19312</v>
      </c>
      <c r="I99" s="414">
        <f t="shared" si="6"/>
        <v>28704050.518145524</v>
      </c>
      <c r="J99" s="28">
        <f t="shared" si="4"/>
        <v>1320855.8381455243</v>
      </c>
      <c r="K99" s="36">
        <f t="shared" si="5"/>
        <v>4.82360021750948E-2</v>
      </c>
      <c r="L99" s="416">
        <f t="shared" si="7"/>
        <v>4.82360021750948E-2</v>
      </c>
      <c r="M99"/>
    </row>
    <row r="100" spans="1:13">
      <c r="A100" s="413">
        <v>44255</v>
      </c>
      <c r="B100" s="414">
        <f>Inputs!D121</f>
        <v>26118374.440000001</v>
      </c>
      <c r="C100" s="417">
        <v>630.40499999999997</v>
      </c>
      <c r="D100" s="417">
        <v>0</v>
      </c>
      <c r="E100" s="414">
        <v>28</v>
      </c>
      <c r="F100" s="264">
        <v>0</v>
      </c>
      <c r="G100" s="264">
        <v>1</v>
      </c>
      <c r="H100" s="414">
        <f>Inputs!G121+Inputs!I121+Inputs!L121+Inputs!X121</f>
        <v>19328</v>
      </c>
      <c r="I100" s="414">
        <f t="shared" si="6"/>
        <v>25899459.314228084</v>
      </c>
      <c r="J100" s="28">
        <f t="shared" si="4"/>
        <v>-218915.1257719174</v>
      </c>
      <c r="K100" s="36">
        <f t="shared" si="5"/>
        <v>-8.3816520157032181E-3</v>
      </c>
      <c r="L100" s="416">
        <f t="shared" si="7"/>
        <v>8.3816520157032181E-3</v>
      </c>
      <c r="M100"/>
    </row>
    <row r="101" spans="1:13">
      <c r="A101" s="413">
        <v>44286</v>
      </c>
      <c r="B101" s="414">
        <f>Inputs!D122</f>
        <v>25209899.25</v>
      </c>
      <c r="C101" s="417">
        <v>547.82999999999993</v>
      </c>
      <c r="D101" s="417">
        <v>0</v>
      </c>
      <c r="E101" s="414">
        <v>31</v>
      </c>
      <c r="F101" s="264">
        <v>1</v>
      </c>
      <c r="G101" s="264">
        <v>1</v>
      </c>
      <c r="H101" s="414">
        <f>Inputs!G122+Inputs!I122+Inputs!L122+Inputs!X122</f>
        <v>19349</v>
      </c>
      <c r="I101" s="414">
        <f t="shared" si="6"/>
        <v>26042644.82124944</v>
      </c>
      <c r="J101" s="28">
        <f t="shared" si="4"/>
        <v>832745.57124944031</v>
      </c>
      <c r="K101" s="36">
        <f t="shared" si="5"/>
        <v>3.3032483112737564E-2</v>
      </c>
      <c r="L101" s="416">
        <f t="shared" si="7"/>
        <v>3.3032483112737564E-2</v>
      </c>
      <c r="M101"/>
    </row>
    <row r="102" spans="1:13">
      <c r="A102" s="413">
        <v>44316</v>
      </c>
      <c r="B102" s="414">
        <f>Inputs!D123</f>
        <v>21444082.049999997</v>
      </c>
      <c r="C102" s="417">
        <v>338.72500000000002</v>
      </c>
      <c r="D102" s="417">
        <v>0.71000000000000008</v>
      </c>
      <c r="E102" s="414">
        <v>30</v>
      </c>
      <c r="F102" s="264">
        <v>1</v>
      </c>
      <c r="G102" s="264">
        <v>1</v>
      </c>
      <c r="H102" s="414">
        <f>Inputs!G123+Inputs!I123+Inputs!L123+Inputs!X123</f>
        <v>19359</v>
      </c>
      <c r="I102" s="414">
        <f t="shared" si="6"/>
        <v>22808695.003784478</v>
      </c>
      <c r="J102" s="28">
        <f t="shared" si="4"/>
        <v>1364612.9537844807</v>
      </c>
      <c r="K102" s="36">
        <f t="shared" si="5"/>
        <v>6.3635876350532847E-2</v>
      </c>
      <c r="L102" s="416">
        <f t="shared" si="7"/>
        <v>6.3635876350532847E-2</v>
      </c>
      <c r="M102"/>
    </row>
    <row r="103" spans="1:13">
      <c r="A103" s="413">
        <v>44347</v>
      </c>
      <c r="B103" s="414">
        <f>Inputs!D124</f>
        <v>21915007.870000001</v>
      </c>
      <c r="C103" s="417">
        <v>144.06</v>
      </c>
      <c r="D103" s="417">
        <v>23.914999999999999</v>
      </c>
      <c r="E103" s="414">
        <v>31</v>
      </c>
      <c r="F103" s="264">
        <v>1</v>
      </c>
      <c r="G103" s="264">
        <v>1</v>
      </c>
      <c r="H103" s="414">
        <f>Inputs!G124+Inputs!I124+Inputs!L124+Inputs!X124</f>
        <v>19529</v>
      </c>
      <c r="I103" s="414">
        <f t="shared" si="6"/>
        <v>22197471.362915121</v>
      </c>
      <c r="J103" s="28">
        <f t="shared" si="4"/>
        <v>282463.49291511998</v>
      </c>
      <c r="K103" s="36">
        <f t="shared" si="5"/>
        <v>1.2889043644916562E-2</v>
      </c>
      <c r="L103" s="416">
        <f t="shared" si="7"/>
        <v>1.2889043644916562E-2</v>
      </c>
      <c r="M103"/>
    </row>
    <row r="104" spans="1:13">
      <c r="A104" s="413">
        <v>44377</v>
      </c>
      <c r="B104" s="414">
        <f>Inputs!D125</f>
        <v>24946416.130000003</v>
      </c>
      <c r="C104" s="417">
        <v>21.37</v>
      </c>
      <c r="D104" s="417">
        <v>69.710000000000008</v>
      </c>
      <c r="E104" s="414">
        <v>30</v>
      </c>
      <c r="F104" s="264">
        <v>0</v>
      </c>
      <c r="G104" s="264">
        <v>1</v>
      </c>
      <c r="H104" s="414">
        <f>Inputs!G125+Inputs!I125+Inputs!L125+Inputs!X125</f>
        <v>19556</v>
      </c>
      <c r="I104" s="414">
        <f t="shared" si="6"/>
        <v>22901447.063335199</v>
      </c>
      <c r="J104" s="28">
        <f t="shared" si="4"/>
        <v>-2044969.0666648038</v>
      </c>
      <c r="K104" s="36">
        <f t="shared" si="5"/>
        <v>-8.1974463025395045E-2</v>
      </c>
      <c r="L104" s="416">
        <f t="shared" si="7"/>
        <v>8.1974463025395045E-2</v>
      </c>
      <c r="M104"/>
    </row>
    <row r="105" spans="1:13">
      <c r="A105" s="413">
        <v>44408</v>
      </c>
      <c r="B105" s="414">
        <f>Inputs!D126</f>
        <v>25413113.779999997</v>
      </c>
      <c r="C105" s="417">
        <v>1.37</v>
      </c>
      <c r="D105" s="417">
        <v>141.07500000000002</v>
      </c>
      <c r="E105" s="414">
        <v>31</v>
      </c>
      <c r="F105" s="264">
        <v>0</v>
      </c>
      <c r="G105" s="264">
        <v>1</v>
      </c>
      <c r="H105" s="414">
        <f>Inputs!G126+Inputs!I126+Inputs!L126+Inputs!X126</f>
        <v>19599</v>
      </c>
      <c r="I105" s="414">
        <f t="shared" si="6"/>
        <v>26655477.261360921</v>
      </c>
      <c r="J105" s="28">
        <f t="shared" si="4"/>
        <v>1242363.4813609235</v>
      </c>
      <c r="K105" s="36">
        <f t="shared" si="5"/>
        <v>4.8886708339481715E-2</v>
      </c>
      <c r="L105" s="416">
        <f t="shared" si="7"/>
        <v>4.8886708339481715E-2</v>
      </c>
      <c r="M105"/>
    </row>
    <row r="106" spans="1:13">
      <c r="A106" s="413">
        <v>44439</v>
      </c>
      <c r="B106" s="414">
        <f>Inputs!D127</f>
        <v>29121956.240000002</v>
      </c>
      <c r="C106" s="417">
        <v>3.2950000000000004</v>
      </c>
      <c r="D106" s="417">
        <v>124.67</v>
      </c>
      <c r="E106" s="414">
        <v>31</v>
      </c>
      <c r="F106" s="264">
        <v>0</v>
      </c>
      <c r="G106" s="264">
        <v>1</v>
      </c>
      <c r="H106" s="414">
        <f>Inputs!G127+Inputs!I127+Inputs!L127+Inputs!X127</f>
        <v>19593</v>
      </c>
      <c r="I106" s="414">
        <f t="shared" si="6"/>
        <v>25906652.964026168</v>
      </c>
      <c r="J106" s="28">
        <f t="shared" si="4"/>
        <v>-3215303.2759738341</v>
      </c>
      <c r="K106" s="36">
        <f t="shared" si="5"/>
        <v>-0.11040821741080378</v>
      </c>
      <c r="L106" s="416">
        <f t="shared" si="7"/>
        <v>0.11040821741080378</v>
      </c>
      <c r="M106"/>
    </row>
    <row r="107" spans="1:13">
      <c r="A107" s="413">
        <v>44469</v>
      </c>
      <c r="B107" s="414">
        <f>Inputs!D128</f>
        <v>21448441.290000003</v>
      </c>
      <c r="C107" s="417">
        <v>50.260000000000005</v>
      </c>
      <c r="D107" s="417">
        <v>49.079999999999991</v>
      </c>
      <c r="E107" s="414">
        <v>30</v>
      </c>
      <c r="F107" s="264">
        <v>1</v>
      </c>
      <c r="G107" s="264">
        <v>1</v>
      </c>
      <c r="H107" s="414">
        <f>Inputs!G128+Inputs!I128+Inputs!L128+Inputs!X128</f>
        <v>19629</v>
      </c>
      <c r="I107" s="414">
        <f t="shared" si="6"/>
        <v>21638265.44049865</v>
      </c>
      <c r="J107" s="28">
        <f t="shared" si="4"/>
        <v>189824.15049864724</v>
      </c>
      <c r="K107" s="36">
        <f t="shared" si="5"/>
        <v>8.8502538684314437E-3</v>
      </c>
      <c r="L107" s="416">
        <f t="shared" si="7"/>
        <v>8.8502538684314437E-3</v>
      </c>
      <c r="M107"/>
    </row>
    <row r="108" spans="1:13">
      <c r="A108" s="413">
        <v>44500</v>
      </c>
      <c r="B108" s="414">
        <f>Inputs!D129</f>
        <v>21738524.600000001</v>
      </c>
      <c r="C108" s="417">
        <v>222.22000000000003</v>
      </c>
      <c r="D108" s="417">
        <v>3.3</v>
      </c>
      <c r="E108" s="414">
        <v>31</v>
      </c>
      <c r="F108" s="264">
        <v>1</v>
      </c>
      <c r="G108" s="264">
        <v>1</v>
      </c>
      <c r="H108" s="414">
        <f>Inputs!G129+Inputs!I129+Inputs!L129+Inputs!X129</f>
        <v>19655</v>
      </c>
      <c r="I108" s="414">
        <f t="shared" si="6"/>
        <v>22319517.208975725</v>
      </c>
      <c r="J108" s="28">
        <f t="shared" si="4"/>
        <v>580992.60897572339</v>
      </c>
      <c r="K108" s="36">
        <f t="shared" si="5"/>
        <v>2.6726404835023778E-2</v>
      </c>
      <c r="L108" s="416">
        <f t="shared" si="7"/>
        <v>2.6726404835023778E-2</v>
      </c>
      <c r="M108"/>
    </row>
    <row r="109" spans="1:13">
      <c r="A109" s="413">
        <v>44530</v>
      </c>
      <c r="B109" s="414">
        <f>Inputs!D130</f>
        <v>23740519.789999999</v>
      </c>
      <c r="C109" s="417">
        <v>420.84500000000008</v>
      </c>
      <c r="D109" s="417">
        <v>0.09</v>
      </c>
      <c r="E109" s="414">
        <v>30</v>
      </c>
      <c r="F109" s="264">
        <v>0</v>
      </c>
      <c r="G109" s="264">
        <v>1</v>
      </c>
      <c r="H109" s="414">
        <f>Inputs!G130+Inputs!I130+Inputs!L130+Inputs!X130</f>
        <v>19656</v>
      </c>
      <c r="I109" s="414">
        <f t="shared" si="6"/>
        <v>24771609.747241341</v>
      </c>
      <c r="J109" s="28">
        <f t="shared" si="4"/>
        <v>1031089.9572413415</v>
      </c>
      <c r="K109" s="36">
        <f t="shared" si="5"/>
        <v>4.3431650459298622E-2</v>
      </c>
      <c r="L109" s="416">
        <f t="shared" si="7"/>
        <v>4.3431650459298622E-2</v>
      </c>
      <c r="M109"/>
    </row>
    <row r="110" spans="1:13">
      <c r="A110" s="413">
        <v>44561</v>
      </c>
      <c r="B110" s="414">
        <f>Inputs!D131</f>
        <v>26760724.010000002</v>
      </c>
      <c r="C110" s="417">
        <v>579.06000000000006</v>
      </c>
      <c r="D110" s="417">
        <v>0</v>
      </c>
      <c r="E110" s="414">
        <v>31</v>
      </c>
      <c r="F110" s="264">
        <v>0</v>
      </c>
      <c r="G110" s="264">
        <v>1</v>
      </c>
      <c r="H110" s="414">
        <f>Inputs!G131+Inputs!I131+Inputs!L131+Inputs!X131</f>
        <v>19703</v>
      </c>
      <c r="I110" s="414">
        <f t="shared" si="6"/>
        <v>27435767.189110905</v>
      </c>
      <c r="J110" s="28">
        <f t="shared" si="4"/>
        <v>675043.17911090329</v>
      </c>
      <c r="K110" s="36">
        <f t="shared" si="5"/>
        <v>2.5225146332313424E-2</v>
      </c>
      <c r="L110" s="416">
        <f t="shared" si="7"/>
        <v>2.5225146332313424E-2</v>
      </c>
      <c r="M110"/>
    </row>
    <row r="111" spans="1:13">
      <c r="A111" s="413">
        <v>44592</v>
      </c>
      <c r="B111" s="414">
        <f>Inputs!D132</f>
        <v>30693913.289999999</v>
      </c>
      <c r="C111" s="414">
        <v>703.65</v>
      </c>
      <c r="D111" s="414">
        <v>0</v>
      </c>
      <c r="E111" s="414">
        <v>31</v>
      </c>
      <c r="F111" s="264">
        <v>0</v>
      </c>
      <c r="G111" s="264">
        <v>1</v>
      </c>
      <c r="H111" s="414">
        <f>Inputs!G132+Inputs!I132+Inputs!L132+Inputs!X132</f>
        <v>19787</v>
      </c>
      <c r="I111" s="414">
        <f t="shared" si="6"/>
        <v>29077695.518105175</v>
      </c>
      <c r="J111" s="28">
        <f t="shared" si="4"/>
        <v>-1616217.7718948238</v>
      </c>
      <c r="K111" s="36">
        <f t="shared" si="5"/>
        <v>-5.2655969821266926E-2</v>
      </c>
      <c r="L111" s="416">
        <f t="shared" si="7"/>
        <v>5.2655969821266926E-2</v>
      </c>
      <c r="M111"/>
    </row>
    <row r="112" spans="1:13">
      <c r="A112" s="413">
        <v>44620</v>
      </c>
      <c r="B112" s="414">
        <f>Inputs!D133</f>
        <v>26556495.73</v>
      </c>
      <c r="C112" s="414">
        <v>630.40499999999997</v>
      </c>
      <c r="D112" s="414">
        <v>0</v>
      </c>
      <c r="E112" s="414">
        <v>28</v>
      </c>
      <c r="F112" s="264">
        <v>0</v>
      </c>
      <c r="G112" s="264">
        <v>1</v>
      </c>
      <c r="H112" s="414">
        <f>Inputs!G133+Inputs!I133+Inputs!L133+Inputs!X133</f>
        <v>19809</v>
      </c>
      <c r="I112" s="414">
        <f t="shared" si="6"/>
        <v>26277824.040503018</v>
      </c>
      <c r="J112" s="28">
        <f t="shared" si="4"/>
        <v>-278671.68949698284</v>
      </c>
      <c r="K112" s="36">
        <f t="shared" si="5"/>
        <v>-1.0493541479653002E-2</v>
      </c>
      <c r="L112" s="416">
        <f t="shared" si="7"/>
        <v>1.0493541479653002E-2</v>
      </c>
      <c r="M112"/>
    </row>
    <row r="113" spans="1:13">
      <c r="A113" s="413">
        <v>44651</v>
      </c>
      <c r="B113" s="414">
        <f>Inputs!D134</f>
        <v>26436228.200000003</v>
      </c>
      <c r="C113" s="414">
        <v>547.82999999999993</v>
      </c>
      <c r="D113" s="414">
        <v>0</v>
      </c>
      <c r="E113" s="414">
        <v>31</v>
      </c>
      <c r="F113" s="264">
        <v>1</v>
      </c>
      <c r="G113" s="264">
        <v>1</v>
      </c>
      <c r="H113" s="414">
        <f>Inputs!G134+Inputs!I134+Inputs!L134+Inputs!X134</f>
        <v>19853</v>
      </c>
      <c r="I113" s="414">
        <f t="shared" si="6"/>
        <v>26439101.831732947</v>
      </c>
      <c r="J113" s="28">
        <f t="shared" si="4"/>
        <v>2873.6317329443991</v>
      </c>
      <c r="K113" s="36">
        <f t="shared" si="5"/>
        <v>1.0870051927242778E-4</v>
      </c>
      <c r="L113" s="416">
        <f t="shared" si="7"/>
        <v>1.0870051927242778E-4</v>
      </c>
      <c r="M113"/>
    </row>
    <row r="114" spans="1:13">
      <c r="A114" s="413">
        <v>44681</v>
      </c>
      <c r="B114" s="414">
        <f>Inputs!D135</f>
        <v>22507686.228</v>
      </c>
      <c r="C114" s="414">
        <v>338.72500000000002</v>
      </c>
      <c r="D114" s="414">
        <v>0.71000000000000008</v>
      </c>
      <c r="E114" s="414">
        <v>30</v>
      </c>
      <c r="F114" s="264">
        <v>1</v>
      </c>
      <c r="G114" s="264">
        <v>0</v>
      </c>
      <c r="H114" s="414">
        <f>Inputs!G135+Inputs!I135+Inputs!L135+Inputs!X135</f>
        <v>19918</v>
      </c>
      <c r="I114" s="414">
        <f t="shared" si="6"/>
        <v>22663254.853277165</v>
      </c>
      <c r="J114" s="28">
        <f t="shared" si="4"/>
        <v>155568.62527716532</v>
      </c>
      <c r="K114" s="36">
        <f t="shared" si="5"/>
        <v>6.9117999825159693E-3</v>
      </c>
      <c r="L114" s="416">
        <f t="shared" si="7"/>
        <v>6.9117999825159693E-3</v>
      </c>
      <c r="M114"/>
    </row>
    <row r="115" spans="1:13">
      <c r="A115" s="413">
        <v>44712</v>
      </c>
      <c r="B115" s="414">
        <f>Inputs!D136</f>
        <v>22133009.34</v>
      </c>
      <c r="C115" s="414">
        <v>144.06</v>
      </c>
      <c r="D115" s="414">
        <v>23.914999999999999</v>
      </c>
      <c r="E115" s="414">
        <v>31</v>
      </c>
      <c r="F115" s="264">
        <v>1</v>
      </c>
      <c r="G115" s="264">
        <v>0</v>
      </c>
      <c r="H115" s="414">
        <f>Inputs!G136+Inputs!I136+Inputs!L136+Inputs!X136</f>
        <v>19960</v>
      </c>
      <c r="I115" s="414">
        <f t="shared" si="6"/>
        <v>21951343.71768184</v>
      </c>
      <c r="J115" s="28">
        <f t="shared" si="4"/>
        <v>-181665.62231815979</v>
      </c>
      <c r="K115" s="36">
        <f t="shared" si="5"/>
        <v>-8.2079042902604132E-3</v>
      </c>
      <c r="L115" s="416">
        <f t="shared" si="7"/>
        <v>8.2079042902604132E-3</v>
      </c>
      <c r="M115"/>
    </row>
    <row r="116" spans="1:13">
      <c r="A116" s="413">
        <v>44742</v>
      </c>
      <c r="B116" s="414">
        <f>Inputs!D137</f>
        <v>23221729.140000001</v>
      </c>
      <c r="C116" s="414">
        <v>21.37</v>
      </c>
      <c r="D116" s="414">
        <v>69.710000000000008</v>
      </c>
      <c r="E116" s="414">
        <v>30</v>
      </c>
      <c r="F116" s="264">
        <v>0</v>
      </c>
      <c r="G116" s="264">
        <v>0</v>
      </c>
      <c r="H116" s="414">
        <f>Inputs!G137+Inputs!I137+Inputs!L137+Inputs!X137</f>
        <v>20014</v>
      </c>
      <c r="I116" s="414">
        <f t="shared" si="6"/>
        <v>22676558.186520677</v>
      </c>
      <c r="J116" s="28">
        <f t="shared" si="4"/>
        <v>-545170.95347932354</v>
      </c>
      <c r="K116" s="36">
        <f t="shared" si="5"/>
        <v>-2.3476759641479633E-2</v>
      </c>
      <c r="L116" s="416">
        <f t="shared" si="7"/>
        <v>2.3476759641479633E-2</v>
      </c>
      <c r="M116"/>
    </row>
    <row r="117" spans="1:13">
      <c r="A117" s="413">
        <v>44773</v>
      </c>
      <c r="B117" s="414">
        <f>Inputs!D138</f>
        <v>26415918.866999999</v>
      </c>
      <c r="C117" s="414">
        <v>1.37</v>
      </c>
      <c r="D117" s="414">
        <v>141.07500000000002</v>
      </c>
      <c r="E117" s="414">
        <v>31</v>
      </c>
      <c r="F117" s="264">
        <v>0</v>
      </c>
      <c r="G117" s="264">
        <v>0</v>
      </c>
      <c r="H117" s="414">
        <f>Inputs!G138+Inputs!I138+Inputs!L138+Inputs!X138</f>
        <v>20060</v>
      </c>
      <c r="I117" s="414">
        <f t="shared" si="6"/>
        <v>26432948.247704037</v>
      </c>
      <c r="J117" s="28">
        <f t="shared" si="4"/>
        <v>17029.380704037845</v>
      </c>
      <c r="K117" s="36">
        <f t="shared" si="5"/>
        <v>6.4466357539096411E-4</v>
      </c>
      <c r="L117" s="416">
        <f t="shared" si="7"/>
        <v>6.4466357539096411E-4</v>
      </c>
      <c r="M117"/>
    </row>
    <row r="118" spans="1:13">
      <c r="A118" s="413">
        <v>44804</v>
      </c>
      <c r="B118" s="414">
        <f>Inputs!D139</f>
        <v>27237589.953000002</v>
      </c>
      <c r="C118" s="414">
        <v>3.2950000000000004</v>
      </c>
      <c r="D118" s="414">
        <v>124.67</v>
      </c>
      <c r="E118" s="414">
        <v>31</v>
      </c>
      <c r="F118" s="264">
        <v>0</v>
      </c>
      <c r="G118" s="264">
        <v>0</v>
      </c>
      <c r="H118" s="414">
        <f>Inputs!G139+Inputs!I139+Inputs!L139+Inputs!X139</f>
        <v>20153</v>
      </c>
      <c r="I118" s="414">
        <f t="shared" si="6"/>
        <v>25761999.434571404</v>
      </c>
      <c r="J118" s="28">
        <f t="shared" si="4"/>
        <v>-1475590.5184285976</v>
      </c>
      <c r="K118" s="36">
        <f t="shared" si="5"/>
        <v>-5.4174782753349776E-2</v>
      </c>
      <c r="L118" s="416">
        <f t="shared" si="7"/>
        <v>5.4174782753349776E-2</v>
      </c>
      <c r="M118"/>
    </row>
    <row r="119" spans="1:13">
      <c r="A119" s="413">
        <v>44834</v>
      </c>
      <c r="B119" s="414">
        <f>Inputs!D140</f>
        <v>22039776.68</v>
      </c>
      <c r="C119" s="414">
        <v>50.260000000000005</v>
      </c>
      <c r="D119" s="414">
        <v>49.079999999999991</v>
      </c>
      <c r="E119" s="414">
        <v>30</v>
      </c>
      <c r="F119" s="264">
        <v>1</v>
      </c>
      <c r="G119" s="264">
        <v>0</v>
      </c>
      <c r="H119" s="414">
        <f>Inputs!G140+Inputs!I140+Inputs!L140+Inputs!X140</f>
        <v>20166</v>
      </c>
      <c r="I119" s="414">
        <f t="shared" si="6"/>
        <v>21475519.626835313</v>
      </c>
      <c r="J119" s="28">
        <f t="shared" si="4"/>
        <v>-564257.05316468701</v>
      </c>
      <c r="K119" s="36">
        <f t="shared" si="5"/>
        <v>-2.5601759099343424E-2</v>
      </c>
      <c r="L119" s="416">
        <f t="shared" si="7"/>
        <v>2.5601759099343424E-2</v>
      </c>
      <c r="M119"/>
    </row>
    <row r="120" spans="1:13">
      <c r="A120" s="413">
        <v>44865</v>
      </c>
      <c r="B120" s="414">
        <f>Inputs!D141</f>
        <v>21742886.627999999</v>
      </c>
      <c r="C120" s="414">
        <v>222.22000000000003</v>
      </c>
      <c r="D120" s="414">
        <v>3.3</v>
      </c>
      <c r="E120" s="414">
        <v>31</v>
      </c>
      <c r="F120" s="264">
        <v>1</v>
      </c>
      <c r="G120" s="264">
        <v>0</v>
      </c>
      <c r="H120" s="414">
        <f>Inputs!G141+Inputs!I141+Inputs!L141+Inputs!X141</f>
        <v>20304</v>
      </c>
      <c r="I120" s="414">
        <f t="shared" si="6"/>
        <v>22244872.953197613</v>
      </c>
      <c r="J120" s="28">
        <f t="shared" si="4"/>
        <v>501986.32519761473</v>
      </c>
      <c r="K120" s="36">
        <f t="shared" si="5"/>
        <v>2.3087381808410301E-2</v>
      </c>
      <c r="L120" s="416">
        <f t="shared" si="7"/>
        <v>2.3087381808410301E-2</v>
      </c>
      <c r="M120"/>
    </row>
    <row r="121" spans="1:13">
      <c r="A121" s="413">
        <v>44895</v>
      </c>
      <c r="B121" s="414">
        <f>Inputs!D142</f>
        <v>23454128.573000003</v>
      </c>
      <c r="C121" s="414">
        <v>420.84500000000008</v>
      </c>
      <c r="D121" s="414">
        <v>0.09</v>
      </c>
      <c r="E121" s="414">
        <v>30</v>
      </c>
      <c r="F121" s="264">
        <v>0</v>
      </c>
      <c r="G121" s="264">
        <v>0</v>
      </c>
      <c r="H121" s="414">
        <f>Inputs!G142+Inputs!I142+Inputs!L142+Inputs!X142</f>
        <v>20412</v>
      </c>
      <c r="I121" s="414">
        <f t="shared" si="6"/>
        <v>24781133.944085717</v>
      </c>
      <c r="J121" s="28">
        <f t="shared" si="4"/>
        <v>1327005.3710857145</v>
      </c>
      <c r="K121" s="36">
        <f t="shared" si="5"/>
        <v>5.6578754011493773E-2</v>
      </c>
      <c r="L121" s="416">
        <f t="shared" si="7"/>
        <v>5.6578754011493773E-2</v>
      </c>
      <c r="M121"/>
    </row>
    <row r="122" spans="1:13">
      <c r="A122" s="413">
        <v>44926</v>
      </c>
      <c r="B122" s="414">
        <f>Inputs!D143</f>
        <v>27495141.667000003</v>
      </c>
      <c r="C122" s="414">
        <v>579.06000000000006</v>
      </c>
      <c r="D122" s="414">
        <v>0</v>
      </c>
      <c r="E122" s="414">
        <v>31</v>
      </c>
      <c r="F122" s="264">
        <v>0</v>
      </c>
      <c r="G122" s="264">
        <v>0</v>
      </c>
      <c r="H122" s="414">
        <f>Inputs!G143+Inputs!I143+Inputs!L143+Inputs!X143</f>
        <v>20513</v>
      </c>
      <c r="I122" s="414">
        <f t="shared" si="6"/>
        <v>27487768.9227928</v>
      </c>
      <c r="J122" s="28">
        <f t="shared" si="4"/>
        <v>-7372.7442072033882</v>
      </c>
      <c r="K122" s="36">
        <f t="shared" si="5"/>
        <v>-2.6814716201488945E-4</v>
      </c>
      <c r="L122" s="416">
        <f t="shared" si="7"/>
        <v>2.6814716201488945E-4</v>
      </c>
      <c r="M122"/>
    </row>
    <row r="123" spans="1:13">
      <c r="A123" s="413">
        <v>44957</v>
      </c>
      <c r="B123" s="418">
        <f>Inputs!D144</f>
        <v>27816333.475000001</v>
      </c>
      <c r="C123" s="418">
        <v>703.65</v>
      </c>
      <c r="D123" s="418">
        <v>0</v>
      </c>
      <c r="E123" s="417">
        <v>31</v>
      </c>
      <c r="F123" s="419">
        <v>0</v>
      </c>
      <c r="G123" s="264">
        <v>0</v>
      </c>
      <c r="H123" s="418">
        <f>Inputs!G144+Inputs!I144+Inputs!L144+Inputs!X144</f>
        <v>20698</v>
      </c>
      <c r="I123" s="414">
        <f t="shared" si="6"/>
        <v>29209145.97809428</v>
      </c>
      <c r="J123" s="28">
        <f t="shared" si="4"/>
        <v>1392812.5030942783</v>
      </c>
      <c r="K123" s="36">
        <f t="shared" si="5"/>
        <v>5.0071750266657965E-2</v>
      </c>
      <c r="L123" s="416">
        <f t="shared" si="7"/>
        <v>5.0071750266657965E-2</v>
      </c>
    </row>
    <row r="124" spans="1:13">
      <c r="A124" s="413">
        <v>44985</v>
      </c>
      <c r="B124" s="418">
        <f>Inputs!D145</f>
        <v>25737050.190000001</v>
      </c>
      <c r="C124" s="418">
        <v>630.40499999999997</v>
      </c>
      <c r="D124" s="418">
        <v>0</v>
      </c>
      <c r="E124" s="417">
        <v>28</v>
      </c>
      <c r="F124" s="419">
        <v>0</v>
      </c>
      <c r="G124" s="264">
        <v>0</v>
      </c>
      <c r="H124" s="418">
        <f>Inputs!G145+Inputs!I145+Inputs!L145+Inputs!X145</f>
        <v>20814</v>
      </c>
      <c r="I124" s="414">
        <f t="shared" si="6"/>
        <v>26483216.879431508</v>
      </c>
      <c r="J124" s="28">
        <f t="shared" si="4"/>
        <v>746166.68943150714</v>
      </c>
      <c r="K124" s="36">
        <f t="shared" si="5"/>
        <v>2.8991927354651791E-2</v>
      </c>
      <c r="L124" s="416">
        <f t="shared" si="7"/>
        <v>2.8991927354651791E-2</v>
      </c>
      <c r="M124"/>
    </row>
    <row r="125" spans="1:13">
      <c r="A125" s="413">
        <v>45016</v>
      </c>
      <c r="B125" s="418">
        <f>Inputs!D146</f>
        <v>26997986.940000001</v>
      </c>
      <c r="C125" s="418">
        <v>547.82999999999993</v>
      </c>
      <c r="D125" s="418">
        <v>0</v>
      </c>
      <c r="E125" s="417">
        <v>31</v>
      </c>
      <c r="F125" s="419">
        <v>1</v>
      </c>
      <c r="G125" s="264">
        <v>0</v>
      </c>
      <c r="H125" s="418">
        <f>Inputs!G146+Inputs!I146+Inputs!L146+Inputs!X146</f>
        <v>20948</v>
      </c>
      <c r="I125" s="414">
        <f t="shared" si="6"/>
        <v>26715290.565390632</v>
      </c>
      <c r="J125" s="28">
        <f t="shared" si="4"/>
        <v>-282696.37460936978</v>
      </c>
      <c r="K125" s="36">
        <f t="shared" si="5"/>
        <v>-1.0471016792386439E-2</v>
      </c>
      <c r="L125" s="416">
        <f t="shared" si="7"/>
        <v>1.0471016792386439E-2</v>
      </c>
      <c r="M125"/>
    </row>
    <row r="126" spans="1:13">
      <c r="A126" s="413">
        <v>45046</v>
      </c>
      <c r="B126" s="418">
        <f>Inputs!D147</f>
        <v>22470351.425000001</v>
      </c>
      <c r="C126" s="418">
        <v>338.72500000000002</v>
      </c>
      <c r="D126" s="418">
        <v>0.71000000000000008</v>
      </c>
      <c r="E126" s="417">
        <v>30</v>
      </c>
      <c r="F126" s="419">
        <v>1</v>
      </c>
      <c r="G126" s="264">
        <v>0</v>
      </c>
      <c r="H126" s="418">
        <f>Inputs!G147+Inputs!I147+Inputs!L147+Inputs!X147</f>
        <v>21058</v>
      </c>
      <c r="I126" s="414">
        <f t="shared" si="6"/>
        <v>23560002.853180338</v>
      </c>
      <c r="J126" s="28">
        <f t="shared" si="4"/>
        <v>1089651.428180337</v>
      </c>
      <c r="K126" s="36">
        <f t="shared" si="5"/>
        <v>4.8492852095228724E-2</v>
      </c>
      <c r="L126" s="416">
        <f t="shared" si="7"/>
        <v>4.8492852095228724E-2</v>
      </c>
      <c r="M126"/>
    </row>
    <row r="127" spans="1:13">
      <c r="A127" s="413">
        <v>45077</v>
      </c>
      <c r="B127" s="418">
        <f>Inputs!D148</f>
        <v>22071224.705000002</v>
      </c>
      <c r="C127" s="418">
        <v>144.06</v>
      </c>
      <c r="D127" s="418">
        <v>23.914999999999999</v>
      </c>
      <c r="E127" s="417">
        <v>31</v>
      </c>
      <c r="F127" s="419">
        <v>1</v>
      </c>
      <c r="G127" s="264">
        <v>0</v>
      </c>
      <c r="H127" s="418">
        <f>Inputs!G148+Inputs!I148+Inputs!L148+Inputs!X148</f>
        <v>21104</v>
      </c>
      <c r="I127" s="414">
        <f t="shared" si="6"/>
        <v>22851238.201795194</v>
      </c>
      <c r="J127" s="28">
        <f t="shared" si="4"/>
        <v>780013.49679519236</v>
      </c>
      <c r="K127" s="36">
        <f t="shared" si="5"/>
        <v>3.5340743761196385E-2</v>
      </c>
      <c r="L127" s="416">
        <f t="shared" si="7"/>
        <v>3.5340743761196385E-2</v>
      </c>
      <c r="M127"/>
    </row>
    <row r="128" spans="1:13">
      <c r="A128" s="413">
        <v>45107</v>
      </c>
      <c r="B128" s="418">
        <f>Inputs!D149</f>
        <v>24243663.09</v>
      </c>
      <c r="C128" s="418">
        <v>21.37</v>
      </c>
      <c r="D128" s="418">
        <v>69.710000000000008</v>
      </c>
      <c r="E128" s="417">
        <v>30</v>
      </c>
      <c r="F128" s="419">
        <v>0</v>
      </c>
      <c r="G128" s="264">
        <v>0</v>
      </c>
      <c r="H128" s="418">
        <f>Inputs!G149+Inputs!I149+Inputs!L149+Inputs!X149</f>
        <v>21324</v>
      </c>
      <c r="I128" s="414">
        <f t="shared" si="6"/>
        <v>23707031.765356775</v>
      </c>
      <c r="J128" s="28">
        <f t="shared" si="4"/>
        <v>-536631.32464322448</v>
      </c>
      <c r="K128" s="36">
        <f t="shared" si="5"/>
        <v>-2.2134910993074044E-2</v>
      </c>
      <c r="L128" s="416">
        <f t="shared" si="7"/>
        <v>2.2134910993074044E-2</v>
      </c>
      <c r="M128"/>
    </row>
    <row r="129" spans="1:13">
      <c r="A129" s="413">
        <v>45138</v>
      </c>
      <c r="B129" s="414"/>
      <c r="C129" s="420">
        <v>1.37</v>
      </c>
      <c r="D129" s="420">
        <v>141.07500000000002</v>
      </c>
      <c r="E129" s="417">
        <v>31</v>
      </c>
      <c r="F129" s="419">
        <v>0</v>
      </c>
      <c r="G129" s="264">
        <v>0</v>
      </c>
      <c r="H129" s="421">
        <f>'Rate Class Customer Model'!P17</f>
        <v>21390.792984375654</v>
      </c>
      <c r="I129" s="414">
        <f t="shared" si="6"/>
        <v>27479778.0257953</v>
      </c>
      <c r="J129" s="28"/>
      <c r="K129"/>
      <c r="L129" s="248">
        <f>AVERAGE(L9:L128)</f>
        <v>4.0012120255146666E-2</v>
      </c>
      <c r="M129" t="s">
        <v>209</v>
      </c>
    </row>
    <row r="130" spans="1:13">
      <c r="A130" s="413">
        <v>45169</v>
      </c>
      <c r="B130" s="414"/>
      <c r="C130" s="420">
        <v>3.2950000000000004</v>
      </c>
      <c r="D130" s="420">
        <v>124.67</v>
      </c>
      <c r="E130" s="417">
        <v>31</v>
      </c>
      <c r="F130" s="419">
        <v>0</v>
      </c>
      <c r="G130" s="264">
        <v>0</v>
      </c>
      <c r="H130" s="421">
        <f>'Rate Class Customer Model'!P18</f>
        <v>21457.795183849874</v>
      </c>
      <c r="I130" s="414">
        <f t="shared" si="6"/>
        <v>26788378.795449182</v>
      </c>
      <c r="J130" s="28"/>
      <c r="K130"/>
      <c r="L130"/>
      <c r="M130"/>
    </row>
    <row r="131" spans="1:13">
      <c r="A131" s="413">
        <v>45199</v>
      </c>
      <c r="B131" s="414"/>
      <c r="C131" s="420">
        <v>50.260000000000005</v>
      </c>
      <c r="D131" s="420">
        <v>49.079999999999991</v>
      </c>
      <c r="E131" s="417">
        <v>30</v>
      </c>
      <c r="F131" s="419">
        <v>1</v>
      </c>
      <c r="G131" s="264">
        <v>0</v>
      </c>
      <c r="H131" s="421">
        <f>'Rate Class Customer Model'!P19</f>
        <v>21525.007253745338</v>
      </c>
      <c r="I131" s="414">
        <f t="shared" si="6"/>
        <v>22544543.343194988</v>
      </c>
      <c r="J131" s="28"/>
      <c r="K131"/>
      <c r="L131"/>
      <c r="M131"/>
    </row>
    <row r="132" spans="1:13">
      <c r="A132" s="413">
        <v>45230</v>
      </c>
      <c r="B132" s="414"/>
      <c r="C132" s="420">
        <v>222.22000000000003</v>
      </c>
      <c r="D132" s="420">
        <v>3.3</v>
      </c>
      <c r="E132" s="417">
        <v>31</v>
      </c>
      <c r="F132" s="419">
        <v>1</v>
      </c>
      <c r="G132" s="264">
        <v>0</v>
      </c>
      <c r="H132" s="421">
        <f>'Rate Class Customer Model'!P20</f>
        <v>21592.429851437388</v>
      </c>
      <c r="I132" s="414">
        <f t="shared" ref="I132:I146" si="8">$O$18+$O$19*C132+$O$20*D132+$O$21*E132+$O$22*F132+$O$23*G132+$O$24*H132</f>
        <v>23258378.999067802</v>
      </c>
      <c r="J132" s="28"/>
      <c r="K132"/>
      <c r="L132"/>
      <c r="M132"/>
    </row>
    <row r="133" spans="1:13">
      <c r="A133" s="413">
        <v>45260</v>
      </c>
      <c r="B133" s="414"/>
      <c r="C133" s="420">
        <v>420.84500000000008</v>
      </c>
      <c r="D133" s="420">
        <v>0.09</v>
      </c>
      <c r="E133" s="417">
        <v>30</v>
      </c>
      <c r="F133" s="419">
        <v>0</v>
      </c>
      <c r="G133" s="264">
        <v>0</v>
      </c>
      <c r="H133" s="421">
        <f>'Rate Class Customer Model'!P21</f>
        <v>21660.063636360454</v>
      </c>
      <c r="I133" s="414">
        <f t="shared" si="8"/>
        <v>25762887.075364765</v>
      </c>
      <c r="J133" s="28"/>
      <c r="K133"/>
      <c r="L133"/>
      <c r="M133"/>
    </row>
    <row r="134" spans="1:13">
      <c r="A134" s="413">
        <v>45291</v>
      </c>
      <c r="B134" s="414"/>
      <c r="C134" s="420">
        <v>579.06000000000006</v>
      </c>
      <c r="D134" s="420">
        <v>0</v>
      </c>
      <c r="E134" s="417">
        <v>31</v>
      </c>
      <c r="F134" s="419">
        <v>0</v>
      </c>
      <c r="G134" s="264">
        <v>0</v>
      </c>
      <c r="H134" s="421">
        <f>'Rate Class Customer Model'!P22</f>
        <v>21727.909270014512</v>
      </c>
      <c r="I134" s="414">
        <f t="shared" si="8"/>
        <v>28443442.131520286</v>
      </c>
      <c r="J134" s="28"/>
      <c r="K134"/>
      <c r="L134"/>
      <c r="M134"/>
    </row>
    <row r="135" spans="1:13">
      <c r="A135" s="413">
        <v>45322</v>
      </c>
      <c r="B135" s="414"/>
      <c r="C135" s="420">
        <v>703.65</v>
      </c>
      <c r="D135" s="420">
        <v>0</v>
      </c>
      <c r="E135" s="417">
        <v>31</v>
      </c>
      <c r="F135" s="419">
        <v>0</v>
      </c>
      <c r="G135" s="264">
        <v>0</v>
      </c>
      <c r="H135" s="421">
        <f>'Rate Class Customer Model'!Q11</f>
        <v>21780.227756376426</v>
      </c>
      <c r="I135" s="414">
        <f t="shared" si="8"/>
        <v>30060449.114910293</v>
      </c>
      <c r="J135" s="28"/>
      <c r="K135"/>
      <c r="L135"/>
      <c r="M135"/>
    </row>
    <row r="136" spans="1:13">
      <c r="A136" s="413">
        <v>45351</v>
      </c>
      <c r="B136" s="414"/>
      <c r="C136" s="420">
        <v>630.40499999999997</v>
      </c>
      <c r="D136" s="420">
        <v>0</v>
      </c>
      <c r="E136" s="417">
        <v>29</v>
      </c>
      <c r="F136" s="419">
        <v>0</v>
      </c>
      <c r="G136" s="264">
        <v>0</v>
      </c>
      <c r="H136" s="421">
        <f>'Rate Class Customer Model'!Q12</f>
        <v>21832.672220069206</v>
      </c>
      <c r="I136" s="414">
        <f t="shared" si="8"/>
        <v>27914776.604957283</v>
      </c>
      <c r="J136" s="28"/>
      <c r="K136"/>
      <c r="L136"/>
      <c r="M136"/>
    </row>
    <row r="137" spans="1:13">
      <c r="A137" s="413">
        <v>45382</v>
      </c>
      <c r="B137" s="414"/>
      <c r="C137" s="420">
        <v>547.82999999999993</v>
      </c>
      <c r="D137" s="420">
        <v>0</v>
      </c>
      <c r="E137" s="417">
        <v>31</v>
      </c>
      <c r="F137" s="419">
        <v>1</v>
      </c>
      <c r="G137" s="264">
        <v>0</v>
      </c>
      <c r="H137" s="421">
        <f>'Rate Class Customer Model'!Q13</f>
        <v>21885.242964432822</v>
      </c>
      <c r="I137" s="414">
        <f t="shared" si="8"/>
        <v>27452545.612564713</v>
      </c>
      <c r="J137" s="28"/>
      <c r="K137"/>
      <c r="L137"/>
      <c r="M137"/>
    </row>
    <row r="138" spans="1:13">
      <c r="A138" s="413">
        <v>45412</v>
      </c>
      <c r="B138" s="414"/>
      <c r="C138" s="420">
        <v>338.72500000000002</v>
      </c>
      <c r="D138" s="420">
        <v>0.71000000000000008</v>
      </c>
      <c r="E138" s="417">
        <v>30</v>
      </c>
      <c r="F138" s="419">
        <v>1</v>
      </c>
      <c r="G138" s="264">
        <v>0</v>
      </c>
      <c r="H138" s="421">
        <f>'Rate Class Customer Model'!Q14</f>
        <v>21937.940293537653</v>
      </c>
      <c r="I138" s="414">
        <f t="shared" si="8"/>
        <v>24252182.413061127</v>
      </c>
      <c r="J138" s="28"/>
      <c r="K138"/>
      <c r="L138"/>
      <c r="M138"/>
    </row>
    <row r="139" spans="1:13">
      <c r="A139" s="413">
        <v>45443</v>
      </c>
      <c r="B139" s="414"/>
      <c r="C139" s="420">
        <v>144.06</v>
      </c>
      <c r="D139" s="420">
        <v>23.914999999999999</v>
      </c>
      <c r="E139" s="417">
        <v>31</v>
      </c>
      <c r="F139" s="419">
        <v>1</v>
      </c>
      <c r="G139" s="264">
        <v>0</v>
      </c>
      <c r="H139" s="421">
        <f>'Rate Class Customer Model'!Q15</f>
        <v>21990.764512186241</v>
      </c>
      <c r="I139" s="414">
        <f t="shared" si="8"/>
        <v>23548785.835732143</v>
      </c>
      <c r="J139" s="28"/>
      <c r="K139"/>
      <c r="L139"/>
      <c r="M139"/>
    </row>
    <row r="140" spans="1:13">
      <c r="A140" s="413">
        <v>45473</v>
      </c>
      <c r="B140" s="414"/>
      <c r="C140" s="420">
        <v>21.37</v>
      </c>
      <c r="D140" s="420">
        <v>69.710000000000008</v>
      </c>
      <c r="E140" s="417">
        <v>30</v>
      </c>
      <c r="F140" s="419">
        <v>0</v>
      </c>
      <c r="G140" s="264">
        <v>0</v>
      </c>
      <c r="H140" s="421">
        <f>'Rate Class Customer Model'!Q16</f>
        <v>22043.715925915061</v>
      </c>
      <c r="I140" s="414">
        <f t="shared" si="8"/>
        <v>24273175.464534663</v>
      </c>
      <c r="J140" s="28"/>
      <c r="K140"/>
      <c r="L140"/>
      <c r="M140"/>
    </row>
    <row r="141" spans="1:13">
      <c r="A141" s="413">
        <v>45504</v>
      </c>
      <c r="B141" s="414"/>
      <c r="C141" s="420">
        <v>1.37</v>
      </c>
      <c r="D141" s="420">
        <v>141.07500000000002</v>
      </c>
      <c r="E141" s="417">
        <v>31</v>
      </c>
      <c r="F141" s="419">
        <v>0</v>
      </c>
      <c r="G141" s="264">
        <v>0</v>
      </c>
      <c r="H141" s="421">
        <f>'Rate Class Customer Model'!Q17</f>
        <v>22096.794840996296</v>
      </c>
      <c r="I141" s="414">
        <f t="shared" si="8"/>
        <v>28035133.949350111</v>
      </c>
      <c r="J141" s="28"/>
      <c r="K141"/>
      <c r="L141"/>
      <c r="M141"/>
    </row>
    <row r="142" spans="1:13">
      <c r="A142" s="413">
        <v>45535</v>
      </c>
      <c r="B142" s="414"/>
      <c r="C142" s="420">
        <v>3.2950000000000004</v>
      </c>
      <c r="D142" s="420">
        <v>124.67</v>
      </c>
      <c r="E142" s="417">
        <v>31</v>
      </c>
      <c r="F142" s="419">
        <v>0</v>
      </c>
      <c r="G142" s="264">
        <v>0</v>
      </c>
      <c r="H142" s="421">
        <f>'Rate Class Customer Model'!Q18</f>
        <v>22150.00156443959</v>
      </c>
      <c r="I142" s="414">
        <f t="shared" si="8"/>
        <v>27332882.907128163</v>
      </c>
      <c r="J142" s="28"/>
      <c r="K142"/>
      <c r="L142"/>
      <c r="M142"/>
    </row>
    <row r="143" spans="1:13">
      <c r="A143" s="413">
        <v>45565</v>
      </c>
      <c r="B143" s="414"/>
      <c r="C143" s="420">
        <v>50.260000000000005</v>
      </c>
      <c r="D143" s="420">
        <v>49.079999999999991</v>
      </c>
      <c r="E143" s="417">
        <v>30</v>
      </c>
      <c r="F143" s="419">
        <v>1</v>
      </c>
      <c r="G143" s="264">
        <v>0</v>
      </c>
      <c r="H143" s="421">
        <f>'Rate Class Customer Model'!Q19</f>
        <v>22203.336403993839</v>
      </c>
      <c r="I143" s="414">
        <f t="shared" si="8"/>
        <v>23078131.333336532</v>
      </c>
      <c r="J143" s="28"/>
      <c r="K143"/>
      <c r="L143"/>
      <c r="M143"/>
    </row>
    <row r="144" spans="1:13">
      <c r="A144" s="413">
        <v>45596</v>
      </c>
      <c r="B144" s="414"/>
      <c r="C144" s="420">
        <v>222.22000000000003</v>
      </c>
      <c r="D144" s="420">
        <v>3.3</v>
      </c>
      <c r="E144" s="417">
        <v>31</v>
      </c>
      <c r="F144" s="419">
        <v>1</v>
      </c>
      <c r="G144" s="264">
        <v>0</v>
      </c>
      <c r="H144" s="421">
        <f>'Rate Class Customer Model'!Q20</f>
        <v>22256.79966814896</v>
      </c>
      <c r="I144" s="414">
        <f t="shared" si="8"/>
        <v>23780986.283569679</v>
      </c>
      <c r="J144" s="28"/>
      <c r="K144"/>
      <c r="L144"/>
      <c r="M144"/>
    </row>
    <row r="145" spans="1:13">
      <c r="A145" s="413">
        <v>45626</v>
      </c>
      <c r="B145" s="414"/>
      <c r="C145" s="420">
        <v>420.84500000000008</v>
      </c>
      <c r="D145" s="420">
        <v>0.09</v>
      </c>
      <c r="E145" s="417">
        <v>30</v>
      </c>
      <c r="F145" s="419">
        <v>0</v>
      </c>
      <c r="G145" s="264">
        <v>0</v>
      </c>
      <c r="H145" s="421">
        <f>'Rate Class Customer Model'!Q21</f>
        <v>22310.391666137686</v>
      </c>
      <c r="I145" s="414">
        <f t="shared" si="8"/>
        <v>26274448.794648714</v>
      </c>
      <c r="J145" s="28"/>
      <c r="M145"/>
    </row>
    <row r="146" spans="1:13">
      <c r="A146" s="413">
        <v>45657</v>
      </c>
      <c r="B146" s="414"/>
      <c r="C146" s="420">
        <v>579.06000000000006</v>
      </c>
      <c r="D146" s="420">
        <v>0</v>
      </c>
      <c r="E146" s="417">
        <v>31</v>
      </c>
      <c r="F146" s="419">
        <v>0</v>
      </c>
      <c r="G146" s="264">
        <v>0</v>
      </c>
      <c r="H146" s="421">
        <f>'Rate Class Customer Model'!Q22</f>
        <v>22364.112707937351</v>
      </c>
      <c r="I146" s="414">
        <f t="shared" si="8"/>
        <v>28943893.149492942</v>
      </c>
      <c r="J146" s="28"/>
      <c r="M146"/>
    </row>
    <row r="147" spans="1:13">
      <c r="A147" s="29"/>
      <c r="E147" s="422"/>
      <c r="F147" s="423"/>
      <c r="G147" s="423"/>
      <c r="M147"/>
    </row>
    <row r="148" spans="1:13">
      <c r="A148" s="29"/>
      <c r="E148" s="422"/>
      <c r="F148" s="423"/>
      <c r="G148" s="423"/>
      <c r="M148"/>
    </row>
    <row r="149" spans="1:13">
      <c r="A149" s="29"/>
      <c r="C149" s="90" t="s">
        <v>210</v>
      </c>
      <c r="D149" s="88"/>
      <c r="E149" s="422"/>
      <c r="F149" s="423"/>
      <c r="G149" s="423"/>
      <c r="M149"/>
    </row>
    <row r="150" spans="1:13">
      <c r="A150" s="29"/>
      <c r="C150" s="91" t="s">
        <v>211</v>
      </c>
      <c r="D150" s="89"/>
      <c r="E150" s="422"/>
      <c r="F150" s="423"/>
      <c r="G150" s="423"/>
      <c r="I150" s="28">
        <f>SUM(I2:I146)</f>
        <v>3342943774.6922002</v>
      </c>
      <c r="M150"/>
    </row>
    <row r="151" spans="1:13">
      <c r="A151" s="29"/>
      <c r="C151" s="230" t="s">
        <v>212</v>
      </c>
      <c r="D151" s="231"/>
      <c r="E151" s="422"/>
      <c r="F151" s="423"/>
      <c r="G151" s="423"/>
      <c r="J151" s="258" t="s">
        <v>214</v>
      </c>
      <c r="K151" s="111" t="s">
        <v>215</v>
      </c>
      <c r="M151"/>
    </row>
    <row r="152" spans="1:13">
      <c r="A152" s="21">
        <v>2013</v>
      </c>
      <c r="B152" s="6">
        <f>SUM(B3:B14)</f>
        <v>251758061.40000001</v>
      </c>
      <c r="I152" s="6">
        <f>SUM(I3:I14)</f>
        <v>249432702.82007775</v>
      </c>
      <c r="J152" s="6">
        <v>247528992.67039391</v>
      </c>
      <c r="K152" s="268">
        <f>I152/J152</f>
        <v>1.0076908572573509</v>
      </c>
      <c r="L152" s="5"/>
      <c r="M152"/>
    </row>
    <row r="153" spans="1:13">
      <c r="A153" s="21">
        <v>2014</v>
      </c>
      <c r="B153" s="6">
        <f>SUM(B15:B26)</f>
        <v>253254986.30000001</v>
      </c>
      <c r="I153" s="6">
        <f>SUM(I15:I26)</f>
        <v>252928446.7775951</v>
      </c>
      <c r="J153" s="6">
        <v>251542200.21569908</v>
      </c>
      <c r="K153" s="268">
        <f t="shared" ref="K153:K163" si="9">I153/J153</f>
        <v>1.0055109900474246</v>
      </c>
      <c r="L153" s="5"/>
      <c r="M153"/>
    </row>
    <row r="154" spans="1:13">
      <c r="A154" s="21">
        <v>2015</v>
      </c>
      <c r="B154" s="6">
        <f>SUM(B27:B38)</f>
        <v>255774983.09999999</v>
      </c>
      <c r="I154" s="6">
        <f>SUM(I27:I38)</f>
        <v>256384073.06143248</v>
      </c>
      <c r="J154" s="6">
        <v>254805593.44736814</v>
      </c>
      <c r="K154" s="268">
        <f t="shared" si="9"/>
        <v>1.0061948389464628</v>
      </c>
      <c r="L154" s="5"/>
      <c r="M154"/>
    </row>
    <row r="155" spans="1:13">
      <c r="A155" s="21">
        <v>2016</v>
      </c>
      <c r="B155" s="6">
        <f>SUM(B39:B50)</f>
        <v>259382036</v>
      </c>
      <c r="I155" s="6">
        <f>SUM(I39:I50)</f>
        <v>260410166.85685122</v>
      </c>
      <c r="J155" s="6">
        <v>265077245.1744242</v>
      </c>
      <c r="K155" s="268">
        <f t="shared" si="9"/>
        <v>0.98239351584289336</v>
      </c>
      <c r="L155" s="5"/>
      <c r="M155"/>
    </row>
    <row r="156" spans="1:13">
      <c r="A156" s="21">
        <v>2017</v>
      </c>
      <c r="B156" s="6">
        <f>SUM(B51:B62)</f>
        <v>256769434.55879995</v>
      </c>
      <c r="I156" s="6">
        <f>SUM(I51:I62)</f>
        <v>264077226.9553386</v>
      </c>
      <c r="J156" s="6">
        <v>259229801.31076357</v>
      </c>
      <c r="K156" s="268">
        <f t="shared" si="9"/>
        <v>1.018699337885014</v>
      </c>
      <c r="L156" s="5"/>
      <c r="M156"/>
    </row>
    <row r="157" spans="1:13">
      <c r="A157" s="21">
        <v>2018</v>
      </c>
      <c r="B157" s="6">
        <f>SUM(B63:B74)</f>
        <v>278813235.74599999</v>
      </c>
      <c r="I157" s="6">
        <f>SUM(I63:I74)</f>
        <v>272714326.11230069</v>
      </c>
      <c r="J157" s="6">
        <v>278937077.48432195</v>
      </c>
      <c r="K157" s="268">
        <f t="shared" si="9"/>
        <v>0.97769120036625101</v>
      </c>
      <c r="L157" s="5"/>
      <c r="M157"/>
    </row>
    <row r="158" spans="1:13">
      <c r="A158" s="21">
        <v>2019</v>
      </c>
      <c r="B158" s="6">
        <f>SUM(B75:B86)</f>
        <v>280581536.88999999</v>
      </c>
      <c r="I158" s="6">
        <f>SUM(I75:I86)</f>
        <v>280613574.72197402</v>
      </c>
      <c r="J158" s="6">
        <v>280607002.24884319</v>
      </c>
      <c r="K158" s="268">
        <f t="shared" si="9"/>
        <v>1.0000234223418452</v>
      </c>
      <c r="L158" s="5"/>
      <c r="M158"/>
    </row>
    <row r="159" spans="1:13">
      <c r="A159" s="21">
        <v>2020</v>
      </c>
      <c r="B159" s="6">
        <f>SUM(B87:B98)</f>
        <v>291404251.64599001</v>
      </c>
      <c r="I159" s="6">
        <f>SUM(I87:I98)</f>
        <v>290081452.13782489</v>
      </c>
      <c r="J159" s="6">
        <v>292154381.51722866</v>
      </c>
      <c r="K159" s="268">
        <f t="shared" si="9"/>
        <v>0.99290467810669636</v>
      </c>
      <c r="L159" s="5"/>
      <c r="M159"/>
    </row>
    <row r="160" spans="1:13">
      <c r="A160" s="21">
        <v>2021</v>
      </c>
      <c r="B160" s="6">
        <f>SUM(B99:B110)</f>
        <v>295240254.13</v>
      </c>
      <c r="I160" s="6">
        <f>SUM(I99:I110)</f>
        <v>297281057.89487159</v>
      </c>
      <c r="J160" s="6">
        <v>295535748.70630878</v>
      </c>
      <c r="K160" s="268">
        <f t="shared" si="9"/>
        <v>1.0059055772311905</v>
      </c>
      <c r="L160" s="5"/>
      <c r="M160"/>
    </row>
    <row r="161" spans="1:15">
      <c r="A161" s="21">
        <v>2022</v>
      </c>
      <c r="B161" s="6">
        <f>SUM(B111:B122)</f>
        <v>299934504.296</v>
      </c>
      <c r="I161" s="6">
        <f>SUM(I111:I122)</f>
        <v>297270021.2770077</v>
      </c>
      <c r="J161" s="6">
        <v>298475881.46384263</v>
      </c>
      <c r="K161" s="268">
        <f t="shared" si="9"/>
        <v>0.995959940947587</v>
      </c>
      <c r="L161" s="5"/>
      <c r="M161"/>
    </row>
    <row r="162" spans="1:15">
      <c r="A162" s="21">
        <v>2023</v>
      </c>
      <c r="B162" s="6">
        <f>SUM(B123:B128)+SUM(I129:I134)</f>
        <v>303614018.19539231</v>
      </c>
      <c r="I162" s="12">
        <f>SUM(I123:I134)</f>
        <v>306803334.61364102</v>
      </c>
      <c r="J162" s="12">
        <v>302633378.02298784</v>
      </c>
      <c r="K162" s="268">
        <f t="shared" si="9"/>
        <v>1.0137789050827581</v>
      </c>
      <c r="L162" s="5"/>
      <c r="M162"/>
    </row>
    <row r="163" spans="1:15">
      <c r="A163" s="21">
        <v>2024</v>
      </c>
      <c r="I163" s="12">
        <f>SUM(I135:I146)</f>
        <v>314947391.46328634</v>
      </c>
      <c r="J163" s="12">
        <v>314947391.46328634</v>
      </c>
      <c r="K163" s="268">
        <f t="shared" si="9"/>
        <v>1</v>
      </c>
      <c r="L163" s="5"/>
      <c r="M163"/>
      <c r="N163" s="6"/>
      <c r="O163" s="32"/>
    </row>
    <row r="164" spans="1:15">
      <c r="I164" s="6"/>
      <c r="J164" s="6"/>
      <c r="M164"/>
      <c r="N164" s="6"/>
      <c r="O164" s="32"/>
    </row>
    <row r="165" spans="1:15">
      <c r="A165" s="37" t="s">
        <v>19</v>
      </c>
      <c r="B165" s="6">
        <f>SUM(B152:B162)</f>
        <v>3026527302.2621822</v>
      </c>
      <c r="I165" s="6">
        <f>SUM(I152:I162)</f>
        <v>3027996383.2289152</v>
      </c>
      <c r="J165" s="28">
        <f>I165-B165</f>
        <v>1469080.9667329788</v>
      </c>
      <c r="K165" s="1" t="s">
        <v>213</v>
      </c>
      <c r="M165" s="5"/>
      <c r="N165" s="6"/>
      <c r="O165" s="32"/>
    </row>
    <row r="166" spans="1:15">
      <c r="M166" s="5"/>
      <c r="N166" s="6"/>
      <c r="O166" s="32"/>
    </row>
    <row r="167" spans="1:15">
      <c r="I167" s="6">
        <f>SUM(I152:I163)</f>
        <v>3342943774.6922016</v>
      </c>
      <c r="J167" s="28">
        <f>I150-I167</f>
        <v>0</v>
      </c>
      <c r="M167" s="5"/>
      <c r="N167" s="6"/>
      <c r="O167" s="32"/>
    </row>
    <row r="168" spans="1:15">
      <c r="I168" s="293"/>
      <c r="J168" s="293"/>
      <c r="K168"/>
      <c r="L168"/>
      <c r="M168" s="5"/>
      <c r="N168" s="6"/>
      <c r="O168" s="32"/>
    </row>
    <row r="169" spans="1:15">
      <c r="M169" s="6"/>
      <c r="N169" s="6"/>
      <c r="O169" s="32"/>
    </row>
    <row r="170" spans="1:15">
      <c r="M170" s="6"/>
      <c r="N170" s="6"/>
      <c r="O170" s="32"/>
    </row>
    <row r="171" spans="1:15">
      <c r="A171"/>
      <c r="B171"/>
      <c r="C171"/>
      <c r="D171"/>
      <c r="E171"/>
      <c r="H171"/>
      <c r="I171"/>
      <c r="J171"/>
    </row>
    <row r="172" spans="1:15">
      <c r="A172"/>
      <c r="B172"/>
      <c r="C172"/>
      <c r="D172"/>
      <c r="E172"/>
      <c r="H172"/>
      <c r="I172"/>
      <c r="J172"/>
    </row>
    <row r="173" spans="1:15">
      <c r="A173"/>
      <c r="B173"/>
      <c r="C173"/>
      <c r="D173"/>
      <c r="E173"/>
      <c r="H173"/>
      <c r="I173"/>
      <c r="J173"/>
    </row>
    <row r="174" spans="1:15">
      <c r="A174"/>
      <c r="B174"/>
      <c r="C174"/>
      <c r="D174"/>
      <c r="E174"/>
      <c r="H174"/>
      <c r="I174"/>
      <c r="J174"/>
    </row>
    <row r="175" spans="1:15">
      <c r="A175"/>
      <c r="B175"/>
      <c r="C175"/>
      <c r="D175"/>
      <c r="E175"/>
      <c r="H175"/>
      <c r="I175"/>
      <c r="J175"/>
    </row>
    <row r="176" spans="1:15">
      <c r="A176"/>
      <c r="B176"/>
      <c r="C176"/>
      <c r="D176"/>
      <c r="E176"/>
      <c r="H176"/>
      <c r="I176"/>
      <c r="J176"/>
    </row>
    <row r="177" spans="1:13">
      <c r="A177"/>
      <c r="B177"/>
      <c r="C177"/>
      <c r="D177"/>
      <c r="E177"/>
      <c r="H177"/>
      <c r="I177"/>
      <c r="J177"/>
    </row>
    <row r="178" spans="1:13">
      <c r="A178"/>
      <c r="B178"/>
      <c r="C178"/>
      <c r="D178"/>
      <c r="E178"/>
      <c r="H178"/>
      <c r="I178"/>
      <c r="J178"/>
    </row>
    <row r="179" spans="1:13">
      <c r="A179"/>
      <c r="B179"/>
      <c r="C179"/>
      <c r="D179"/>
      <c r="E179"/>
      <c r="H179"/>
      <c r="I179"/>
      <c r="J179"/>
      <c r="K179"/>
      <c r="L179"/>
      <c r="M179"/>
    </row>
    <row r="180" spans="1:13">
      <c r="A180"/>
      <c r="B180"/>
      <c r="C180"/>
      <c r="D180"/>
      <c r="E180"/>
      <c r="H180"/>
      <c r="I180"/>
      <c r="J180"/>
      <c r="K180"/>
      <c r="L180"/>
      <c r="M180"/>
    </row>
    <row r="181" spans="1:13">
      <c r="A181"/>
      <c r="B181"/>
      <c r="C181"/>
      <c r="D181"/>
      <c r="E181"/>
      <c r="H181"/>
      <c r="I181"/>
      <c r="J181"/>
      <c r="K181"/>
      <c r="L181"/>
      <c r="M181"/>
    </row>
    <row r="182" spans="1:13">
      <c r="A182"/>
      <c r="B182"/>
      <c r="C182"/>
      <c r="D182"/>
      <c r="E182"/>
      <c r="H182"/>
      <c r="I182"/>
      <c r="J182"/>
      <c r="K182"/>
      <c r="L182"/>
      <c r="M182"/>
    </row>
    <row r="183" spans="1:13">
      <c r="A183"/>
      <c r="B183"/>
      <c r="C183"/>
      <c r="D183"/>
      <c r="E183"/>
      <c r="H183"/>
      <c r="I183"/>
      <c r="J183"/>
      <c r="K183"/>
      <c r="L183"/>
      <c r="M183"/>
    </row>
    <row r="184" spans="1:13">
      <c r="A184"/>
      <c r="K184"/>
      <c r="L184"/>
      <c r="M184"/>
    </row>
    <row r="185" spans="1:13">
      <c r="A185"/>
      <c r="K185"/>
      <c r="L185"/>
      <c r="M185"/>
    </row>
    <row r="186" spans="1:13">
      <c r="A186"/>
      <c r="K186"/>
      <c r="L186"/>
      <c r="M186"/>
    </row>
    <row r="187" spans="1:13">
      <c r="A187"/>
      <c r="K187"/>
      <c r="L187"/>
      <c r="M187"/>
    </row>
    <row r="188" spans="1:13">
      <c r="A188"/>
      <c r="K188"/>
      <c r="L188"/>
      <c r="M188"/>
    </row>
    <row r="189" spans="1:13">
      <c r="A189"/>
      <c r="K189"/>
      <c r="L189"/>
      <c r="M189"/>
    </row>
    <row r="190" spans="1:13">
      <c r="A190"/>
      <c r="K190"/>
      <c r="L190"/>
      <c r="M190"/>
    </row>
    <row r="191" spans="1:13">
      <c r="A191"/>
      <c r="K191"/>
      <c r="L191"/>
      <c r="M191"/>
    </row>
    <row r="192" spans="1:13">
      <c r="A192"/>
      <c r="K192"/>
      <c r="L192"/>
      <c r="M192"/>
    </row>
    <row r="193" spans="1:13">
      <c r="A193"/>
      <c r="K193"/>
      <c r="L193"/>
      <c r="M193"/>
    </row>
    <row r="194" spans="1:13">
      <c r="A194"/>
      <c r="K194"/>
      <c r="L194"/>
      <c r="M194"/>
    </row>
    <row r="195" spans="1:13" customFormat="1">
      <c r="F195" s="48"/>
      <c r="G195" s="48"/>
    </row>
    <row r="196" spans="1:13" customFormat="1">
      <c r="F196" s="48"/>
      <c r="G196" s="48"/>
    </row>
  </sheetData>
  <mergeCells count="1">
    <mergeCell ref="I168:J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2:V63"/>
  <sheetViews>
    <sheetView workbookViewId="0">
      <pane xSplit="2" ySplit="2" topLeftCell="H3" activePane="bottomRight" state="frozen"/>
      <selection pane="bottomRight" activeCell="M18" sqref="M18"/>
      <selection pane="bottomLeft" activeCell="A3" sqref="A3"/>
      <selection pane="topRight" activeCell="C1" sqref="C1"/>
    </sheetView>
  </sheetViews>
  <sheetFormatPr defaultRowHeight="12.75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8" width="15" style="6" customWidth="1"/>
    <col min="9" max="10" width="14.140625" style="6" bestFit="1" customWidth="1"/>
    <col min="11" max="11" width="11.42578125" style="6" customWidth="1"/>
    <col min="12" max="12" width="12.42578125" style="6" customWidth="1"/>
    <col min="13" max="13" width="16.85546875" style="6" bestFit="1" customWidth="1"/>
    <col min="14" max="14" width="16.85546875" style="6" customWidth="1"/>
    <col min="15" max="15" width="22.7109375" bestFit="1" customWidth="1"/>
    <col min="16" max="16" width="16.85546875" customWidth="1"/>
    <col min="17" max="17" width="14.42578125" customWidth="1"/>
    <col min="18" max="18" width="12.5703125" bestFit="1" customWidth="1"/>
    <col min="19" max="19" width="11.5703125" bestFit="1" customWidth="1"/>
    <col min="20" max="20" width="14" customWidth="1"/>
    <col min="21" max="21" width="10.140625" bestFit="1" customWidth="1"/>
    <col min="22" max="22" width="12.5703125" style="6" bestFit="1" customWidth="1"/>
  </cols>
  <sheetData>
    <row r="2" spans="1:14" ht="38.25">
      <c r="B2" s="2" t="s">
        <v>76</v>
      </c>
      <c r="C2" s="2" t="s">
        <v>216</v>
      </c>
      <c r="D2" s="2" t="s">
        <v>217</v>
      </c>
      <c r="E2" s="2" t="s">
        <v>38</v>
      </c>
      <c r="F2" s="2" t="s">
        <v>80</v>
      </c>
      <c r="G2" s="7" t="s">
        <v>218</v>
      </c>
      <c r="H2" s="26" t="s">
        <v>12</v>
      </c>
      <c r="I2" s="43" t="s">
        <v>219</v>
      </c>
      <c r="J2" s="43" t="s">
        <v>220</v>
      </c>
      <c r="K2" s="27" t="s">
        <v>16</v>
      </c>
      <c r="L2" s="27" t="s">
        <v>15</v>
      </c>
      <c r="M2" s="27" t="s">
        <v>221</v>
      </c>
      <c r="N2" s="27" t="s">
        <v>18</v>
      </c>
    </row>
    <row r="3" spans="1:14">
      <c r="A3">
        <v>2013</v>
      </c>
      <c r="B3" s="50">
        <f>+'Power Purchased Model'!B152</f>
        <v>251758061.40000001</v>
      </c>
      <c r="C3" s="50">
        <f>+'Power Purchased Model'!I152</f>
        <v>247528992.67039391</v>
      </c>
      <c r="D3" s="19">
        <f t="shared" ref="D3:D12" si="0">C3-B3</f>
        <v>-4229068.729606092</v>
      </c>
      <c r="E3" s="5">
        <f t="shared" ref="E3:E12" si="1">D3/B3</f>
        <v>-1.6798146228520695E-2</v>
      </c>
      <c r="F3" s="14">
        <f>1 +(B3-G3)/G3</f>
        <v>1.0759048608723856</v>
      </c>
      <c r="G3" s="6">
        <f>SUM(H3:N3)</f>
        <v>233996583.29999995</v>
      </c>
      <c r="H3" s="34">
        <f>SUMIF(Inputs!A$24:A$143,'Rate Class Energy Model'!A3,Inputs!F$24:F$143)</f>
        <v>149683532.50999996</v>
      </c>
      <c r="I3" s="34">
        <f>SUMIF(Inputs!A$24:A$143,'Rate Class Energy Model'!A3,Inputs!H$24:H$143)</f>
        <v>31060364.789999999</v>
      </c>
      <c r="J3" s="34">
        <f>SUMIF(Inputs!A$24:A$143,'Rate Class Energy Model'!A3,Inputs!J$24:J$143)-N3</f>
        <v>50178124.119999997</v>
      </c>
      <c r="K3" s="34">
        <f>SUMIF(Inputs!A$24:A$143,'Rate Class Energy Model'!A3,Inputs!P$24:P$143)</f>
        <v>1495303.3799999997</v>
      </c>
      <c r="L3" s="34">
        <f>SUMIF(Inputs!A$24:A$143,'Rate Class Energy Model'!A3,Inputs!M$24:M$143)</f>
        <v>113040</v>
      </c>
      <c r="M3" s="34">
        <f>SUMIF(Inputs!A$24:A$143,'Rate Class Energy Model'!A3,Inputs!S$24:S$143)</f>
        <v>474042</v>
      </c>
      <c r="N3" s="34">
        <f>SUMIF(Inputs!A$24:A$143,'Rate Class Energy Model'!A3,Inputs!V$24:V$143)</f>
        <v>992176.5</v>
      </c>
    </row>
    <row r="4" spans="1:14">
      <c r="A4">
        <v>2014</v>
      </c>
      <c r="B4" s="50">
        <f>+'Power Purchased Model'!B153</f>
        <v>253254986.30000001</v>
      </c>
      <c r="C4" s="50">
        <f>+'Power Purchased Model'!I153</f>
        <v>251542200.21569908</v>
      </c>
      <c r="D4" s="19">
        <f t="shared" si="0"/>
        <v>-1712786.0843009353</v>
      </c>
      <c r="E4" s="5">
        <f t="shared" si="1"/>
        <v>-6.7630892853260882E-3</v>
      </c>
      <c r="F4" s="14">
        <f>1 +(B4-G4)/G4</f>
        <v>1.0727414335788299</v>
      </c>
      <c r="G4" s="6">
        <f t="shared" ref="G4:G11" si="2">SUM(H4:N4)</f>
        <v>236082040.25</v>
      </c>
      <c r="H4" s="34">
        <f>SUMIF(Inputs!A$24:A$143,'Rate Class Energy Model'!A4,Inputs!F$24:F$143)</f>
        <v>150836890.28</v>
      </c>
      <c r="I4" s="34">
        <f>SUMIF(Inputs!A$24:A$143,'Rate Class Energy Model'!A4,Inputs!H$24:H$143)</f>
        <v>32218311.560000002</v>
      </c>
      <c r="J4" s="34">
        <f>SUMIF(Inputs!A$24:A$143,'Rate Class Energy Model'!A4,Inputs!J$24:J$143)-N4</f>
        <v>49953564.469999999</v>
      </c>
      <c r="K4" s="34">
        <f>SUMIF(Inputs!A$24:A$143,'Rate Class Energy Model'!A4,Inputs!P$24:P$143)</f>
        <v>1515447.74</v>
      </c>
      <c r="L4" s="34">
        <f>SUMIF(Inputs!A$24:A$143,'Rate Class Energy Model'!A4,Inputs!M$24:M$143)</f>
        <v>110682</v>
      </c>
      <c r="M4" s="34">
        <f>SUMIF(Inputs!A$24:A$143,'Rate Class Energy Model'!A4,Inputs!S$24:S$143)</f>
        <v>465981</v>
      </c>
      <c r="N4" s="34">
        <f>SUMIF(Inputs!A$24:A$143,'Rate Class Energy Model'!A4,Inputs!V$24:V$143)</f>
        <v>981163.20000000007</v>
      </c>
    </row>
    <row r="5" spans="1:14">
      <c r="A5">
        <v>2015</v>
      </c>
      <c r="B5" s="50">
        <f>+'Power Purchased Model'!B154</f>
        <v>255774983.09999999</v>
      </c>
      <c r="C5" s="50">
        <f>+'Power Purchased Model'!I154</f>
        <v>254805593.44736814</v>
      </c>
      <c r="D5" s="19">
        <f t="shared" si="0"/>
        <v>-969389.65263184905</v>
      </c>
      <c r="E5" s="5">
        <f t="shared" si="1"/>
        <v>-3.7900096439566497E-3</v>
      </c>
      <c r="F5" s="14">
        <f>1 +(B5-G5)/G5</f>
        <v>1.0684421710655485</v>
      </c>
      <c r="G5" s="6">
        <f t="shared" si="2"/>
        <v>239390572.58000004</v>
      </c>
      <c r="H5" s="34">
        <f>SUMIF(Inputs!A$24:A$143,'Rate Class Energy Model'!A5,Inputs!F$24:F$143)</f>
        <v>149312422.91999999</v>
      </c>
      <c r="I5" s="34">
        <f>SUMIF(Inputs!A$24:A$143,'Rate Class Energy Model'!A5,Inputs!H$24:H$143)</f>
        <v>33644640.010000005</v>
      </c>
      <c r="J5" s="34">
        <f>SUMIF(Inputs!A$24:A$143,'Rate Class Energy Model'!A5,Inputs!J$24:J$143)-N5</f>
        <v>53874044.790000007</v>
      </c>
      <c r="K5" s="34">
        <f>SUMIF(Inputs!A$24:A$143,'Rate Class Energy Model'!A5,Inputs!P$24:P$143)</f>
        <v>1016454.7599999998</v>
      </c>
      <c r="L5" s="34">
        <f>SUMIF(Inputs!A$24:A$143,'Rate Class Energy Model'!A5,Inputs!M$24:M$143)</f>
        <v>108375.29999999999</v>
      </c>
      <c r="M5" s="34">
        <f>SUMIF(Inputs!A$24:A$143,'Rate Class Energy Model'!A5,Inputs!S$24:S$143)</f>
        <v>463092</v>
      </c>
      <c r="N5" s="34">
        <f>SUMIF(Inputs!A$24:A$143,'Rate Class Energy Model'!A5,Inputs!V$24:V$143)</f>
        <v>971542.8</v>
      </c>
    </row>
    <row r="6" spans="1:14">
      <c r="A6">
        <v>2016</v>
      </c>
      <c r="B6" s="50">
        <f>+'Power Purchased Model'!B155</f>
        <v>259382036</v>
      </c>
      <c r="C6" s="50">
        <f>+'Power Purchased Model'!I155</f>
        <v>265077245.1744242</v>
      </c>
      <c r="D6" s="19">
        <f t="shared" si="0"/>
        <v>5695209.1744242013</v>
      </c>
      <c r="E6" s="5">
        <f t="shared" si="1"/>
        <v>2.1956837344064187E-2</v>
      </c>
      <c r="F6" s="14">
        <f t="shared" ref="F6:F12" si="3">1 +(B6-G6)/G6</f>
        <v>1.0670207550772364</v>
      </c>
      <c r="G6" s="6">
        <f t="shared" si="2"/>
        <v>243089963.12000003</v>
      </c>
      <c r="H6" s="34">
        <f>SUMIF(Inputs!A$24:A$143,'Rate Class Energy Model'!A6,Inputs!F$24:F$143)</f>
        <v>150135916.50999999</v>
      </c>
      <c r="I6" s="34">
        <f>SUMIF(Inputs!A$24:A$143,'Rate Class Energy Model'!A6,Inputs!H$24:H$143)</f>
        <v>33481494.420000006</v>
      </c>
      <c r="J6" s="34">
        <f>SUMIF(Inputs!A$24:A$143,'Rate Class Energy Model'!A6,Inputs!J$24:J$143)-N6</f>
        <v>57415240.680000007</v>
      </c>
      <c r="K6" s="34">
        <f>SUMIF(Inputs!A$24:A$143,'Rate Class Energy Model'!A6,Inputs!P$24:P$143)</f>
        <v>544041.61</v>
      </c>
      <c r="L6" s="34">
        <f>SUMIF(Inputs!A$24:A$143,'Rate Class Energy Model'!A6,Inputs!M$24:M$143)</f>
        <v>103242.3</v>
      </c>
      <c r="M6" s="34">
        <f>SUMIF(Inputs!A$24:A$143,'Rate Class Energy Model'!A6,Inputs!S$24:S$143)</f>
        <v>461652</v>
      </c>
      <c r="N6" s="34">
        <f>SUMIF(Inputs!A$24:A$143,'Rate Class Energy Model'!A6,Inputs!V$24:V$143)</f>
        <v>948375.6</v>
      </c>
    </row>
    <row r="7" spans="1:14">
      <c r="A7">
        <v>2017</v>
      </c>
      <c r="B7" s="50">
        <f>+'Power Purchased Model'!B156</f>
        <v>256769434.55879995</v>
      </c>
      <c r="C7" s="50">
        <f>+'Power Purchased Model'!I156</f>
        <v>259229801.31076357</v>
      </c>
      <c r="D7" s="19">
        <f t="shared" si="0"/>
        <v>2460366.7519636154</v>
      </c>
      <c r="E7" s="5">
        <f t="shared" si="1"/>
        <v>9.5820079060079631E-3</v>
      </c>
      <c r="F7" s="14">
        <f t="shared" si="3"/>
        <v>1.0598385656293803</v>
      </c>
      <c r="G7" s="6">
        <f t="shared" si="2"/>
        <v>242272212.85000002</v>
      </c>
      <c r="H7" s="34">
        <f>SUMIF(Inputs!A$24:A$143,'Rate Class Energy Model'!A7,Inputs!F$24:F$143)</f>
        <v>145250460.83000001</v>
      </c>
      <c r="I7" s="34">
        <f>SUMIF(Inputs!A$24:A$143,'Rate Class Energy Model'!A7,Inputs!H$24:H$143)</f>
        <v>32706065.800000004</v>
      </c>
      <c r="J7" s="34">
        <f>SUMIF(Inputs!A$24:A$143,'Rate Class Energy Model'!A7,Inputs!J$24:J$143)-N7</f>
        <v>62256688.589999996</v>
      </c>
      <c r="K7" s="34">
        <f>SUMIF(Inputs!A$24:A$143,'Rate Class Energy Model'!A7,Inputs!P$24:P$143)</f>
        <v>574600.18999999983</v>
      </c>
      <c r="L7" s="34">
        <f>SUMIF(Inputs!A$24:A$143,'Rate Class Energy Model'!A7,Inputs!M$24:M$143)</f>
        <v>103849.14000000003</v>
      </c>
      <c r="M7" s="34">
        <f>SUMIF(Inputs!A$24:A$143,'Rate Class Energy Model'!A7,Inputs!S$24:S$143)</f>
        <v>460196</v>
      </c>
      <c r="N7" s="34">
        <f>SUMIF(Inputs!A$24:A$143,'Rate Class Energy Model'!A7,Inputs!V$24:V$143)</f>
        <v>920352.3</v>
      </c>
    </row>
    <row r="8" spans="1:14">
      <c r="A8">
        <v>2018</v>
      </c>
      <c r="B8" s="50">
        <f>+'Power Purchased Model'!B157</f>
        <v>278813235.74599999</v>
      </c>
      <c r="C8" s="50">
        <f>+'Power Purchased Model'!I157</f>
        <v>278937077.48432195</v>
      </c>
      <c r="D8" s="19">
        <f t="shared" si="0"/>
        <v>123841.73832195997</v>
      </c>
      <c r="E8" s="5">
        <f t="shared" si="1"/>
        <v>4.4417453135108805E-4</v>
      </c>
      <c r="F8" s="14">
        <f t="shared" si="3"/>
        <v>1.0581172207710894</v>
      </c>
      <c r="G8" s="6">
        <f t="shared" si="2"/>
        <v>263499383.88000003</v>
      </c>
      <c r="H8" s="34">
        <f>SUMIF(Inputs!A$24:A$143,'Rate Class Energy Model'!A8,Inputs!F$24:F$143)</f>
        <v>160853753.41</v>
      </c>
      <c r="I8" s="34">
        <f>SUMIF(Inputs!A$24:A$143,'Rate Class Energy Model'!A8,Inputs!H$24:H$143)</f>
        <v>35963905.180000007</v>
      </c>
      <c r="J8" s="34">
        <f>SUMIF(Inputs!A$24:A$143,'Rate Class Energy Model'!A8,Inputs!J$24:J$143)-N8</f>
        <v>64506416.140000001</v>
      </c>
      <c r="K8" s="34">
        <f>SUMIF(Inputs!A$24:A$143,'Rate Class Energy Model'!A8,Inputs!P$24:P$143)</f>
        <v>615045.71</v>
      </c>
      <c r="L8" s="34">
        <f>SUMIF(Inputs!A$24:A$143,'Rate Class Energy Model'!A8,Inputs!M$24:M$143)</f>
        <v>105459.54</v>
      </c>
      <c r="M8" s="34">
        <f>SUMIF(Inputs!A$24:A$143,'Rate Class Energy Model'!A8,Inputs!S$24:S$143)</f>
        <v>482913.99999999994</v>
      </c>
      <c r="N8" s="34">
        <f>SUMIF(Inputs!A$24:A$143,'Rate Class Energy Model'!A8,Inputs!V$24:V$143)</f>
        <v>971889.89999999991</v>
      </c>
    </row>
    <row r="9" spans="1:14">
      <c r="A9">
        <v>2019</v>
      </c>
      <c r="B9" s="50">
        <f>+'Power Purchased Model'!B158</f>
        <v>280581536.88999999</v>
      </c>
      <c r="C9" s="50">
        <f>+'Power Purchased Model'!I158</f>
        <v>280607002.24884319</v>
      </c>
      <c r="D9" s="19">
        <f t="shared" si="0"/>
        <v>25465.358843207359</v>
      </c>
      <c r="E9" s="5">
        <f t="shared" si="1"/>
        <v>9.0759210764430569E-5</v>
      </c>
      <c r="F9" s="14">
        <f t="shared" si="3"/>
        <v>1.0388124729982851</v>
      </c>
      <c r="G9" s="6">
        <f t="shared" si="2"/>
        <v>270098351.89999992</v>
      </c>
      <c r="H9" s="34">
        <f>SUMIF(Inputs!A$24:A$143,'Rate Class Energy Model'!A9,Inputs!F$24:F$143)</f>
        <v>161284519.66999996</v>
      </c>
      <c r="I9" s="34">
        <f>SUMIF(Inputs!A$24:A$143,'Rate Class Energy Model'!A9,Inputs!H$24:H$143)</f>
        <v>42044856.089999989</v>
      </c>
      <c r="J9" s="34">
        <f>SUMIF(Inputs!A$24:A$143,'Rate Class Energy Model'!A9,Inputs!J$24:J$143)-N9</f>
        <v>64602977.18999999</v>
      </c>
      <c r="K9" s="34">
        <f>SUMIF(Inputs!A$24:A$143,'Rate Class Energy Model'!A9,Inputs!P$24:P$143)</f>
        <v>653653.25</v>
      </c>
      <c r="L9" s="34">
        <f>SUMIF(Inputs!A$24:A$143,'Rate Class Energy Model'!A9,Inputs!M$24:M$143)</f>
        <v>103804.5</v>
      </c>
      <c r="M9" s="34">
        <f>SUMIF(Inputs!A$24:A$143,'Rate Class Energy Model'!A9,Inputs!S$24:S$143)</f>
        <v>485587.00000000012</v>
      </c>
      <c r="N9" s="34">
        <f>SUMIF(Inputs!A$24:A$143,'Rate Class Energy Model'!A9,Inputs!V$24:V$143)</f>
        <v>922954.19999999984</v>
      </c>
    </row>
    <row r="10" spans="1:14">
      <c r="A10">
        <v>2020</v>
      </c>
      <c r="B10" s="50">
        <f>+'Power Purchased Model'!B159</f>
        <v>291404251.64599001</v>
      </c>
      <c r="C10" s="50">
        <f>+'Power Purchased Model'!I159</f>
        <v>292154381.51722866</v>
      </c>
      <c r="D10" s="19">
        <f t="shared" si="0"/>
        <v>750129.87123864889</v>
      </c>
      <c r="E10" s="5">
        <f t="shared" si="1"/>
        <v>2.5741898651154131E-3</v>
      </c>
      <c r="F10" s="14">
        <f t="shared" si="3"/>
        <v>1.0562226629787614</v>
      </c>
      <c r="G10" s="6">
        <f t="shared" si="2"/>
        <v>275892822.46999997</v>
      </c>
      <c r="H10" s="34">
        <f>SUMIF(Inputs!A$24:A$143,'Rate Class Energy Model'!A10,Inputs!F$24:F$143)</f>
        <v>174957599.51999998</v>
      </c>
      <c r="I10" s="34">
        <f>SUMIF(Inputs!A$24:A$143,'Rate Class Energy Model'!A10,Inputs!H$24:H$143)</f>
        <v>39210724.930000007</v>
      </c>
      <c r="J10" s="34">
        <f>SUMIF(Inputs!A$24:A$143,'Rate Class Energy Model'!A10,Inputs!J$24:J$143)-N10</f>
        <v>59552047.639999993</v>
      </c>
      <c r="K10" s="34">
        <f>SUMIF(Inputs!A$24:A$143,'Rate Class Energy Model'!A10,Inputs!P$24:P$143)</f>
        <v>686201.6</v>
      </c>
      <c r="L10" s="34">
        <f>SUMIF(Inputs!A$24:A$143,'Rate Class Energy Model'!A10,Inputs!M$24:M$143)</f>
        <v>100969.37999999999</v>
      </c>
      <c r="M10" s="34">
        <f>SUMIF(Inputs!A$24:A$143,'Rate Class Energy Model'!A10,Inputs!S$24:S$143)</f>
        <v>439968</v>
      </c>
      <c r="N10" s="34">
        <f>SUMIF(Inputs!A$24:A$143,'Rate Class Energy Model'!A10,Inputs!V$24:V$143)</f>
        <v>945311.40000000014</v>
      </c>
    </row>
    <row r="11" spans="1:14">
      <c r="A11">
        <v>2021</v>
      </c>
      <c r="B11" s="50">
        <f>+'Power Purchased Model'!B160</f>
        <v>295240254.13</v>
      </c>
      <c r="C11" s="50">
        <f>+'Power Purchased Model'!I160</f>
        <v>295535748.70630878</v>
      </c>
      <c r="D11" s="19">
        <f t="shared" si="0"/>
        <v>295494.57630878687</v>
      </c>
      <c r="E11" s="5">
        <f t="shared" si="1"/>
        <v>1.0008614075324392E-3</v>
      </c>
      <c r="F11" s="14">
        <f t="shared" si="3"/>
        <v>1.0605917750483025</v>
      </c>
      <c r="G11" s="6">
        <f t="shared" si="2"/>
        <v>278373131.94000006</v>
      </c>
      <c r="H11" s="34">
        <f>SUMIF(Inputs!A$24:A$143,'Rate Class Energy Model'!A11,Inputs!F$24:F$143)</f>
        <v>178499709.20000005</v>
      </c>
      <c r="I11" s="34">
        <f>SUMIF(Inputs!A$24:A$143,'Rate Class Energy Model'!A11,Inputs!H$24:H$143)</f>
        <v>39405376.530000001</v>
      </c>
      <c r="J11" s="34">
        <f>SUMIF(Inputs!A$24:A$143,'Rate Class Energy Model'!A11,Inputs!J$24:J$143)-N11</f>
        <v>58268283.810000002</v>
      </c>
      <c r="K11" s="34">
        <f>SUMIF(Inputs!A$24:A$143,'Rate Class Energy Model'!A11,Inputs!P$24:P$143)</f>
        <v>751137.82</v>
      </c>
      <c r="L11" s="34">
        <f>SUMIF(Inputs!A$24:A$143,'Rate Class Energy Model'!A11,Inputs!M$24:M$143)</f>
        <v>99205.680000000008</v>
      </c>
      <c r="M11" s="34">
        <f>SUMIF(Inputs!A$24:A$143,'Rate Class Energy Model'!A11,Inputs!S$24:S$143)</f>
        <v>439248</v>
      </c>
      <c r="N11" s="34">
        <f>SUMIF(Inputs!A$24:A$143,'Rate Class Energy Model'!A11,Inputs!V$24:V$143)</f>
        <v>910170.9</v>
      </c>
    </row>
    <row r="12" spans="1:14">
      <c r="A12">
        <v>2022</v>
      </c>
      <c r="B12" s="50">
        <f>+'Power Purchased Model'!B161</f>
        <v>299934504.296</v>
      </c>
      <c r="C12" s="50">
        <f>+'Power Purchased Model'!I161</f>
        <v>298475881.46384263</v>
      </c>
      <c r="D12" s="19">
        <f t="shared" si="0"/>
        <v>-1458622.8321573734</v>
      </c>
      <c r="E12" s="5">
        <f t="shared" si="1"/>
        <v>-4.8631378226423883E-3</v>
      </c>
      <c r="F12" s="14">
        <f t="shared" si="3"/>
        <v>1.0578493758168601</v>
      </c>
      <c r="G12" s="6">
        <f>SUM(H12:N12)</f>
        <v>283532335.65449119</v>
      </c>
      <c r="H12" s="34">
        <f>SUMIF(Inputs!A$24:A$143,'Rate Class Energy Model'!A12,Inputs!F$24:F$143)</f>
        <v>181843662.79904294</v>
      </c>
      <c r="I12" s="34">
        <f>SUMIF(Inputs!A$24:A$143,'Rate Class Energy Model'!A12,Inputs!H$24:H$143)</f>
        <v>42008337.715448268</v>
      </c>
      <c r="J12" s="34">
        <f>SUMIF(Inputs!A$24:A$143,'Rate Class Energy Model'!A12,Inputs!J$24:J$143)-N12</f>
        <v>57393489.369999982</v>
      </c>
      <c r="K12" s="34">
        <f>SUMIF(Inputs!A$24:A$143,'Rate Class Energy Model'!A12,Inputs!P$24:P$143)</f>
        <v>805781.62999999977</v>
      </c>
      <c r="L12" s="34">
        <f>SUMIF(Inputs!A$24:A$143,'Rate Class Energy Model'!A12,Inputs!M$24:M$143)</f>
        <v>97587.239999999947</v>
      </c>
      <c r="M12" s="34">
        <f>SUMIF(Inputs!A$24:A$143,'Rate Class Energy Model'!A12,Inputs!S$24:S$143)</f>
        <v>447888</v>
      </c>
      <c r="N12" s="34">
        <f>SUMIF(Inputs!A$24:A$143,'Rate Class Energy Model'!A12,Inputs!V$24:V$143)</f>
        <v>935588.9</v>
      </c>
    </row>
    <row r="13" spans="1:14">
      <c r="A13" s="41">
        <v>2023</v>
      </c>
      <c r="B13" s="6"/>
      <c r="C13" s="12">
        <f>'Power Purchased Model'!I162</f>
        <v>302633378.02298784</v>
      </c>
      <c r="G13" s="12">
        <f>C13/$F$16</f>
        <v>285085206.34618509</v>
      </c>
      <c r="H13"/>
      <c r="I13"/>
      <c r="J13"/>
      <c r="K13"/>
      <c r="L13"/>
      <c r="M13"/>
      <c r="N13"/>
    </row>
    <row r="14" spans="1:14">
      <c r="A14" s="41">
        <v>2024</v>
      </c>
      <c r="B14" s="6"/>
      <c r="C14" s="12">
        <f>+'Power Purchased Model'!I163</f>
        <v>314947391.46328634</v>
      </c>
      <c r="G14" s="12">
        <f>C14/$F$16</f>
        <v>296685192.72412699</v>
      </c>
      <c r="H14"/>
      <c r="I14"/>
      <c r="J14"/>
      <c r="K14"/>
      <c r="L14"/>
      <c r="M14"/>
      <c r="N14"/>
    </row>
    <row r="15" spans="1:14">
      <c r="H15" s="30"/>
      <c r="I15" s="4"/>
      <c r="J15" s="254"/>
      <c r="K15"/>
      <c r="L15"/>
      <c r="M15" s="30"/>
      <c r="N15" s="30"/>
    </row>
    <row r="16" spans="1:14">
      <c r="A16" s="11" t="s">
        <v>63</v>
      </c>
      <c r="C16" s="31"/>
      <c r="D16" s="33"/>
      <c r="E16" s="46" t="s">
        <v>222</v>
      </c>
      <c r="F16" s="14">
        <f>AVERAGE(F3:F12)</f>
        <v>1.0615541293836679</v>
      </c>
      <c r="H16" s="49"/>
      <c r="I16" s="4"/>
      <c r="J16" s="93"/>
      <c r="K16"/>
      <c r="L16"/>
      <c r="M16" s="49"/>
      <c r="N16" s="49"/>
    </row>
    <row r="17" spans="1:17">
      <c r="C17" s="31"/>
      <c r="D17" s="33"/>
      <c r="E17" s="46"/>
      <c r="F17" s="14"/>
      <c r="I17"/>
      <c r="J17"/>
      <c r="K17"/>
      <c r="L17"/>
    </row>
    <row r="18" spans="1:17">
      <c r="C18" s="178">
        <f>C13/1000000</f>
        <v>302.63337802298787</v>
      </c>
      <c r="D18" s="33"/>
      <c r="G18" s="178">
        <f>G13/1000000</f>
        <v>285.08520634618509</v>
      </c>
      <c r="I18"/>
      <c r="J18"/>
      <c r="K18"/>
      <c r="L18"/>
    </row>
    <row r="19" spans="1:17">
      <c r="A19" s="13" t="s">
        <v>223</v>
      </c>
      <c r="B19" s="9"/>
      <c r="C19" s="178">
        <f>C14/1000000</f>
        <v>314.94739146328635</v>
      </c>
      <c r="G19" s="178">
        <f>G14/1000000</f>
        <v>296.68519272412698</v>
      </c>
      <c r="I19"/>
      <c r="J19"/>
      <c r="K19"/>
      <c r="L19"/>
    </row>
    <row r="21" spans="1:17">
      <c r="A21">
        <f>A12</f>
        <v>2022</v>
      </c>
      <c r="H21" s="6">
        <f>H12/'Rate Class Customer Model'!B20</f>
        <v>9695.915476985796</v>
      </c>
      <c r="I21" s="6">
        <f>I12/'Rate Class Customer Model'!C20</f>
        <v>33845.847494654168</v>
      </c>
      <c r="J21" s="6">
        <f>J12/'Rate Class Customer Model'!D20</f>
        <v>697793.18382978707</v>
      </c>
      <c r="K21" s="6">
        <f>K12/'Rate Class Customer Model'!E20</f>
        <v>200.74280767314394</v>
      </c>
      <c r="L21" s="6">
        <f>L12/'Rate Class Customer Model'!F20</f>
        <v>647.70292035398199</v>
      </c>
      <c r="M21" s="6">
        <f>M12/'Rate Class Customer Model'!G20</f>
        <v>6184.874568469505</v>
      </c>
      <c r="N21" s="6">
        <f>N12/'Rate Class Customer Model'!H20</f>
        <v>935588.9</v>
      </c>
    </row>
    <row r="22" spans="1:17">
      <c r="A22">
        <v>2023</v>
      </c>
      <c r="H22" s="12">
        <f>H21</f>
        <v>9695.915476985796</v>
      </c>
      <c r="I22" s="12">
        <f t="shared" ref="I22:M23" si="4">I21</f>
        <v>33845.847494654168</v>
      </c>
      <c r="J22" s="12">
        <f t="shared" si="4"/>
        <v>697793.18382978707</v>
      </c>
      <c r="K22" s="12">
        <f t="shared" si="4"/>
        <v>200.74280767314394</v>
      </c>
      <c r="L22" s="12">
        <f t="shared" si="4"/>
        <v>647.70292035398199</v>
      </c>
      <c r="M22" s="12">
        <f t="shared" si="4"/>
        <v>6184.874568469505</v>
      </c>
      <c r="N22" s="12">
        <f>N21</f>
        <v>935588.9</v>
      </c>
    </row>
    <row r="23" spans="1:17">
      <c r="A23">
        <f>A14</f>
        <v>2024</v>
      </c>
      <c r="H23" s="12">
        <f>H22</f>
        <v>9695.915476985796</v>
      </c>
      <c r="I23" s="12">
        <f t="shared" si="4"/>
        <v>33845.847494654168</v>
      </c>
      <c r="J23" s="12">
        <f t="shared" si="4"/>
        <v>697793.18382978707</v>
      </c>
      <c r="K23" s="12">
        <f t="shared" si="4"/>
        <v>200.74280767314394</v>
      </c>
      <c r="L23" s="12">
        <f t="shared" si="4"/>
        <v>647.70292035398199</v>
      </c>
      <c r="M23" s="12">
        <f t="shared" si="4"/>
        <v>6184.874568469505</v>
      </c>
      <c r="N23" s="12">
        <f>N22</f>
        <v>935588.9</v>
      </c>
    </row>
    <row r="24" spans="1:17">
      <c r="H24"/>
      <c r="I24"/>
      <c r="J24"/>
      <c r="K24"/>
      <c r="L24"/>
      <c r="M24"/>
      <c r="N24"/>
    </row>
    <row r="25" spans="1:17">
      <c r="D25" s="6"/>
      <c r="H25" s="15"/>
      <c r="I25" s="15"/>
      <c r="J25" s="15"/>
      <c r="K25" s="15"/>
      <c r="L25" s="15"/>
      <c r="M25" s="15"/>
      <c r="N25" s="15"/>
    </row>
    <row r="26" spans="1:17">
      <c r="A26" s="11" t="s">
        <v>224</v>
      </c>
    </row>
    <row r="27" spans="1:17">
      <c r="A27" s="38">
        <v>2023</v>
      </c>
      <c r="G27" s="6">
        <f>SUM(H27:N27)</f>
        <v>297973276.21726823</v>
      </c>
      <c r="H27" s="6">
        <f>H22*'Rate Class Customer Model'!B21</f>
        <v>193030782.6624909</v>
      </c>
      <c r="I27" s="6">
        <f>I22*'Rate Class Customer Model'!C21</f>
        <v>43179628.188364282</v>
      </c>
      <c r="J27" s="6">
        <f>J22*'Rate Class Customer Model'!D21</f>
        <v>59396776.664917484</v>
      </c>
      <c r="K27" s="6">
        <f>K22*'Rate Class Customer Model'!E21</f>
        <v>860534.84496841056</v>
      </c>
      <c r="L27" s="6">
        <f>L22*'Rate Class Customer Model'!F21</f>
        <v>97648.900526274636</v>
      </c>
      <c r="M27" s="6">
        <f>M22*'Rate Class Customer Model'!G21</f>
        <v>472316.05600091303</v>
      </c>
      <c r="N27" s="6">
        <f>N22*'Rate Class Customer Model'!H21</f>
        <v>935588.9</v>
      </c>
    </row>
    <row r="28" spans="1:17">
      <c r="A28" s="38">
        <v>2024</v>
      </c>
      <c r="G28" s="6">
        <f>SUM(H28:N28)</f>
        <v>307727620.50339049</v>
      </c>
      <c r="H28" s="6">
        <f>H23*'Rate Class Customer Model'!B22</f>
        <v>200087047.48366162</v>
      </c>
      <c r="I28" s="6">
        <f>I23*'Rate Class Customer Model'!C22</f>
        <v>44476213.964360371</v>
      </c>
      <c r="J28" s="6">
        <f>J23*'Rate Class Customer Model'!D22</f>
        <v>60770233.394623823</v>
      </c>
      <c r="K28" s="6">
        <f>K23*'Rate Class Customer Model'!E22</f>
        <v>895336.08733680099</v>
      </c>
      <c r="L28" s="6">
        <f>L23*'Rate Class Customer Model'!F22</f>
        <v>96591.330334792976</v>
      </c>
      <c r="M28" s="6">
        <f>M23*'Rate Class Customer Model'!G22</f>
        <v>466609.34307314234</v>
      </c>
      <c r="N28" s="6">
        <f>N23*'Rate Class Customer Model'!H22</f>
        <v>935588.9</v>
      </c>
    </row>
    <row r="30" spans="1:17">
      <c r="A30" s="11" t="s">
        <v>225</v>
      </c>
      <c r="P30" s="6"/>
    </row>
    <row r="31" spans="1:17">
      <c r="A31" s="38">
        <f>+A27</f>
        <v>2023</v>
      </c>
      <c r="G31" s="12">
        <f>G13</f>
        <v>285085206.34618509</v>
      </c>
      <c r="H31" s="6">
        <f t="shared" ref="H31:N32" si="5">H27+H39</f>
        <v>184240234.88300711</v>
      </c>
      <c r="I31" s="6">
        <f t="shared" si="5"/>
        <v>41213244.488030672</v>
      </c>
      <c r="J31" s="6">
        <f t="shared" si="5"/>
        <v>57265638.273651764</v>
      </c>
      <c r="K31" s="6">
        <f t="shared" si="5"/>
        <v>860534.84496841056</v>
      </c>
      <c r="L31" s="6">
        <f t="shared" si="5"/>
        <v>97648.900526274636</v>
      </c>
      <c r="M31" s="6">
        <f t="shared" si="5"/>
        <v>472316.05600091303</v>
      </c>
      <c r="N31" s="6">
        <f t="shared" si="5"/>
        <v>935588.9</v>
      </c>
      <c r="O31" s="6">
        <f>SUM(H31:N31)</f>
        <v>285085206.34618515</v>
      </c>
      <c r="P31" s="6">
        <f>O31-G31</f>
        <v>0</v>
      </c>
      <c r="Q31" s="6" t="e">
        <f>P31-#REF!</f>
        <v>#REF!</v>
      </c>
    </row>
    <row r="32" spans="1:17">
      <c r="A32" s="38">
        <f>+A28</f>
        <v>2024</v>
      </c>
      <c r="G32" s="12">
        <f>G14</f>
        <v>296685192.72412699</v>
      </c>
      <c r="H32" s="6">
        <f t="shared" si="5"/>
        <v>192531906.87263227</v>
      </c>
      <c r="I32" s="6">
        <f t="shared" si="5"/>
        <v>42796824.645696916</v>
      </c>
      <c r="J32" s="6">
        <f t="shared" si="5"/>
        <v>58962335.545053132</v>
      </c>
      <c r="K32" s="6">
        <f t="shared" si="5"/>
        <v>895336.08733680099</v>
      </c>
      <c r="L32" s="6">
        <f t="shared" si="5"/>
        <v>96591.330334792976</v>
      </c>
      <c r="M32" s="6">
        <f t="shared" si="5"/>
        <v>466609.34307314234</v>
      </c>
      <c r="N32" s="6">
        <f t="shared" si="5"/>
        <v>935588.9</v>
      </c>
      <c r="O32" s="6">
        <f>SUM(H32:N32)</f>
        <v>296685192.72412699</v>
      </c>
      <c r="P32" s="6">
        <f>O32-G32</f>
        <v>0</v>
      </c>
      <c r="Q32" s="6" t="e">
        <f>P32-#REF!</f>
        <v>#REF!</v>
      </c>
    </row>
    <row r="33" spans="1:22">
      <c r="P33" s="6"/>
    </row>
    <row r="34" spans="1:22">
      <c r="A34" t="s">
        <v>226</v>
      </c>
      <c r="H34" s="44">
        <f>(100%+J34)/2</f>
        <v>0.82499999999999996</v>
      </c>
      <c r="I34" s="45">
        <f>H34</f>
        <v>0.82499999999999996</v>
      </c>
      <c r="J34" s="51">
        <v>0.65</v>
      </c>
      <c r="K34" s="45">
        <v>0</v>
      </c>
      <c r="L34" s="45">
        <v>0</v>
      </c>
      <c r="M34" s="45">
        <v>0</v>
      </c>
      <c r="N34" s="45">
        <v>0</v>
      </c>
    </row>
    <row r="35" spans="1:22">
      <c r="A35" s="38">
        <f>+A31</f>
        <v>2023</v>
      </c>
      <c r="G35" s="6">
        <f>G31-G27</f>
        <v>-12888069.87108314</v>
      </c>
      <c r="H35" s="6">
        <f t="shared" ref="H35:N36" si="6">H27*H$34</f>
        <v>159250395.69655499</v>
      </c>
      <c r="I35" s="6">
        <f t="shared" si="6"/>
        <v>35623193.255400531</v>
      </c>
      <c r="J35" s="6">
        <f t="shared" si="6"/>
        <v>38607904.832196362</v>
      </c>
      <c r="K35" s="6">
        <f t="shared" si="6"/>
        <v>0</v>
      </c>
      <c r="L35" s="6">
        <f t="shared" si="6"/>
        <v>0</v>
      </c>
      <c r="M35" s="6">
        <f t="shared" si="6"/>
        <v>0</v>
      </c>
      <c r="N35" s="6">
        <f t="shared" si="6"/>
        <v>0</v>
      </c>
      <c r="O35" s="6">
        <f>SUM(H35:N35)</f>
        <v>233481493.78415188</v>
      </c>
    </row>
    <row r="36" spans="1:22">
      <c r="A36" s="38">
        <f>+A32</f>
        <v>2024</v>
      </c>
      <c r="G36" s="6">
        <f>G32-G28</f>
        <v>-11042427.779263496</v>
      </c>
      <c r="H36" s="6">
        <f t="shared" si="6"/>
        <v>165071814.17402083</v>
      </c>
      <c r="I36" s="6">
        <f t="shared" si="6"/>
        <v>36692876.520597301</v>
      </c>
      <c r="J36" s="6">
        <f t="shared" si="6"/>
        <v>39500651.706505485</v>
      </c>
      <c r="K36" s="6">
        <f t="shared" si="6"/>
        <v>0</v>
      </c>
      <c r="L36" s="6">
        <f t="shared" si="6"/>
        <v>0</v>
      </c>
      <c r="M36" s="6">
        <f t="shared" si="6"/>
        <v>0</v>
      </c>
      <c r="N36" s="6">
        <f t="shared" si="6"/>
        <v>0</v>
      </c>
      <c r="O36" s="6">
        <f>SUM(H36:N36)</f>
        <v>241265342.40112361</v>
      </c>
    </row>
    <row r="37" spans="1:22" ht="12" customHeight="1"/>
    <row r="38" spans="1:22">
      <c r="A38" t="s">
        <v>227</v>
      </c>
    </row>
    <row r="39" spans="1:22">
      <c r="A39" s="38">
        <f>+A35</f>
        <v>2023</v>
      </c>
      <c r="G39" s="6">
        <f>SUM(H39:N39)</f>
        <v>-12888069.87108314</v>
      </c>
      <c r="H39" s="6">
        <f>H35/$O$35*$G$35</f>
        <v>-8790547.7794838063</v>
      </c>
      <c r="I39" s="6">
        <f t="shared" ref="I39:N39" si="7">I35/$O$35*$G$35</f>
        <v>-1966383.7003336113</v>
      </c>
      <c r="J39" s="6">
        <f>J35/$O$35*$G$35</f>
        <v>-2131138.391265722</v>
      </c>
      <c r="K39" s="6">
        <f t="shared" si="7"/>
        <v>0</v>
      </c>
      <c r="L39" s="6">
        <f t="shared" si="7"/>
        <v>0</v>
      </c>
      <c r="M39" s="6">
        <f t="shared" si="7"/>
        <v>0</v>
      </c>
      <c r="N39" s="6">
        <f t="shared" si="7"/>
        <v>0</v>
      </c>
    </row>
    <row r="40" spans="1:22">
      <c r="A40" s="38">
        <f>+A36</f>
        <v>2024</v>
      </c>
      <c r="G40" s="6">
        <f>SUM(H40:N40)</f>
        <v>-11042427.779263496</v>
      </c>
      <c r="H40" s="6">
        <f>H36/$O$36*$G$36</f>
        <v>-7555140.6110293455</v>
      </c>
      <c r="I40" s="6">
        <f t="shared" ref="I40:N40" si="8">I36/$O$36*$G$36</f>
        <v>-1679389.3186634583</v>
      </c>
      <c r="J40" s="6">
        <f t="shared" si="8"/>
        <v>-1807897.8495706925</v>
      </c>
      <c r="K40" s="6">
        <f t="shared" si="8"/>
        <v>0</v>
      </c>
      <c r="L40" s="6">
        <f t="shared" si="8"/>
        <v>0</v>
      </c>
      <c r="M40" s="6">
        <f t="shared" si="8"/>
        <v>0</v>
      </c>
      <c r="N40" s="6">
        <f t="shared" si="8"/>
        <v>0</v>
      </c>
    </row>
    <row r="41" spans="1:22">
      <c r="G41" s="16"/>
    </row>
    <row r="42" spans="1:22">
      <c r="A42" s="11"/>
      <c r="G42" s="36"/>
    </row>
    <row r="43" spans="1:22">
      <c r="A43" s="11"/>
    </row>
    <row r="44" spans="1:22">
      <c r="A44" s="11"/>
    </row>
    <row r="46" spans="1:22">
      <c r="B46"/>
      <c r="C46"/>
      <c r="D46"/>
      <c r="E46"/>
      <c r="F46"/>
      <c r="G46"/>
      <c r="H46"/>
      <c r="I46"/>
      <c r="J46"/>
      <c r="K46"/>
      <c r="L46"/>
      <c r="M46"/>
      <c r="N46"/>
      <c r="V46"/>
    </row>
    <row r="47" spans="1:22">
      <c r="B47"/>
      <c r="C47"/>
      <c r="D47"/>
      <c r="E47"/>
      <c r="F47"/>
      <c r="G47"/>
      <c r="H47"/>
      <c r="I47"/>
      <c r="J47"/>
      <c r="K47"/>
      <c r="L47"/>
      <c r="M47"/>
      <c r="N47"/>
      <c r="V47"/>
    </row>
    <row r="48" spans="1:22">
      <c r="B48"/>
      <c r="C48"/>
      <c r="D48"/>
      <c r="E48"/>
      <c r="F48"/>
      <c r="G48"/>
      <c r="H48"/>
      <c r="I48"/>
      <c r="J48"/>
      <c r="K48"/>
      <c r="L48"/>
      <c r="M48"/>
      <c r="N48"/>
      <c r="V48"/>
    </row>
    <row r="49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Q87"/>
  <sheetViews>
    <sheetView workbookViewId="0">
      <selection activeCell="F43" sqref="F43"/>
    </sheetView>
  </sheetViews>
  <sheetFormatPr defaultRowHeight="12.75"/>
  <cols>
    <col min="1" max="1" width="46.5703125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8" width="11.42578125" style="6" customWidth="1"/>
    <col min="9" max="9" width="11.5703125" customWidth="1"/>
    <col min="10" max="10" width="12.5703125" bestFit="1" customWidth="1"/>
    <col min="11" max="11" width="12.5703125" customWidth="1"/>
    <col min="12" max="12" width="12.5703125" bestFit="1" customWidth="1"/>
    <col min="13" max="13" width="11.5703125" bestFit="1" customWidth="1"/>
    <col min="14" max="16" width="11.5703125" customWidth="1"/>
    <col min="17" max="17" width="10.5703125" bestFit="1" customWidth="1"/>
    <col min="18" max="19" width="9.140625" customWidth="1"/>
  </cols>
  <sheetData>
    <row r="1" spans="1:17">
      <c r="B1" s="424" t="s">
        <v>228</v>
      </c>
      <c r="C1" s="425"/>
      <c r="D1" s="425"/>
      <c r="E1" s="425"/>
      <c r="F1" s="425"/>
      <c r="G1" s="425"/>
    </row>
    <row r="2" spans="1:17" ht="25.5">
      <c r="B2" s="8" t="str">
        <f>'Rate Class Energy Model'!H2</f>
        <v xml:space="preserve">Residential </v>
      </c>
      <c r="C2" s="8" t="str">
        <f>'Rate Class Energy Model'!I2</f>
        <v>General Service &lt; 50 kW</v>
      </c>
      <c r="D2" s="8" t="str">
        <f>'Rate Class Energy Model'!J2</f>
        <v>General Service &gt; 50 to 4999 kW</v>
      </c>
      <c r="E2" s="8" t="str">
        <f>'Rate Class Energy Model'!K2</f>
        <v>Street Lights</v>
      </c>
      <c r="F2" s="8" t="str">
        <f>'Rate Class Energy Model'!L2</f>
        <v>Sentinel Lights</v>
      </c>
      <c r="G2" s="8" t="str">
        <f>'Rate Class Energy Model'!M2</f>
        <v xml:space="preserve">Unmetered Loads </v>
      </c>
      <c r="H2" s="8" t="s">
        <v>18</v>
      </c>
      <c r="I2" s="1" t="s">
        <v>19</v>
      </c>
      <c r="K2" s="86" t="s">
        <v>229</v>
      </c>
      <c r="P2" s="94">
        <v>2023</v>
      </c>
      <c r="Q2" s="94">
        <v>2024</v>
      </c>
    </row>
    <row r="3" spans="1:17" hidden="1">
      <c r="A3" s="4"/>
      <c r="B3" s="426"/>
      <c r="C3" s="426"/>
      <c r="D3" s="426"/>
      <c r="E3" s="426"/>
      <c r="F3" s="426"/>
      <c r="G3" s="426"/>
      <c r="H3" s="426"/>
    </row>
    <row r="4" spans="1:17" hidden="1">
      <c r="A4" s="4">
        <v>2000</v>
      </c>
      <c r="B4" s="20"/>
      <c r="C4" s="20"/>
      <c r="D4" s="20"/>
      <c r="E4" s="20"/>
      <c r="F4" s="20"/>
      <c r="G4" s="20"/>
      <c r="H4" s="20"/>
    </row>
    <row r="5" spans="1:17" hidden="1">
      <c r="A5" s="4">
        <v>2001</v>
      </c>
      <c r="B5" s="426" t="e">
        <f>(#REF!+#REF!)/2</f>
        <v>#REF!</v>
      </c>
      <c r="C5" s="426" t="e">
        <f>(#REF!+#REF!)/2</f>
        <v>#REF!</v>
      </c>
      <c r="D5" s="426" t="e">
        <f>(#REF!+#REF!)/2</f>
        <v>#REF!</v>
      </c>
      <c r="E5" s="426" t="e">
        <f>(#REF!+#REF!)/2</f>
        <v>#REF!</v>
      </c>
      <c r="F5" s="426" t="e">
        <f>(#REF!+#REF!)/2</f>
        <v>#REF!</v>
      </c>
      <c r="G5" s="426"/>
      <c r="H5" s="426"/>
    </row>
    <row r="6" spans="1:17" hidden="1">
      <c r="A6" s="4">
        <v>2002</v>
      </c>
      <c r="B6" s="426" t="e">
        <f>(#REF!+#REF!)/2</f>
        <v>#REF!</v>
      </c>
      <c r="C6" s="426" t="e">
        <f>(#REF!+#REF!)/2</f>
        <v>#REF!</v>
      </c>
      <c r="D6" s="426" t="e">
        <f>(#REF!+#REF!)/2</f>
        <v>#REF!</v>
      </c>
      <c r="E6" s="426" t="e">
        <f>(#REF!+#REF!)/2</f>
        <v>#REF!</v>
      </c>
      <c r="F6" s="426">
        <v>0</v>
      </c>
      <c r="G6" s="426"/>
      <c r="H6" s="426"/>
    </row>
    <row r="7" spans="1:17" hidden="1">
      <c r="A7" s="4">
        <v>2003</v>
      </c>
      <c r="B7" s="426" t="e">
        <f>(#REF!+#REF!)/2</f>
        <v>#REF!</v>
      </c>
      <c r="C7" s="426" t="e">
        <f>(#REF!+#REF!)/2</f>
        <v>#REF!</v>
      </c>
      <c r="D7" s="426" t="e">
        <f>(#REF!+#REF!)/2</f>
        <v>#REF!</v>
      </c>
      <c r="E7" s="426" t="e">
        <f>(#REF!+#REF!)/2</f>
        <v>#REF!</v>
      </c>
      <c r="F7" s="426" t="e">
        <f>(#REF!+#REF!)/2</f>
        <v>#REF!</v>
      </c>
      <c r="G7" s="426"/>
      <c r="H7" s="426"/>
    </row>
    <row r="8" spans="1:17" hidden="1">
      <c r="A8" s="4">
        <v>2004</v>
      </c>
      <c r="B8" s="426" t="e">
        <f>(#REF!+#REF!)/2</f>
        <v>#REF!</v>
      </c>
      <c r="C8" s="426" t="e">
        <f>(#REF!+#REF!)/2</f>
        <v>#REF!</v>
      </c>
      <c r="D8" s="426" t="e">
        <f>(#REF!+#REF!)/2</f>
        <v>#REF!</v>
      </c>
      <c r="E8" s="426" t="e">
        <f>(#REF!+#REF!)/2</f>
        <v>#REF!</v>
      </c>
      <c r="F8" s="426" t="e">
        <f>(#REF!+#REF!)/2</f>
        <v>#REF!</v>
      </c>
      <c r="G8" s="426"/>
      <c r="H8" s="426"/>
    </row>
    <row r="9" spans="1:17" hidden="1">
      <c r="A9" s="4">
        <v>2005</v>
      </c>
      <c r="B9" s="426" t="e">
        <f>(#REF!+#REF!)/2</f>
        <v>#REF!</v>
      </c>
      <c r="C9" s="426" t="e">
        <f>(#REF!+#REF!)/2</f>
        <v>#REF!</v>
      </c>
      <c r="D9" s="426" t="e">
        <f>(#REF!+#REF!)/2</f>
        <v>#REF!</v>
      </c>
      <c r="E9" s="426" t="e">
        <f>(#REF!+#REF!)/2</f>
        <v>#REF!</v>
      </c>
      <c r="F9" s="426" t="e">
        <f>(#REF!+#REF!)/2</f>
        <v>#REF!</v>
      </c>
      <c r="G9" s="426"/>
      <c r="H9" s="426"/>
    </row>
    <row r="10" spans="1:17" hidden="1">
      <c r="A10" s="4">
        <v>2006</v>
      </c>
      <c r="B10" s="426" t="e">
        <f>(#REF!+#REF!)/2</f>
        <v>#REF!</v>
      </c>
      <c r="C10" s="426" t="e">
        <f>(#REF!+#REF!)/2</f>
        <v>#REF!</v>
      </c>
      <c r="D10" s="426" t="e">
        <f>(#REF!+#REF!)/2</f>
        <v>#REF!</v>
      </c>
      <c r="E10" s="426">
        <v>1</v>
      </c>
      <c r="F10" s="426" t="e">
        <f>(#REF!+#REF!)/2</f>
        <v>#REF!</v>
      </c>
      <c r="G10" s="426"/>
      <c r="H10" s="426"/>
    </row>
    <row r="11" spans="1:17">
      <c r="A11" s="4">
        <v>2013</v>
      </c>
      <c r="B11" s="427">
        <f>Inputs!B5</f>
        <v>14181</v>
      </c>
      <c r="C11" s="427">
        <f>Inputs!C5</f>
        <v>948.25</v>
      </c>
      <c r="D11" s="427">
        <f>Inputs!D5</f>
        <v>67</v>
      </c>
      <c r="E11" s="427">
        <f>Inputs!F5</f>
        <v>2843.3333333333335</v>
      </c>
      <c r="F11" s="427">
        <f>Inputs!E5</f>
        <v>168</v>
      </c>
      <c r="G11" s="427">
        <f>Inputs!G5</f>
        <v>77.583333333333329</v>
      </c>
      <c r="H11" s="427">
        <v>1</v>
      </c>
      <c r="I11" s="428">
        <f>SUM(B11:H11)</f>
        <v>18286.166666666664</v>
      </c>
      <c r="K11" s="6">
        <f>B11+C11+D11+H11</f>
        <v>15197.25</v>
      </c>
      <c r="L11" s="6"/>
      <c r="O11" s="95" t="s">
        <v>230</v>
      </c>
      <c r="P11" s="247">
        <f>Inputs!G144+Inputs!I144+Inputs!L144+Inputs!X144</f>
        <v>20698</v>
      </c>
      <c r="Q11" s="93">
        <f>P22+P22*N22</f>
        <v>21780.227756376426</v>
      </c>
    </row>
    <row r="12" spans="1:17">
      <c r="A12" s="4">
        <v>2014</v>
      </c>
      <c r="B12" s="427">
        <f>Inputs!B6</f>
        <v>14509.166666666666</v>
      </c>
      <c r="C12" s="427">
        <f>Inputs!C6</f>
        <v>990.25</v>
      </c>
      <c r="D12" s="427">
        <f>Inputs!D6</f>
        <v>67.166666666666671</v>
      </c>
      <c r="E12" s="427">
        <f>Inputs!F6</f>
        <v>2923.3333333333335</v>
      </c>
      <c r="F12" s="427">
        <f>Inputs!E6</f>
        <v>169.41666666666666</v>
      </c>
      <c r="G12" s="427">
        <f>Inputs!G6</f>
        <v>75.583333333333329</v>
      </c>
      <c r="H12" s="427">
        <v>1</v>
      </c>
      <c r="I12" s="428">
        <f t="shared" ref="I12:I20" si="0">SUM(B12:H12)</f>
        <v>18735.916666666664</v>
      </c>
      <c r="K12" s="6">
        <f t="shared" ref="K12:K22" si="1">B12+C12+D12+H12</f>
        <v>15567.583333333332</v>
      </c>
      <c r="L12" s="6"/>
      <c r="O12" s="95" t="s">
        <v>231</v>
      </c>
      <c r="P12" s="247">
        <f>Inputs!G145+Inputs!I145+Inputs!L145+Inputs!X145</f>
        <v>20814</v>
      </c>
      <c r="Q12" s="93">
        <f>Q11+Q11*$N$22</f>
        <v>21832.672220069206</v>
      </c>
    </row>
    <row r="13" spans="1:17">
      <c r="A13" s="4">
        <v>2015</v>
      </c>
      <c r="B13" s="427">
        <f>Inputs!B7</f>
        <v>14861.583333333334</v>
      </c>
      <c r="C13" s="427">
        <f>Inputs!C7</f>
        <v>999.58333333333337</v>
      </c>
      <c r="D13" s="427">
        <f>Inputs!D7</f>
        <v>71.5</v>
      </c>
      <c r="E13" s="427">
        <f>Inputs!F7</f>
        <v>2897.6666666666665</v>
      </c>
      <c r="F13" s="427">
        <f>Inputs!E7</f>
        <v>165.75</v>
      </c>
      <c r="G13" s="427">
        <f>Inputs!G7</f>
        <v>76</v>
      </c>
      <c r="H13" s="427">
        <v>1</v>
      </c>
      <c r="I13" s="428">
        <f t="shared" si="0"/>
        <v>19073.083333333336</v>
      </c>
      <c r="K13" s="6">
        <f t="shared" si="1"/>
        <v>15933.666666666668</v>
      </c>
      <c r="L13" s="6"/>
      <c r="O13" s="95" t="s">
        <v>232</v>
      </c>
      <c r="P13" s="247">
        <f>Inputs!G146+Inputs!I146+Inputs!L146+Inputs!X146</f>
        <v>20948</v>
      </c>
      <c r="Q13" s="93">
        <f t="shared" ref="Q13:Q22" si="2">Q12+Q12*$N$22</f>
        <v>21885.242964432822</v>
      </c>
    </row>
    <row r="14" spans="1:17">
      <c r="A14" s="4">
        <v>2016</v>
      </c>
      <c r="B14" s="427">
        <f>Inputs!B8</f>
        <v>15201.583333333334</v>
      </c>
      <c r="C14" s="427">
        <f>Inputs!C8</f>
        <v>1015.25</v>
      </c>
      <c r="D14" s="427">
        <f>Inputs!D8</f>
        <v>75.583333333333329</v>
      </c>
      <c r="E14" s="427">
        <f>Inputs!F8</f>
        <v>2863.1666666666665</v>
      </c>
      <c r="F14" s="427">
        <f>Inputs!E8</f>
        <v>166.08333333333334</v>
      </c>
      <c r="G14" s="427">
        <f>Inputs!G8</f>
        <v>75.333333333333329</v>
      </c>
      <c r="H14" s="427">
        <v>1</v>
      </c>
      <c r="I14" s="428">
        <f t="shared" si="0"/>
        <v>19398</v>
      </c>
      <c r="K14" s="6">
        <f t="shared" si="1"/>
        <v>16293.416666666668</v>
      </c>
      <c r="L14" s="6"/>
      <c r="O14" s="95" t="s">
        <v>233</v>
      </c>
      <c r="P14" s="247">
        <f>Inputs!G147+Inputs!I147+Inputs!L147+Inputs!X147</f>
        <v>21058</v>
      </c>
      <c r="Q14" s="93">
        <f t="shared" si="2"/>
        <v>21937.940293537653</v>
      </c>
    </row>
    <row r="15" spans="1:17">
      <c r="A15" s="4">
        <v>2017</v>
      </c>
      <c r="B15" s="427">
        <f>Inputs!B9</f>
        <v>15631.666666666666</v>
      </c>
      <c r="C15" s="427">
        <f>Inputs!C9</f>
        <v>1029.3333333333333</v>
      </c>
      <c r="D15" s="427">
        <f>Inputs!D9</f>
        <v>86.666666666666671</v>
      </c>
      <c r="E15" s="427">
        <f>Inputs!F9</f>
        <v>2973.25</v>
      </c>
      <c r="F15" s="427">
        <f>Inputs!E9</f>
        <v>161.83333333333334</v>
      </c>
      <c r="G15" s="427">
        <f>Inputs!G9</f>
        <v>73.5</v>
      </c>
      <c r="H15" s="427">
        <v>1</v>
      </c>
      <c r="I15" s="428">
        <f t="shared" si="0"/>
        <v>19957.25</v>
      </c>
      <c r="K15" s="6">
        <f t="shared" si="1"/>
        <v>16748.666666666668</v>
      </c>
      <c r="L15" s="6"/>
      <c r="O15" s="95" t="s">
        <v>155</v>
      </c>
      <c r="P15" s="247">
        <f>Inputs!G148+Inputs!I148+Inputs!L148+Inputs!X148</f>
        <v>21104</v>
      </c>
      <c r="Q15" s="93">
        <f t="shared" si="2"/>
        <v>21990.764512186241</v>
      </c>
    </row>
    <row r="16" spans="1:17">
      <c r="A16" s="4">
        <v>2018</v>
      </c>
      <c r="B16" s="427">
        <f>Inputs!B10</f>
        <v>16490.666666666668</v>
      </c>
      <c r="C16" s="427">
        <f>Inputs!C10</f>
        <v>1081</v>
      </c>
      <c r="D16" s="427">
        <f>Inputs!D10</f>
        <v>91</v>
      </c>
      <c r="E16" s="427">
        <f>Inputs!F10</f>
        <v>3097.25</v>
      </c>
      <c r="F16" s="427">
        <f>Inputs!E10</f>
        <v>161.5</v>
      </c>
      <c r="G16" s="427">
        <f>Inputs!G10</f>
        <v>74</v>
      </c>
      <c r="H16" s="427">
        <v>1</v>
      </c>
      <c r="I16" s="428">
        <f t="shared" si="0"/>
        <v>20996.416666666668</v>
      </c>
      <c r="K16" s="6">
        <f t="shared" si="1"/>
        <v>17663.666666666668</v>
      </c>
      <c r="L16" s="6"/>
      <c r="O16" s="95" t="s">
        <v>234</v>
      </c>
      <c r="P16" s="247">
        <f>Inputs!G149+Inputs!I149+Inputs!L149+Inputs!X149</f>
        <v>21324</v>
      </c>
      <c r="Q16" s="93">
        <f t="shared" si="2"/>
        <v>22043.715925915061</v>
      </c>
    </row>
    <row r="17" spans="1:17">
      <c r="A17" s="4">
        <v>2019</v>
      </c>
      <c r="B17" s="427">
        <f>Inputs!B11</f>
        <v>17294.333333333332</v>
      </c>
      <c r="C17" s="427">
        <f>Inputs!C11</f>
        <v>1118.5833333333333</v>
      </c>
      <c r="D17" s="427">
        <f>Inputs!D11</f>
        <v>86.583333333333329</v>
      </c>
      <c r="E17" s="427">
        <f>Inputs!F11</f>
        <v>3306.75</v>
      </c>
      <c r="F17" s="427">
        <f>Inputs!E11</f>
        <v>159.91666666666666</v>
      </c>
      <c r="G17" s="427">
        <f>Inputs!G11</f>
        <v>74.5</v>
      </c>
      <c r="H17" s="427">
        <v>1</v>
      </c>
      <c r="I17" s="428">
        <f t="shared" si="0"/>
        <v>22041.666666666664</v>
      </c>
      <c r="K17" s="6">
        <f t="shared" si="1"/>
        <v>18500.499999999996</v>
      </c>
      <c r="L17" s="6"/>
      <c r="O17" s="95" t="s">
        <v>235</v>
      </c>
      <c r="P17" s="93">
        <f t="shared" ref="P17:P22" si="3">P16+P16*$N$21</f>
        <v>21390.792984375654</v>
      </c>
      <c r="Q17" s="93">
        <f t="shared" si="2"/>
        <v>22096.794840996296</v>
      </c>
    </row>
    <row r="18" spans="1:17">
      <c r="A18" s="4">
        <v>2020</v>
      </c>
      <c r="B18" s="427">
        <f>Inputs!B12</f>
        <v>17582.833333333332</v>
      </c>
      <c r="C18" s="427">
        <f>Inputs!C12</f>
        <v>1150.9166666666667</v>
      </c>
      <c r="D18" s="427">
        <f>Inputs!D12</f>
        <v>82.083333333333329</v>
      </c>
      <c r="E18" s="427">
        <f>Inputs!F12</f>
        <v>3414.4166666666665</v>
      </c>
      <c r="F18" s="427">
        <f>Inputs!E12</f>
        <v>155.08333333333334</v>
      </c>
      <c r="G18" s="427">
        <f>Inputs!G12</f>
        <v>73.166666666666671</v>
      </c>
      <c r="H18" s="427">
        <v>1</v>
      </c>
      <c r="I18" s="428">
        <f t="shared" si="0"/>
        <v>22459.5</v>
      </c>
      <c r="K18" s="6">
        <f t="shared" si="1"/>
        <v>18816.833333333332</v>
      </c>
      <c r="L18" s="6"/>
      <c r="O18" s="95" t="s">
        <v>236</v>
      </c>
      <c r="P18" s="93">
        <f t="shared" si="3"/>
        <v>21457.795183849874</v>
      </c>
      <c r="Q18" s="93">
        <f t="shared" si="2"/>
        <v>22150.00156443959</v>
      </c>
    </row>
    <row r="19" spans="1:17">
      <c r="A19" s="4">
        <v>2021</v>
      </c>
      <c r="B19" s="427">
        <f>Inputs!B13</f>
        <v>18253.333333333332</v>
      </c>
      <c r="C19" s="427">
        <f>Inputs!C13</f>
        <v>1186.8333333333333</v>
      </c>
      <c r="D19" s="427">
        <f>Inputs!D13</f>
        <v>81.166666666666671</v>
      </c>
      <c r="E19" s="427">
        <f>Inputs!F13</f>
        <v>3596.5833333333335</v>
      </c>
      <c r="F19" s="427">
        <f>Inputs!E13</f>
        <v>152.75</v>
      </c>
      <c r="G19" s="427">
        <f>Inputs!G13</f>
        <v>71</v>
      </c>
      <c r="H19" s="427">
        <v>1</v>
      </c>
      <c r="I19" s="428">
        <f t="shared" si="0"/>
        <v>23342.666666666664</v>
      </c>
      <c r="K19" s="6">
        <f t="shared" si="1"/>
        <v>19522.333333333332</v>
      </c>
      <c r="L19" s="6"/>
      <c r="O19" s="95" t="s">
        <v>237</v>
      </c>
      <c r="P19" s="93">
        <f t="shared" si="3"/>
        <v>21525.007253745338</v>
      </c>
      <c r="Q19" s="93">
        <f t="shared" si="2"/>
        <v>22203.336403993839</v>
      </c>
    </row>
    <row r="20" spans="1:17">
      <c r="A20" s="4">
        <v>2022</v>
      </c>
      <c r="B20" s="427">
        <f>Inputs!B14</f>
        <v>18754.666666666668</v>
      </c>
      <c r="C20" s="427">
        <f>Inputs!C14</f>
        <v>1241.1666666666667</v>
      </c>
      <c r="D20" s="427">
        <f>Inputs!D14</f>
        <v>82.25</v>
      </c>
      <c r="E20" s="427">
        <f>Inputs!F14</f>
        <v>4014</v>
      </c>
      <c r="F20" s="427">
        <f>Inputs!E14</f>
        <v>150.66666666666666</v>
      </c>
      <c r="G20" s="427">
        <f>Inputs!G14</f>
        <v>72.416666666666671</v>
      </c>
      <c r="H20" s="427">
        <v>1</v>
      </c>
      <c r="I20" s="428">
        <f t="shared" si="0"/>
        <v>24316.166666666672</v>
      </c>
      <c r="K20" s="6">
        <f t="shared" si="1"/>
        <v>20079.083333333336</v>
      </c>
      <c r="L20" s="6"/>
      <c r="M20" s="294" t="s">
        <v>238</v>
      </c>
      <c r="N20" s="294"/>
      <c r="O20" s="95" t="s">
        <v>239</v>
      </c>
      <c r="P20" s="93">
        <f t="shared" si="3"/>
        <v>21592.429851437388</v>
      </c>
      <c r="Q20" s="93">
        <f t="shared" si="2"/>
        <v>22256.79966814896</v>
      </c>
    </row>
    <row r="21" spans="1:17">
      <c r="A21" s="4">
        <v>2023</v>
      </c>
      <c r="B21" s="429">
        <f>B79</f>
        <v>19908.463839301028</v>
      </c>
      <c r="C21" s="429">
        <f t="shared" ref="C21:H21" si="4">C79</f>
        <v>1275.7732893284576</v>
      </c>
      <c r="D21" s="429">
        <f t="shared" si="4"/>
        <v>85.120889744039346</v>
      </c>
      <c r="E21" s="429">
        <f t="shared" si="4"/>
        <v>4286.7530595146491</v>
      </c>
      <c r="F21" s="429">
        <f t="shared" si="4"/>
        <v>150.7618654442806</v>
      </c>
      <c r="G21" s="429">
        <f t="shared" si="4"/>
        <v>76.366311195505986</v>
      </c>
      <c r="H21" s="429">
        <f t="shared" si="4"/>
        <v>1</v>
      </c>
      <c r="I21" s="428">
        <f>SUM(B21:H21)</f>
        <v>25784.239254527965</v>
      </c>
      <c r="K21" s="6">
        <f t="shared" si="1"/>
        <v>21270.358018373528</v>
      </c>
      <c r="L21" s="6"/>
      <c r="M21" s="96">
        <v>1.8793749120893322E-2</v>
      </c>
      <c r="N21" s="96">
        <f>M21/6</f>
        <v>3.1322915201488868E-3</v>
      </c>
      <c r="O21" s="95" t="s">
        <v>240</v>
      </c>
      <c r="P21" s="93">
        <f t="shared" si="3"/>
        <v>21660.063636360454</v>
      </c>
      <c r="Q21" s="93">
        <f t="shared" si="2"/>
        <v>22310.391666137686</v>
      </c>
    </row>
    <row r="22" spans="1:17">
      <c r="A22" s="4">
        <v>2024</v>
      </c>
      <c r="B22" s="430">
        <f>B21*B39</f>
        <v>20636.220268069355</v>
      </c>
      <c r="C22" s="430">
        <f t="shared" ref="C22:G22" si="5">C21*C39</f>
        <v>1314.0818521795097</v>
      </c>
      <c r="D22" s="430">
        <f t="shared" si="5"/>
        <v>87.089175994942835</v>
      </c>
      <c r="E22" s="430">
        <f t="shared" si="5"/>
        <v>4460.1153969840689</v>
      </c>
      <c r="F22" s="430">
        <f t="shared" si="5"/>
        <v>149.12906411168251</v>
      </c>
      <c r="G22" s="430">
        <f t="shared" si="5"/>
        <v>75.443622648698025</v>
      </c>
      <c r="H22" s="430">
        <f>H21*H39</f>
        <v>1</v>
      </c>
      <c r="I22" s="428">
        <f>SUM(B22:H22)</f>
        <v>26723.079379988259</v>
      </c>
      <c r="K22" s="6">
        <f t="shared" si="1"/>
        <v>22038.391296243808</v>
      </c>
      <c r="L22" s="6"/>
      <c r="M22" s="96">
        <v>2.889471916238949E-2</v>
      </c>
      <c r="N22" s="96">
        <f>M22/12</f>
        <v>2.4078932635324575E-3</v>
      </c>
      <c r="O22" s="97" t="s">
        <v>241</v>
      </c>
      <c r="P22" s="98">
        <f t="shared" si="3"/>
        <v>21727.909270014512</v>
      </c>
      <c r="Q22" s="98">
        <f t="shared" si="2"/>
        <v>22364.112707937351</v>
      </c>
    </row>
    <row r="23" spans="1:17">
      <c r="A23" s="11"/>
      <c r="O23" s="95" t="s">
        <v>63</v>
      </c>
      <c r="P23" s="93">
        <f>AVERAGE(P11:P22)</f>
        <v>21274.99984831527</v>
      </c>
      <c r="Q23" s="93">
        <f>AVERAGE(Q11:Q22)</f>
        <v>22071.000043680924</v>
      </c>
    </row>
    <row r="24" spans="1:17">
      <c r="A24" s="243" t="s">
        <v>242</v>
      </c>
      <c r="B24" s="5"/>
      <c r="C24" s="5"/>
      <c r="D24" s="5"/>
      <c r="E24" s="5"/>
      <c r="F24" s="14"/>
      <c r="G24" s="14"/>
      <c r="H24" s="14"/>
    </row>
    <row r="25" spans="1:17">
      <c r="A25" s="4"/>
      <c r="B25" s="14"/>
      <c r="C25" s="14"/>
      <c r="D25" s="14"/>
      <c r="E25" s="14"/>
      <c r="F25" s="14"/>
      <c r="G25" s="14"/>
      <c r="H25" s="14"/>
    </row>
    <row r="26" spans="1:17">
      <c r="A26" s="244">
        <f>+A12</f>
        <v>2014</v>
      </c>
      <c r="B26" s="245">
        <f t="shared" ref="B26:H26" si="6">B12/B11</f>
        <v>1.0231412923395153</v>
      </c>
      <c r="C26" s="245">
        <f t="shared" si="6"/>
        <v>1.0442921170577379</v>
      </c>
      <c r="D26" s="245">
        <f t="shared" si="6"/>
        <v>1.0024875621890548</v>
      </c>
      <c r="E26" s="245">
        <f t="shared" si="6"/>
        <v>1.0281359906213365</v>
      </c>
      <c r="F26" s="245">
        <f t="shared" si="6"/>
        <v>1.0084325396825395</v>
      </c>
      <c r="G26" s="245">
        <f t="shared" si="6"/>
        <v>0.97422126745435011</v>
      </c>
      <c r="H26" s="245">
        <f t="shared" si="6"/>
        <v>1</v>
      </c>
      <c r="I26" s="245">
        <f t="shared" ref="I26" si="7">I12/I11</f>
        <v>1.0245950946526063</v>
      </c>
    </row>
    <row r="27" spans="1:17">
      <c r="A27" s="4">
        <f t="shared" ref="A27:A34" si="8">+A13</f>
        <v>2015</v>
      </c>
      <c r="B27" s="14">
        <f t="shared" ref="B27:B33" si="9">B13/B12</f>
        <v>1.0242892424329448</v>
      </c>
      <c r="C27" s="14">
        <f t="shared" ref="C27:H34" si="10">C13/C12</f>
        <v>1.0094252293191954</v>
      </c>
      <c r="D27" s="14">
        <f t="shared" si="10"/>
        <v>1.064516129032258</v>
      </c>
      <c r="E27" s="14">
        <f t="shared" si="10"/>
        <v>0.99122006841505117</v>
      </c>
      <c r="F27" s="14">
        <f t="shared" si="10"/>
        <v>0.97835710772257756</v>
      </c>
      <c r="G27" s="14">
        <f t="shared" si="10"/>
        <v>1.0055126791620728</v>
      </c>
      <c r="H27" s="14">
        <f t="shared" si="10"/>
        <v>1</v>
      </c>
      <c r="I27" s="14">
        <f t="shared" ref="I27" si="11">I13/I12</f>
        <v>1.0179957390217544</v>
      </c>
    </row>
    <row r="28" spans="1:17">
      <c r="A28" s="4">
        <f t="shared" si="8"/>
        <v>2016</v>
      </c>
      <c r="B28" s="14">
        <f t="shared" si="9"/>
        <v>1.0228777777154745</v>
      </c>
      <c r="C28" s="14">
        <f t="shared" si="10"/>
        <v>1.0156731971654855</v>
      </c>
      <c r="D28" s="14">
        <f t="shared" si="10"/>
        <v>1.057109557109557</v>
      </c>
      <c r="E28" s="14">
        <f t="shared" si="10"/>
        <v>0.98809386862993209</v>
      </c>
      <c r="F28" s="14">
        <f t="shared" si="10"/>
        <v>1.0020110608345902</v>
      </c>
      <c r="G28" s="14">
        <f t="shared" si="10"/>
        <v>0.99122807017543857</v>
      </c>
      <c r="H28" s="14">
        <f t="shared" si="10"/>
        <v>1</v>
      </c>
      <c r="I28" s="14">
        <f t="shared" ref="I28" si="12">I14/I13</f>
        <v>1.0170353508653118</v>
      </c>
    </row>
    <row r="29" spans="1:17">
      <c r="A29" s="4">
        <f t="shared" si="8"/>
        <v>2017</v>
      </c>
      <c r="B29" s="14">
        <f t="shared" si="9"/>
        <v>1.0282920090560741</v>
      </c>
      <c r="C29" s="14">
        <f t="shared" si="10"/>
        <v>1.0138717885578263</v>
      </c>
      <c r="D29" s="14">
        <f t="shared" si="10"/>
        <v>1.1466372657111357</v>
      </c>
      <c r="E29" s="14">
        <f t="shared" si="10"/>
        <v>1.0384481052447756</v>
      </c>
      <c r="F29" s="14">
        <f t="shared" si="10"/>
        <v>0.97441043652784742</v>
      </c>
      <c r="G29" s="14">
        <f t="shared" si="10"/>
        <v>0.97566371681415931</v>
      </c>
      <c r="H29" s="14">
        <f t="shared" si="10"/>
        <v>1</v>
      </c>
      <c r="I29" s="14">
        <f t="shared" ref="I29" si="13">I15/I14</f>
        <v>1.0288302917826579</v>
      </c>
    </row>
    <row r="30" spans="1:17">
      <c r="A30" s="4">
        <f t="shared" si="8"/>
        <v>2018</v>
      </c>
      <c r="B30" s="14">
        <f t="shared" si="9"/>
        <v>1.0549525535771405</v>
      </c>
      <c r="C30" s="14">
        <f t="shared" si="10"/>
        <v>1.0501943005181349</v>
      </c>
      <c r="D30" s="14">
        <f t="shared" si="10"/>
        <v>1.05</v>
      </c>
      <c r="E30" s="14">
        <f t="shared" si="10"/>
        <v>1.0417052047422855</v>
      </c>
      <c r="F30" s="14">
        <f t="shared" si="10"/>
        <v>0.99794026776519051</v>
      </c>
      <c r="G30" s="14">
        <f t="shared" si="10"/>
        <v>1.0068027210884354</v>
      </c>
      <c r="H30" s="14">
        <f t="shared" si="10"/>
        <v>1</v>
      </c>
      <c r="I30" s="14">
        <f t="shared" ref="I30" si="14">I16/I15</f>
        <v>1.0520696321721013</v>
      </c>
    </row>
    <row r="31" spans="1:17">
      <c r="A31" s="4">
        <f t="shared" si="8"/>
        <v>2019</v>
      </c>
      <c r="B31" s="14">
        <f t="shared" si="9"/>
        <v>1.0487346377749027</v>
      </c>
      <c r="C31" s="14">
        <f t="shared" si="10"/>
        <v>1.0347671908726488</v>
      </c>
      <c r="D31" s="14">
        <f t="shared" si="10"/>
        <v>0.95146520146520142</v>
      </c>
      <c r="E31" s="14">
        <f t="shared" si="10"/>
        <v>1.0676406489627897</v>
      </c>
      <c r="F31" s="14">
        <f t="shared" si="10"/>
        <v>0.99019607843137247</v>
      </c>
      <c r="G31" s="14">
        <f t="shared" si="10"/>
        <v>1.0067567567567568</v>
      </c>
      <c r="H31" s="14">
        <f t="shared" si="10"/>
        <v>1</v>
      </c>
      <c r="I31" s="14">
        <f t="shared" ref="I31" si="15">I17/I16</f>
        <v>1.0497823041233225</v>
      </c>
    </row>
    <row r="32" spans="1:17">
      <c r="A32" s="4">
        <f t="shared" si="8"/>
        <v>2020</v>
      </c>
      <c r="B32" s="14">
        <f t="shared" si="9"/>
        <v>1.0166817647398956</v>
      </c>
      <c r="C32" s="14">
        <f t="shared" si="10"/>
        <v>1.0289056097742681</v>
      </c>
      <c r="D32" s="14">
        <f t="shared" si="10"/>
        <v>0.94802694898941287</v>
      </c>
      <c r="E32" s="14">
        <f t="shared" si="10"/>
        <v>1.0325596633149365</v>
      </c>
      <c r="F32" s="14">
        <f t="shared" si="10"/>
        <v>0.96977592496091725</v>
      </c>
      <c r="G32" s="14">
        <f t="shared" si="10"/>
        <v>0.98210290827740498</v>
      </c>
      <c r="H32" s="14">
        <f t="shared" si="10"/>
        <v>1</v>
      </c>
      <c r="I32" s="14">
        <f t="shared" ref="I32" si="16">I18/I17</f>
        <v>1.0189565217391305</v>
      </c>
    </row>
    <row r="33" spans="1:9">
      <c r="A33" s="4">
        <f t="shared" si="8"/>
        <v>2021</v>
      </c>
      <c r="B33" s="14">
        <f t="shared" si="9"/>
        <v>1.0381337857948567</v>
      </c>
      <c r="C33" s="14">
        <f t="shared" si="10"/>
        <v>1.0312070089059444</v>
      </c>
      <c r="D33" s="14">
        <f t="shared" si="10"/>
        <v>0.98883248730964479</v>
      </c>
      <c r="E33" s="14">
        <f t="shared" si="10"/>
        <v>1.0533522075513144</v>
      </c>
      <c r="F33" s="14">
        <f t="shared" si="10"/>
        <v>0.98495432563138097</v>
      </c>
      <c r="G33" s="14">
        <f t="shared" si="10"/>
        <v>0.97038724373576302</v>
      </c>
      <c r="H33" s="14">
        <f t="shared" si="10"/>
        <v>1</v>
      </c>
      <c r="I33" s="14">
        <f t="shared" ref="I33" si="17">I19/I18</f>
        <v>1.0393226325905147</v>
      </c>
    </row>
    <row r="34" spans="1:9">
      <c r="A34" s="4">
        <f t="shared" si="8"/>
        <v>2022</v>
      </c>
      <c r="B34" s="14">
        <f>B20/B19</f>
        <v>1.0274653031409791</v>
      </c>
      <c r="C34" s="14">
        <f t="shared" si="10"/>
        <v>1.0457800870664233</v>
      </c>
      <c r="D34" s="14">
        <f t="shared" si="10"/>
        <v>1.0133470225872689</v>
      </c>
      <c r="E34" s="14">
        <f t="shared" si="10"/>
        <v>1.1160592228735604</v>
      </c>
      <c r="F34" s="14">
        <f t="shared" si="10"/>
        <v>0.98636115657392243</v>
      </c>
      <c r="G34" s="14">
        <f t="shared" si="10"/>
        <v>1.0199530516431925</v>
      </c>
      <c r="H34" s="14">
        <f t="shared" si="10"/>
        <v>1</v>
      </c>
      <c r="I34" s="14">
        <f t="shared" ref="I34" si="18">I20/I19</f>
        <v>1.0417047466727598</v>
      </c>
    </row>
    <row r="35" spans="1:9">
      <c r="A35" s="240">
        <v>2023</v>
      </c>
      <c r="B35" s="241">
        <f>B59+1</f>
        <v>1.0827334376630151</v>
      </c>
      <c r="C35" s="241">
        <f>C59+1</f>
        <v>1.027027027027027</v>
      </c>
      <c r="D35" s="241">
        <f t="shared" ref="D35:H35" si="19">D59+1</f>
        <v>1.0238095238095237</v>
      </c>
      <c r="E35" s="241">
        <f t="shared" si="19"/>
        <v>1.0529959417522081</v>
      </c>
      <c r="F35" s="241">
        <f t="shared" si="19"/>
        <v>1</v>
      </c>
      <c r="G35" s="241">
        <f t="shared" si="19"/>
        <v>0.94871794871794868</v>
      </c>
      <c r="H35" s="241">
        <f t="shared" si="19"/>
        <v>1</v>
      </c>
      <c r="I35" s="241">
        <f t="shared" ref="I35" si="20">I59+1</f>
        <v>1</v>
      </c>
    </row>
    <row r="36" spans="1:9">
      <c r="A36" s="4"/>
      <c r="B36" s="14"/>
      <c r="C36" s="14"/>
      <c r="D36" s="14"/>
      <c r="E36" s="14"/>
      <c r="F36" s="14"/>
      <c r="G36" s="14"/>
      <c r="H36" s="14"/>
    </row>
    <row r="37" spans="1:9">
      <c r="A37" s="4"/>
      <c r="B37" s="14"/>
      <c r="C37" s="14"/>
      <c r="D37" s="14"/>
      <c r="E37" s="14"/>
      <c r="F37" s="14"/>
      <c r="G37" s="14"/>
      <c r="H37" s="14"/>
    </row>
    <row r="39" spans="1:9">
      <c r="A39" t="s">
        <v>243</v>
      </c>
      <c r="B39" s="47">
        <f>B41</f>
        <v>1.0365551272384801</v>
      </c>
      <c r="C39" s="47">
        <f>C41</f>
        <v>1.0300277197927674</v>
      </c>
      <c r="D39" s="47">
        <f>D41</f>
        <v>1.0231234219569623</v>
      </c>
      <c r="E39" s="47">
        <f>E41</f>
        <v>1.040441409864894</v>
      </c>
      <c r="F39" s="47">
        <f>+F41</f>
        <v>0.98916966616334712</v>
      </c>
      <c r="G39" s="47">
        <f>+G41</f>
        <v>0.9879175970088987</v>
      </c>
      <c r="H39" s="47">
        <f>+H41</f>
        <v>1</v>
      </c>
      <c r="I39" s="38" t="s">
        <v>244</v>
      </c>
    </row>
    <row r="40" spans="1:9">
      <c r="B40" s="15"/>
      <c r="C40" s="15"/>
      <c r="D40" s="15"/>
      <c r="E40" s="15"/>
      <c r="F40" s="15"/>
      <c r="G40" s="15"/>
      <c r="H40" s="15"/>
    </row>
    <row r="41" spans="1:9">
      <c r="A41" t="s">
        <v>245</v>
      </c>
      <c r="B41" s="15">
        <f>IF(B20="",0,GEOMEAN(B26:B35))</f>
        <v>1.0365551272384801</v>
      </c>
      <c r="C41" s="15">
        <f t="shared" ref="C41:H41" si="21">IF(C20="",0,GEOMEAN(C26:C35))</f>
        <v>1.0300277197927674</v>
      </c>
      <c r="D41" s="15">
        <f t="shared" si="21"/>
        <v>1.0231234219569623</v>
      </c>
      <c r="E41" s="15">
        <f t="shared" si="21"/>
        <v>1.040441409864894</v>
      </c>
      <c r="F41" s="15">
        <f t="shared" si="21"/>
        <v>0.98916966616334712</v>
      </c>
      <c r="G41" s="15">
        <f t="shared" si="21"/>
        <v>0.9879175970088987</v>
      </c>
      <c r="H41" s="15">
        <f t="shared" si="21"/>
        <v>1</v>
      </c>
    </row>
    <row r="42" spans="1:9">
      <c r="A42" s="4"/>
      <c r="B42" s="15"/>
      <c r="C42" s="15"/>
      <c r="D42" s="15"/>
      <c r="E42" s="15"/>
      <c r="F42" s="15"/>
      <c r="G42" s="15"/>
      <c r="H42" s="15"/>
    </row>
    <row r="43" spans="1:9">
      <c r="A43" t="s">
        <v>246</v>
      </c>
      <c r="B43" s="15">
        <f>AVERAGE(B41,C41,D41)</f>
        <v>1.0299020896627364</v>
      </c>
      <c r="C43"/>
      <c r="D43"/>
      <c r="E43"/>
      <c r="F43"/>
      <c r="G43"/>
      <c r="H43"/>
    </row>
    <row r="44" spans="1:9">
      <c r="A44" s="3"/>
      <c r="B44"/>
      <c r="C44"/>
      <c r="D44"/>
      <c r="E44"/>
      <c r="F44"/>
      <c r="G44"/>
      <c r="H44"/>
    </row>
    <row r="45" spans="1:9">
      <c r="A45" s="3"/>
      <c r="B45"/>
      <c r="C45"/>
      <c r="D45"/>
      <c r="E45"/>
      <c r="F45"/>
      <c r="G45"/>
      <c r="H45"/>
    </row>
    <row r="46" spans="1:9">
      <c r="A46" s="233" t="s">
        <v>247</v>
      </c>
      <c r="B46"/>
      <c r="C46"/>
      <c r="D46"/>
      <c r="E46"/>
      <c r="F46"/>
      <c r="G46"/>
      <c r="H46"/>
    </row>
    <row r="47" spans="1:9" ht="25.5">
      <c r="A47" s="38"/>
      <c r="B47" s="234" t="s">
        <v>12</v>
      </c>
      <c r="C47" s="234" t="s">
        <v>13</v>
      </c>
      <c r="D47" s="234" t="s">
        <v>134</v>
      </c>
      <c r="E47" s="234" t="s">
        <v>16</v>
      </c>
      <c r="F47" s="234" t="s">
        <v>15</v>
      </c>
      <c r="G47" s="234" t="s">
        <v>221</v>
      </c>
      <c r="H47" s="234" t="s">
        <v>18</v>
      </c>
    </row>
    <row r="48" spans="1:9">
      <c r="A48" s="236">
        <v>44896</v>
      </c>
      <c r="B48" s="242">
        <f>Inputs!G143</f>
        <v>19170</v>
      </c>
      <c r="C48" s="242">
        <f>Inputs!I143</f>
        <v>1258</v>
      </c>
      <c r="D48" s="242">
        <f>Inputs!L143</f>
        <v>84</v>
      </c>
      <c r="E48" s="242">
        <f>Inputs!R143</f>
        <v>4189</v>
      </c>
      <c r="F48" s="242">
        <f>Inputs!O143</f>
        <v>151</v>
      </c>
      <c r="G48" s="242">
        <f>Inputs!U143</f>
        <v>78</v>
      </c>
      <c r="H48" s="242">
        <v>1</v>
      </c>
    </row>
    <row r="49" spans="1:8">
      <c r="A49" s="95" t="s">
        <v>230</v>
      </c>
      <c r="B49" s="93">
        <f>Inputs!G144</f>
        <v>19355</v>
      </c>
      <c r="C49" s="93">
        <f>Inputs!I144</f>
        <v>1258</v>
      </c>
      <c r="D49" s="93">
        <f>Inputs!L144</f>
        <v>84</v>
      </c>
      <c r="E49" s="93">
        <f>Inputs!R144</f>
        <v>4185</v>
      </c>
      <c r="F49" s="93">
        <f>Inputs!O144</f>
        <v>151</v>
      </c>
      <c r="G49" s="93">
        <f>Inputs!U144</f>
        <v>78</v>
      </c>
      <c r="H49" s="93">
        <v>1</v>
      </c>
    </row>
    <row r="50" spans="1:8">
      <c r="A50" s="95" t="s">
        <v>231</v>
      </c>
      <c r="B50" s="93">
        <f>Inputs!G145</f>
        <v>19470</v>
      </c>
      <c r="C50" s="93">
        <f>Inputs!I145</f>
        <v>1259</v>
      </c>
      <c r="D50" s="93">
        <f>Inputs!L145</f>
        <v>84</v>
      </c>
      <c r="E50" s="93">
        <f>Inputs!R145</f>
        <v>4185</v>
      </c>
      <c r="F50" s="93">
        <f>Inputs!O145</f>
        <v>151</v>
      </c>
      <c r="G50" s="93">
        <f>Inputs!U145</f>
        <v>78</v>
      </c>
      <c r="H50" s="93">
        <v>1</v>
      </c>
    </row>
    <row r="51" spans="1:8">
      <c r="A51" s="95" t="s">
        <v>232</v>
      </c>
      <c r="B51" s="93">
        <f>Inputs!G146</f>
        <v>19601</v>
      </c>
      <c r="C51" s="93">
        <f>Inputs!I146</f>
        <v>1261</v>
      </c>
      <c r="D51" s="93">
        <f>Inputs!L146</f>
        <v>85</v>
      </c>
      <c r="E51" s="93">
        <f>Inputs!R146</f>
        <v>4185</v>
      </c>
      <c r="F51" s="93">
        <f>Inputs!O146</f>
        <v>151</v>
      </c>
      <c r="G51" s="93">
        <f>Inputs!U146</f>
        <v>78</v>
      </c>
      <c r="H51" s="93">
        <v>1</v>
      </c>
    </row>
    <row r="52" spans="1:8">
      <c r="A52" s="95" t="s">
        <v>233</v>
      </c>
      <c r="B52" s="93">
        <f>Inputs!G147</f>
        <v>19703</v>
      </c>
      <c r="C52" s="93">
        <f>Inputs!I147</f>
        <v>1269</v>
      </c>
      <c r="D52" s="93">
        <f>Inputs!L147</f>
        <v>85</v>
      </c>
      <c r="E52" s="93">
        <f>Inputs!R147</f>
        <v>4240</v>
      </c>
      <c r="F52" s="93">
        <f>Inputs!O147</f>
        <v>151</v>
      </c>
      <c r="G52" s="93">
        <f>Inputs!U147</f>
        <v>76</v>
      </c>
      <c r="H52" s="93">
        <v>1</v>
      </c>
    </row>
    <row r="53" spans="1:8">
      <c r="A53" s="95" t="s">
        <v>155</v>
      </c>
      <c r="B53" s="93">
        <f>Inputs!G148</f>
        <v>19748</v>
      </c>
      <c r="C53" s="93">
        <f>Inputs!I148</f>
        <v>1270</v>
      </c>
      <c r="D53" s="93">
        <f>Inputs!L148</f>
        <v>85</v>
      </c>
      <c r="E53" s="93">
        <f>Inputs!R148</f>
        <v>4240</v>
      </c>
      <c r="F53" s="93">
        <f>Inputs!O148</f>
        <v>151</v>
      </c>
      <c r="G53" s="93">
        <f>Inputs!U148</f>
        <v>76</v>
      </c>
      <c r="H53" s="93">
        <v>1</v>
      </c>
    </row>
    <row r="54" spans="1:8">
      <c r="A54" s="97" t="s">
        <v>234</v>
      </c>
      <c r="B54" s="98">
        <f>Inputs!G149</f>
        <v>19963</v>
      </c>
      <c r="C54" s="98">
        <f>Inputs!I149</f>
        <v>1275</v>
      </c>
      <c r="D54" s="98">
        <f>Inputs!L149</f>
        <v>85</v>
      </c>
      <c r="E54" s="98">
        <f>Inputs!R149</f>
        <v>4300</v>
      </c>
      <c r="F54" s="98">
        <f>Inputs!O149</f>
        <v>151</v>
      </c>
      <c r="G54" s="98">
        <f>Inputs!U149</f>
        <v>76</v>
      </c>
      <c r="H54" s="98">
        <v>1</v>
      </c>
    </row>
    <row r="55" spans="1:8">
      <c r="A55" s="431" t="s">
        <v>248</v>
      </c>
      <c r="B55" s="432">
        <f>AVERAGE(B49:B54)</f>
        <v>19640</v>
      </c>
      <c r="C55" s="432">
        <f t="shared" ref="C55:H55" si="22">AVERAGE(C49:C54)</f>
        <v>1265.3333333333333</v>
      </c>
      <c r="D55" s="432">
        <f t="shared" si="22"/>
        <v>84.666666666666671</v>
      </c>
      <c r="E55" s="432">
        <f t="shared" si="22"/>
        <v>4222.5</v>
      </c>
      <c r="F55" s="432">
        <f t="shared" si="22"/>
        <v>151</v>
      </c>
      <c r="G55" s="432">
        <f t="shared" si="22"/>
        <v>77</v>
      </c>
      <c r="H55" s="432">
        <f t="shared" si="22"/>
        <v>1</v>
      </c>
    </row>
    <row r="56" spans="1:8">
      <c r="A56" s="237" t="s">
        <v>249</v>
      </c>
      <c r="B56" s="93">
        <f>B54-B48</f>
        <v>793</v>
      </c>
      <c r="C56" s="93">
        <f t="shared" ref="C56:H56" si="23">C54-C48</f>
        <v>17</v>
      </c>
      <c r="D56" s="93">
        <f t="shared" si="23"/>
        <v>1</v>
      </c>
      <c r="E56" s="93">
        <f t="shared" si="23"/>
        <v>111</v>
      </c>
      <c r="F56" s="93">
        <f t="shared" si="23"/>
        <v>0</v>
      </c>
      <c r="G56" s="93">
        <f t="shared" si="23"/>
        <v>-2</v>
      </c>
      <c r="H56" s="93">
        <f t="shared" si="23"/>
        <v>0</v>
      </c>
    </row>
    <row r="57" spans="1:8">
      <c r="A57" s="237"/>
      <c r="B57" s="235"/>
      <c r="C57" s="235"/>
      <c r="D57" s="235"/>
      <c r="E57" s="235"/>
      <c r="F57" s="235"/>
      <c r="G57" s="235"/>
      <c r="H57" s="235"/>
    </row>
    <row r="58" spans="1:8">
      <c r="A58" s="237" t="s">
        <v>250</v>
      </c>
      <c r="B58" s="238">
        <f>B56/B48</f>
        <v>4.1366718831507561E-2</v>
      </c>
      <c r="C58" s="238">
        <f t="shared" ref="C58:H58" si="24">C56/C48</f>
        <v>1.3513513513513514E-2</v>
      </c>
      <c r="D58" s="238">
        <f>D56/D48</f>
        <v>1.1904761904761904E-2</v>
      </c>
      <c r="E58" s="238">
        <f t="shared" si="24"/>
        <v>2.6497970876104081E-2</v>
      </c>
      <c r="F58" s="238">
        <f t="shared" si="24"/>
        <v>0</v>
      </c>
      <c r="G58" s="238">
        <f t="shared" si="24"/>
        <v>-2.564102564102564E-2</v>
      </c>
      <c r="H58" s="238">
        <f t="shared" si="24"/>
        <v>0</v>
      </c>
    </row>
    <row r="59" spans="1:8">
      <c r="A59" s="237" t="s">
        <v>251</v>
      </c>
      <c r="B59" s="238">
        <f t="shared" ref="B59:H59" si="25">(B58/6)*12</f>
        <v>8.2733437663015122E-2</v>
      </c>
      <c r="C59" s="238">
        <f t="shared" si="25"/>
        <v>2.7027027027027029E-2</v>
      </c>
      <c r="D59" s="238">
        <f t="shared" si="25"/>
        <v>2.3809523809523808E-2</v>
      </c>
      <c r="E59" s="238">
        <f t="shared" si="25"/>
        <v>5.2995941752208162E-2</v>
      </c>
      <c r="F59" s="238">
        <f t="shared" si="25"/>
        <v>0</v>
      </c>
      <c r="G59" s="238">
        <f t="shared" si="25"/>
        <v>-5.128205128205128E-2</v>
      </c>
      <c r="H59" s="238">
        <f t="shared" si="25"/>
        <v>0</v>
      </c>
    </row>
    <row r="60" spans="1:8">
      <c r="A60" s="3"/>
      <c r="B60"/>
      <c r="C60"/>
      <c r="D60"/>
      <c r="E60"/>
      <c r="F60"/>
      <c r="G60"/>
      <c r="H60"/>
    </row>
    <row r="61" spans="1:8">
      <c r="A61" s="237" t="s">
        <v>252</v>
      </c>
      <c r="B61" s="238">
        <f t="shared" ref="B61:H61" si="26">(B39-1)/12</f>
        <v>3.0462606032066741E-3</v>
      </c>
      <c r="C61" s="238">
        <f t="shared" si="26"/>
        <v>2.5023099827306181E-3</v>
      </c>
      <c r="D61" s="238">
        <f t="shared" si="26"/>
        <v>1.9269518297468553E-3</v>
      </c>
      <c r="E61" s="238">
        <f t="shared" si="26"/>
        <v>3.3701174887411645E-3</v>
      </c>
      <c r="F61" s="238">
        <f t="shared" si="26"/>
        <v>-9.0252781972107365E-4</v>
      </c>
      <c r="G61" s="238">
        <f t="shared" si="26"/>
        <v>-1.0068669159251087E-3</v>
      </c>
      <c r="H61" s="238">
        <f t="shared" si="26"/>
        <v>0</v>
      </c>
    </row>
    <row r="62" spans="1:8">
      <c r="A62" s="237" t="s">
        <v>253</v>
      </c>
      <c r="B62" s="93">
        <f t="shared" ref="B62:H62" si="27">B55*(1+(B61*6))</f>
        <v>19998.971349481875</v>
      </c>
      <c r="C62" s="93">
        <f t="shared" si="27"/>
        <v>1284.3308707222241</v>
      </c>
      <c r="D62" s="93">
        <f t="shared" si="27"/>
        <v>85.645558196178072</v>
      </c>
      <c r="E62" s="93">
        <f t="shared" si="27"/>
        <v>4307.8819265772572</v>
      </c>
      <c r="F62" s="93">
        <f t="shared" si="27"/>
        <v>150.18230979533271</v>
      </c>
      <c r="G62" s="93">
        <f t="shared" si="27"/>
        <v>76.534827484842594</v>
      </c>
      <c r="H62" s="93">
        <f t="shared" si="27"/>
        <v>1</v>
      </c>
    </row>
    <row r="63" spans="1:8">
      <c r="A63" s="239"/>
      <c r="B63" s="32"/>
      <c r="C63" s="32"/>
      <c r="D63" s="32"/>
      <c r="E63" s="32"/>
      <c r="F63" s="32"/>
      <c r="G63" s="32"/>
      <c r="H63" s="32"/>
    </row>
    <row r="64" spans="1:8">
      <c r="A64" s="239" t="s">
        <v>254</v>
      </c>
      <c r="B64" s="93"/>
      <c r="C64" s="93"/>
      <c r="D64" s="93"/>
      <c r="E64" s="93"/>
      <c r="F64" s="93"/>
      <c r="G64" s="93"/>
      <c r="H64" s="93"/>
    </row>
    <row r="65" spans="1:11">
      <c r="B65"/>
      <c r="C65"/>
      <c r="D65"/>
      <c r="E65"/>
      <c r="F65"/>
      <c r="G65"/>
      <c r="H65"/>
    </row>
    <row r="66" spans="1:11">
      <c r="A66" s="95" t="s">
        <v>230</v>
      </c>
      <c r="B66" s="246">
        <f t="shared" ref="B66:H71" si="28">B49</f>
        <v>19355</v>
      </c>
      <c r="C66" s="246">
        <f t="shared" si="28"/>
        <v>1258</v>
      </c>
      <c r="D66" s="246">
        <f t="shared" si="28"/>
        <v>84</v>
      </c>
      <c r="E66" s="246">
        <f t="shared" si="28"/>
        <v>4185</v>
      </c>
      <c r="F66" s="246">
        <f t="shared" si="28"/>
        <v>151</v>
      </c>
      <c r="G66" s="246">
        <f t="shared" si="28"/>
        <v>78</v>
      </c>
      <c r="H66" s="246">
        <f t="shared" si="28"/>
        <v>1</v>
      </c>
      <c r="K66" s="6"/>
    </row>
    <row r="67" spans="1:11">
      <c r="A67" s="95" t="s">
        <v>231</v>
      </c>
      <c r="B67" s="246">
        <f t="shared" si="28"/>
        <v>19470</v>
      </c>
      <c r="C67" s="246">
        <f t="shared" si="28"/>
        <v>1259</v>
      </c>
      <c r="D67" s="246">
        <f t="shared" si="28"/>
        <v>84</v>
      </c>
      <c r="E67" s="246">
        <f t="shared" si="28"/>
        <v>4185</v>
      </c>
      <c r="F67" s="246">
        <f t="shared" si="28"/>
        <v>151</v>
      </c>
      <c r="G67" s="246">
        <f t="shared" si="28"/>
        <v>78</v>
      </c>
      <c r="H67" s="246">
        <f t="shared" si="28"/>
        <v>1</v>
      </c>
      <c r="K67" s="6"/>
    </row>
    <row r="68" spans="1:11">
      <c r="A68" s="95" t="s">
        <v>232</v>
      </c>
      <c r="B68" s="246">
        <f t="shared" si="28"/>
        <v>19601</v>
      </c>
      <c r="C68" s="246">
        <f t="shared" si="28"/>
        <v>1261</v>
      </c>
      <c r="D68" s="246">
        <f t="shared" si="28"/>
        <v>85</v>
      </c>
      <c r="E68" s="246">
        <f t="shared" si="28"/>
        <v>4185</v>
      </c>
      <c r="F68" s="246">
        <f t="shared" si="28"/>
        <v>151</v>
      </c>
      <c r="G68" s="246">
        <f t="shared" si="28"/>
        <v>78</v>
      </c>
      <c r="H68" s="246">
        <f t="shared" si="28"/>
        <v>1</v>
      </c>
      <c r="K68" s="6"/>
    </row>
    <row r="69" spans="1:11">
      <c r="A69" s="95" t="s">
        <v>233</v>
      </c>
      <c r="B69" s="246">
        <f t="shared" si="28"/>
        <v>19703</v>
      </c>
      <c r="C69" s="246">
        <f t="shared" si="28"/>
        <v>1269</v>
      </c>
      <c r="D69" s="246">
        <f t="shared" si="28"/>
        <v>85</v>
      </c>
      <c r="E69" s="246">
        <f t="shared" si="28"/>
        <v>4240</v>
      </c>
      <c r="F69" s="246">
        <f t="shared" si="28"/>
        <v>151</v>
      </c>
      <c r="G69" s="246">
        <f t="shared" si="28"/>
        <v>76</v>
      </c>
      <c r="H69" s="246">
        <f t="shared" si="28"/>
        <v>1</v>
      </c>
      <c r="K69" s="6"/>
    </row>
    <row r="70" spans="1:11">
      <c r="A70" s="95" t="s">
        <v>155</v>
      </c>
      <c r="B70" s="246">
        <f t="shared" si="28"/>
        <v>19748</v>
      </c>
      <c r="C70" s="246">
        <f t="shared" si="28"/>
        <v>1270</v>
      </c>
      <c r="D70" s="246">
        <f t="shared" si="28"/>
        <v>85</v>
      </c>
      <c r="E70" s="246">
        <f t="shared" si="28"/>
        <v>4240</v>
      </c>
      <c r="F70" s="246">
        <f t="shared" si="28"/>
        <v>151</v>
      </c>
      <c r="G70" s="246">
        <f t="shared" si="28"/>
        <v>76</v>
      </c>
      <c r="H70" s="246">
        <f t="shared" si="28"/>
        <v>1</v>
      </c>
      <c r="K70" s="6"/>
    </row>
    <row r="71" spans="1:11">
      <c r="A71" s="95" t="s">
        <v>234</v>
      </c>
      <c r="B71" s="246">
        <f t="shared" si="28"/>
        <v>19963</v>
      </c>
      <c r="C71" s="246">
        <f t="shared" si="28"/>
        <v>1275</v>
      </c>
      <c r="D71" s="246">
        <f t="shared" si="28"/>
        <v>85</v>
      </c>
      <c r="E71" s="246">
        <f t="shared" si="28"/>
        <v>4300</v>
      </c>
      <c r="F71" s="246">
        <f t="shared" si="28"/>
        <v>151</v>
      </c>
      <c r="G71" s="246">
        <f t="shared" si="28"/>
        <v>76</v>
      </c>
      <c r="H71" s="246">
        <f t="shared" si="28"/>
        <v>1</v>
      </c>
      <c r="K71" s="6"/>
    </row>
    <row r="72" spans="1:11">
      <c r="A72" s="95" t="s">
        <v>235</v>
      </c>
      <c r="B72" s="6">
        <f>B71*(1+B$61)</f>
        <v>20023.812500421816</v>
      </c>
      <c r="C72" s="6">
        <f t="shared" ref="C72:H77" si="29">C71*(1+C$61)</f>
        <v>1278.1904452279816</v>
      </c>
      <c r="D72" s="6">
        <f>D71*(1+D$61)</f>
        <v>85.163790905528487</v>
      </c>
      <c r="E72" s="6">
        <f t="shared" si="29"/>
        <v>4314.4915052015876</v>
      </c>
      <c r="F72" s="6">
        <f t="shared" si="29"/>
        <v>150.86371829922211</v>
      </c>
      <c r="G72" s="6">
        <f t="shared" si="29"/>
        <v>75.923478114389695</v>
      </c>
      <c r="H72" s="6">
        <f t="shared" si="29"/>
        <v>1</v>
      </c>
      <c r="K72" s="6"/>
    </row>
    <row r="73" spans="1:11">
      <c r="A73" s="95" t="s">
        <v>236</v>
      </c>
      <c r="B73" s="6">
        <f t="shared" ref="B73:B77" si="30">B72*(1+B$61)</f>
        <v>20084.810251567847</v>
      </c>
      <c r="C73" s="6">
        <f t="shared" si="29"/>
        <v>1281.3888739389065</v>
      </c>
      <c r="D73" s="6">
        <f t="shared" si="29"/>
        <v>85.327897428242082</v>
      </c>
      <c r="E73" s="6">
        <f t="shared" si="29"/>
        <v>4329.0318484782929</v>
      </c>
      <c r="F73" s="6">
        <f t="shared" si="29"/>
        <v>150.72755959647048</v>
      </c>
      <c r="G73" s="6">
        <f t="shared" si="29"/>
        <v>75.847033276134354</v>
      </c>
      <c r="H73" s="6">
        <f t="shared" si="29"/>
        <v>1</v>
      </c>
      <c r="K73" s="6"/>
    </row>
    <row r="74" spans="1:11">
      <c r="A74" s="95" t="s">
        <v>237</v>
      </c>
      <c r="B74" s="6">
        <f t="shared" si="30"/>
        <v>20145.993817760082</v>
      </c>
      <c r="C74" s="6">
        <f t="shared" si="29"/>
        <v>1284.5953061099237</v>
      </c>
      <c r="D74" s="6">
        <f t="shared" si="29"/>
        <v>85.492320176319893</v>
      </c>
      <c r="E74" s="6">
        <f t="shared" si="29"/>
        <v>4343.6211944201677</v>
      </c>
      <c r="F74" s="6">
        <f t="shared" si="29"/>
        <v>150.591523780736</v>
      </c>
      <c r="G74" s="6">
        <f t="shared" si="29"/>
        <v>75.770665407657546</v>
      </c>
      <c r="H74" s="6">
        <f t="shared" si="29"/>
        <v>1</v>
      </c>
      <c r="K74" s="6"/>
    </row>
    <row r="75" spans="1:11">
      <c r="A75" s="95" t="s">
        <v>239</v>
      </c>
      <c r="B75" s="6">
        <f t="shared" si="30"/>
        <v>20207.363765039569</v>
      </c>
      <c r="C75" s="6">
        <f t="shared" si="29"/>
        <v>1287.8097617681715</v>
      </c>
      <c r="D75" s="6">
        <f t="shared" si="29"/>
        <v>85.657059759112954</v>
      </c>
      <c r="E75" s="6">
        <f t="shared" si="29"/>
        <v>4358.2597081719505</v>
      </c>
      <c r="F75" s="6">
        <f t="shared" si="29"/>
        <v>150.45561074110969</v>
      </c>
      <c r="G75" s="6">
        <f t="shared" si="29"/>
        <v>75.694374431460943</v>
      </c>
      <c r="H75" s="6">
        <f t="shared" si="29"/>
        <v>1</v>
      </c>
      <c r="K75" s="6"/>
    </row>
    <row r="76" spans="1:11">
      <c r="A76" s="95" t="s">
        <v>240</v>
      </c>
      <c r="B76" s="6">
        <f t="shared" si="30"/>
        <v>20268.920661171676</v>
      </c>
      <c r="C76" s="6">
        <f t="shared" si="29"/>
        <v>1291.0322609909019</v>
      </c>
      <c r="D76" s="6">
        <f t="shared" si="29"/>
        <v>85.822116787146513</v>
      </c>
      <c r="E76" s="6">
        <f t="shared" si="29"/>
        <v>4372.9475554349374</v>
      </c>
      <c r="F76" s="6">
        <f t="shared" si="29"/>
        <v>150.31982036678272</v>
      </c>
      <c r="G76" s="6">
        <f t="shared" si="29"/>
        <v>75.618160270124264</v>
      </c>
      <c r="H76" s="6">
        <f t="shared" si="29"/>
        <v>1</v>
      </c>
      <c r="K76" s="6"/>
    </row>
    <row r="77" spans="1:11">
      <c r="A77" s="95" t="s">
        <v>241</v>
      </c>
      <c r="B77" s="6">
        <f t="shared" si="30"/>
        <v>20330.665075651326</v>
      </c>
      <c r="C77" s="6">
        <f t="shared" si="29"/>
        <v>1294.2628239056066</v>
      </c>
      <c r="D77" s="6">
        <f t="shared" si="29"/>
        <v>85.987491872122263</v>
      </c>
      <c r="E77" s="6">
        <f t="shared" si="29"/>
        <v>4387.6849024688572</v>
      </c>
      <c r="F77" s="6">
        <f t="shared" si="29"/>
        <v>150.18415254704621</v>
      </c>
      <c r="G77" s="6">
        <f t="shared" si="29"/>
        <v>75.542022846305159</v>
      </c>
      <c r="H77" s="6">
        <f t="shared" si="29"/>
        <v>1</v>
      </c>
      <c r="K77" s="6"/>
    </row>
    <row r="78" spans="1:11">
      <c r="B78" s="1"/>
      <c r="C78" s="1"/>
      <c r="D78" s="1"/>
      <c r="E78" s="1"/>
      <c r="F78" s="1"/>
      <c r="G78" s="1"/>
      <c r="H78" s="1"/>
    </row>
    <row r="79" spans="1:11">
      <c r="A79" s="232" t="s">
        <v>254</v>
      </c>
      <c r="B79" s="6">
        <f>AVERAGE(B66:B77)</f>
        <v>19908.463839301028</v>
      </c>
      <c r="C79" s="6">
        <f>AVERAGE(C66:C77)</f>
        <v>1275.7732893284576</v>
      </c>
      <c r="D79" s="6">
        <f t="shared" ref="D79:H79" si="31">AVERAGE(D66:D77)</f>
        <v>85.120889744039346</v>
      </c>
      <c r="E79" s="6">
        <f t="shared" si="31"/>
        <v>4286.7530595146491</v>
      </c>
      <c r="F79" s="6">
        <f t="shared" si="31"/>
        <v>150.7618654442806</v>
      </c>
      <c r="G79" s="6">
        <f t="shared" si="31"/>
        <v>76.366311195505986</v>
      </c>
      <c r="H79" s="6">
        <f t="shared" si="31"/>
        <v>1</v>
      </c>
      <c r="K79" s="93"/>
    </row>
    <row r="80" spans="1:11">
      <c r="B80"/>
      <c r="C80"/>
      <c r="D80"/>
      <c r="E80"/>
      <c r="F80"/>
      <c r="G80"/>
      <c r="H80"/>
    </row>
    <row r="81" spans="2:8">
      <c r="B81" s="32"/>
      <c r="C81"/>
      <c r="D81"/>
      <c r="E81"/>
      <c r="F81"/>
      <c r="G81"/>
      <c r="H81"/>
    </row>
    <row r="82" spans="2:8">
      <c r="B82"/>
      <c r="C82"/>
      <c r="D82"/>
      <c r="E82"/>
      <c r="F82"/>
      <c r="G82"/>
      <c r="H82"/>
    </row>
    <row r="83" spans="2:8">
      <c r="B83"/>
      <c r="C83"/>
      <c r="D83"/>
      <c r="E83"/>
      <c r="F83"/>
      <c r="G83"/>
      <c r="H83"/>
    </row>
    <row r="84" spans="2:8">
      <c r="B84"/>
      <c r="C84"/>
      <c r="D84"/>
      <c r="E84"/>
      <c r="F84"/>
      <c r="G84"/>
      <c r="H84"/>
    </row>
    <row r="85" spans="2:8">
      <c r="B85"/>
      <c r="C85"/>
      <c r="D85"/>
      <c r="E85"/>
      <c r="F85"/>
      <c r="G85"/>
      <c r="H85"/>
    </row>
    <row r="86" spans="2:8">
      <c r="B86"/>
      <c r="C86"/>
      <c r="D86"/>
      <c r="E86"/>
      <c r="F86"/>
      <c r="G86"/>
      <c r="H86"/>
    </row>
    <row r="87" spans="2:8">
      <c r="B87"/>
      <c r="C87"/>
      <c r="D87"/>
      <c r="E87"/>
      <c r="F87"/>
      <c r="G87"/>
      <c r="H87"/>
    </row>
  </sheetData>
  <mergeCells count="2">
    <mergeCell ref="B1:G1"/>
    <mergeCell ref="M20:N20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  <ignoredErrors>
    <ignoredError sqref="H5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N56"/>
  <sheetViews>
    <sheetView workbookViewId="0">
      <selection activeCell="F16" sqref="F16"/>
    </sheetView>
  </sheetViews>
  <sheetFormatPr defaultRowHeight="12.75"/>
  <cols>
    <col min="1" max="1" width="11" customWidth="1"/>
    <col min="2" max="2" width="14.140625" style="6" bestFit="1" customWidth="1"/>
    <col min="3" max="5" width="12.5703125" style="6" customWidth="1"/>
    <col min="6" max="6" width="13.42578125" customWidth="1"/>
    <col min="7" max="7" width="13" customWidth="1"/>
    <col min="8" max="8" width="13.42578125" customWidth="1"/>
    <col min="9" max="9" width="12.5703125" bestFit="1" customWidth="1"/>
    <col min="11" max="11" width="12.42578125" style="6" bestFit="1" customWidth="1"/>
    <col min="12" max="12" width="13.42578125" bestFit="1" customWidth="1"/>
    <col min="13" max="14" width="9.140625" style="6" customWidth="1"/>
  </cols>
  <sheetData>
    <row r="1" spans="1:11" ht="38.25">
      <c r="B1" s="87" t="str">
        <f>'Rate Class Customer Model'!D2</f>
        <v>General Service &gt; 50 to 4999 kW</v>
      </c>
      <c r="C1" s="87" t="str">
        <f>'Rate Class Customer Model'!E2</f>
        <v>Street Lights</v>
      </c>
      <c r="D1" s="87" t="str">
        <f>'Rate Class Customer Model'!F2</f>
        <v>Sentinel Lights</v>
      </c>
      <c r="E1" s="87" t="s">
        <v>18</v>
      </c>
      <c r="F1" s="46" t="s">
        <v>19</v>
      </c>
      <c r="K1" s="87"/>
    </row>
    <row r="2" spans="1:11">
      <c r="A2" s="433">
        <f>+'Rate Class Customer Model'!A11</f>
        <v>2013</v>
      </c>
      <c r="B2" s="427">
        <f>SUMIF(Inputs!A$24:A$143,'Rate Class Load Model'!A2,Inputs!K$24:K$143)-E2</f>
        <v>139350.9</v>
      </c>
      <c r="C2" s="427">
        <f>SUMIF(Inputs!A$24:A$143,'Rate Class Load Model'!A2,Inputs!Q$24:Q$143)</f>
        <v>4529.5899999999992</v>
      </c>
      <c r="D2" s="427">
        <f>SUMIF(Inputs!A$24:A$143,'Rate Class Load Model'!A2,Inputs!N$24:N$143)</f>
        <v>307.45</v>
      </c>
      <c r="E2" s="427">
        <f>SUMIF(Inputs!A$24:A$143,'Rate Class Load Model'!A2,Inputs!W$24:W$143)</f>
        <v>2528.6999999999998</v>
      </c>
      <c r="F2" s="428">
        <f>SUM(B2:E2)</f>
        <v>146716.64000000001</v>
      </c>
      <c r="G2" s="38" t="s">
        <v>255</v>
      </c>
    </row>
    <row r="3" spans="1:11">
      <c r="A3" s="433">
        <f>+'Rate Class Customer Model'!A12</f>
        <v>2014</v>
      </c>
      <c r="B3" s="427">
        <f>SUMIF(Inputs!A$24:A$143,'Rate Class Load Model'!A3,Inputs!K$24:K$143)-E3</f>
        <v>133206.71</v>
      </c>
      <c r="C3" s="427">
        <f>SUMIF(Inputs!A$24:A$143,'Rate Class Load Model'!A3,Inputs!Q$24:Q$143)</f>
        <v>4593.4099999999989</v>
      </c>
      <c r="D3" s="427">
        <f>SUMIF(Inputs!A$24:A$143,'Rate Class Load Model'!A3,Inputs!N$24:N$143)</f>
        <v>301.04250000000002</v>
      </c>
      <c r="E3" s="427">
        <f>SUMIF(Inputs!A$24:A$143,'Rate Class Load Model'!A3,Inputs!W$24:W$143)</f>
        <v>2377.5000000000005</v>
      </c>
      <c r="F3" s="428">
        <f t="shared" ref="F3:F12" si="0">SUM(B3:E3)</f>
        <v>140478.66250000001</v>
      </c>
    </row>
    <row r="4" spans="1:11">
      <c r="A4" s="433">
        <f>+'Rate Class Customer Model'!A13</f>
        <v>2015</v>
      </c>
      <c r="B4" s="427">
        <f>SUMIF(Inputs!A$24:A$143,'Rate Class Load Model'!A4,Inputs!K$24:K$143)-E4</f>
        <v>140261.69999999998</v>
      </c>
      <c r="C4" s="427">
        <f>SUMIF(Inputs!A$24:A$143,'Rate Class Load Model'!A4,Inputs!Q$24:Q$143)</f>
        <v>2886.3099999999995</v>
      </c>
      <c r="D4" s="427">
        <f>SUMIF(Inputs!A$24:A$143,'Rate Class Load Model'!A4,Inputs!N$24:N$143)</f>
        <v>286.78416666666669</v>
      </c>
      <c r="E4" s="427">
        <f>SUMIF(Inputs!A$24:A$143,'Rate Class Load Model'!A4,Inputs!W$24:W$143)</f>
        <v>2453.1</v>
      </c>
      <c r="F4" s="428">
        <f t="shared" si="0"/>
        <v>145887.89416666667</v>
      </c>
      <c r="K4" s="35"/>
    </row>
    <row r="5" spans="1:11">
      <c r="A5" s="433">
        <f>+'Rate Class Customer Model'!A14</f>
        <v>2016</v>
      </c>
      <c r="B5" s="427">
        <f>SUMIF(Inputs!A$24:A$143,'Rate Class Load Model'!A5,Inputs!K$24:K$143)-E5</f>
        <v>148794.06000000003</v>
      </c>
      <c r="C5" s="427">
        <f>SUMIF(Inputs!A$24:A$143,'Rate Class Load Model'!A5,Inputs!Q$24:Q$143)</f>
        <v>1645.03</v>
      </c>
      <c r="D5" s="427">
        <f>SUMIF(Inputs!A$24:A$143,'Rate Class Load Model'!A5,Inputs!N$24:N$143)</f>
        <v>294.95850000000002</v>
      </c>
      <c r="E5" s="427">
        <f>SUMIF(Inputs!A$24:A$143,'Rate Class Load Model'!A5,Inputs!W$24:W$143)</f>
        <v>2398.2000000000003</v>
      </c>
      <c r="F5" s="428">
        <f t="shared" si="0"/>
        <v>153132.24850000005</v>
      </c>
      <c r="K5" s="35"/>
    </row>
    <row r="6" spans="1:11">
      <c r="A6" s="433">
        <f>+'Rate Class Customer Model'!A15</f>
        <v>2017</v>
      </c>
      <c r="B6" s="427">
        <f>SUMIF(Inputs!A$24:A$143,'Rate Class Load Model'!A6,Inputs!K$24:K$143)-E6</f>
        <v>160946.79999999999</v>
      </c>
      <c r="C6" s="427">
        <f>SUMIF(Inputs!A$24:A$143,'Rate Class Load Model'!A6,Inputs!Q$24:Q$143)</f>
        <v>1754.9899999999998</v>
      </c>
      <c r="D6" s="427">
        <f>SUMIF(Inputs!A$24:A$143,'Rate Class Load Model'!A6,Inputs!N$24:N$143)</f>
        <v>288.48</v>
      </c>
      <c r="E6" s="427">
        <f>SUMIF(Inputs!A$24:A$143,'Rate Class Load Model'!A6,Inputs!W$24:W$143)</f>
        <v>2283.6</v>
      </c>
      <c r="F6" s="428">
        <f t="shared" si="0"/>
        <v>165273.87</v>
      </c>
      <c r="K6" s="35"/>
    </row>
    <row r="7" spans="1:11">
      <c r="A7" s="433">
        <f>+'Rate Class Customer Model'!A16</f>
        <v>2018</v>
      </c>
      <c r="B7" s="427">
        <f>SUMIF(Inputs!A$24:A$143,'Rate Class Load Model'!A7,Inputs!K$24:K$143)-E7</f>
        <v>166114.67999999996</v>
      </c>
      <c r="C7" s="427">
        <f>SUMIF(Inputs!A$24:A$143,'Rate Class Load Model'!A7,Inputs!Q$24:Q$143)</f>
        <v>1867.2599999999998</v>
      </c>
      <c r="D7" s="427">
        <f>SUMIF(Inputs!A$24:A$143,'Rate Class Load Model'!A7,Inputs!N$24:N$143)</f>
        <v>292.92999999999995</v>
      </c>
      <c r="E7" s="427">
        <f>SUMIF(Inputs!A$24:A$143,'Rate Class Load Model'!A7,Inputs!W$24:W$143)</f>
        <v>2504.1</v>
      </c>
      <c r="F7" s="428">
        <f t="shared" si="0"/>
        <v>170778.96999999997</v>
      </c>
      <c r="K7" s="35"/>
    </row>
    <row r="8" spans="1:11">
      <c r="A8" s="433">
        <f>+'Rate Class Customer Model'!A17</f>
        <v>2019</v>
      </c>
      <c r="B8" s="427">
        <f>SUMIF(Inputs!A$24:A$143,'Rate Class Load Model'!A8,Inputs!K$24:K$143)-E8</f>
        <v>161952.01999999999</v>
      </c>
      <c r="C8" s="427">
        <f>SUMIF(Inputs!A$24:A$143,'Rate Class Load Model'!A8,Inputs!Q$24:Q$143)</f>
        <v>1982.6500000000005</v>
      </c>
      <c r="D8" s="427">
        <f>SUMIF(Inputs!A$24:A$143,'Rate Class Load Model'!A8,Inputs!N$24:N$143)</f>
        <v>288.35000000000002</v>
      </c>
      <c r="E8" s="427">
        <f>SUMIF(Inputs!A$24:A$143,'Rate Class Load Model'!A8,Inputs!W$24:W$143)</f>
        <v>2185.1999999999998</v>
      </c>
      <c r="F8" s="428">
        <f t="shared" si="0"/>
        <v>166408.22</v>
      </c>
      <c r="K8" s="35"/>
    </row>
    <row r="9" spans="1:11">
      <c r="A9" s="433">
        <f>+'Rate Class Customer Model'!A18</f>
        <v>2020</v>
      </c>
      <c r="B9" s="427">
        <f>SUMIF(Inputs!A$24:A$143,'Rate Class Load Model'!A9,Inputs!K$24:K$143)-E9</f>
        <v>151247.03</v>
      </c>
      <c r="C9" s="427">
        <f>SUMIF(Inputs!A$24:A$143,'Rate Class Load Model'!A9,Inputs!Q$24:Q$143)</f>
        <v>2074.3199999999997</v>
      </c>
      <c r="D9" s="427">
        <f>SUMIF(Inputs!A$24:A$143,'Rate Class Load Model'!A9,Inputs!N$24:N$143)</f>
        <v>280.47000000000003</v>
      </c>
      <c r="E9" s="427">
        <f>SUMIF(Inputs!A$24:A$143,'Rate Class Load Model'!A9,Inputs!W$24:W$143)</f>
        <v>2361.6000000000004</v>
      </c>
      <c r="F9" s="428">
        <f t="shared" si="0"/>
        <v>155963.42000000001</v>
      </c>
    </row>
    <row r="10" spans="1:11">
      <c r="A10" s="433">
        <f>+'Rate Class Customer Model'!A19</f>
        <v>2021</v>
      </c>
      <c r="B10" s="427">
        <f>SUMIF(Inputs!A$24:A$143,'Rate Class Load Model'!A10,Inputs!K$24:K$143)-E10</f>
        <v>155546.19</v>
      </c>
      <c r="C10" s="427">
        <f>SUMIF(Inputs!A$24:A$143,'Rate Class Load Model'!A10,Inputs!Q$24:Q$143)</f>
        <v>2279.9099999999989</v>
      </c>
      <c r="D10" s="427">
        <f>SUMIF(Inputs!A$24:A$143,'Rate Class Load Model'!A10,Inputs!N$24:N$143)</f>
        <v>275.57000000000005</v>
      </c>
      <c r="E10" s="427">
        <f>SUMIF(Inputs!A$24:A$143,'Rate Class Load Model'!A10,Inputs!W$24:W$143)</f>
        <v>2359.1999999999998</v>
      </c>
      <c r="F10" s="428">
        <f t="shared" si="0"/>
        <v>160460.87000000002</v>
      </c>
    </row>
    <row r="11" spans="1:11">
      <c r="A11" s="433">
        <f>+'Rate Class Customer Model'!A20</f>
        <v>2022</v>
      </c>
      <c r="B11" s="427">
        <f>SUMIF(Inputs!A$24:A$143,'Rate Class Load Model'!A11,Inputs!K$24:K$143)-E11</f>
        <v>154917.50999999998</v>
      </c>
      <c r="C11" s="427">
        <f>SUMIF(Inputs!A$24:A$143,'Rate Class Load Model'!A11,Inputs!Q$24:Q$143)</f>
        <v>2453.62</v>
      </c>
      <c r="D11" s="427">
        <f>SUMIF(Inputs!A$24:A$143,'Rate Class Load Model'!A11,Inputs!N$24:N$143)</f>
        <v>271.08</v>
      </c>
      <c r="E11" s="427">
        <f>SUMIF(Inputs!A$24:A$143,'Rate Class Load Model'!A11,Inputs!W$24:W$143)</f>
        <v>2460</v>
      </c>
      <c r="F11" s="428">
        <f t="shared" si="0"/>
        <v>160102.20999999996</v>
      </c>
    </row>
    <row r="12" spans="1:11">
      <c r="A12" s="433">
        <f>+'Rate Class Customer Model'!A21</f>
        <v>2023</v>
      </c>
      <c r="B12" s="434">
        <f>B28*'Rate Class Energy Model'!J31</f>
        <v>150464.78230440686</v>
      </c>
      <c r="C12" s="434">
        <f>C28*'Rate Class Energy Model'!K31</f>
        <v>2569.8883400869522</v>
      </c>
      <c r="D12" s="434">
        <f>D28*'Rate Class Energy Model'!L31</f>
        <v>270.15196180093244</v>
      </c>
      <c r="E12" s="434">
        <f>E28*'Rate Class Energy Model'!N31</f>
        <v>2361.3585976193021</v>
      </c>
      <c r="F12" s="428">
        <f t="shared" si="0"/>
        <v>155666.18120391405</v>
      </c>
    </row>
    <row r="13" spans="1:11">
      <c r="A13" s="433">
        <f>+'Rate Class Customer Model'!A22</f>
        <v>2024</v>
      </c>
      <c r="B13" s="434">
        <f>B28*'Rate Class Energy Model'!J32</f>
        <v>154922.83417065753</v>
      </c>
      <c r="C13" s="434">
        <f>C28*'Rate Class Energy Model'!K32</f>
        <v>2673.8182477554205</v>
      </c>
      <c r="D13" s="434">
        <f>D28*'Rate Class Energy Model'!L32</f>
        <v>267.22612586800165</v>
      </c>
      <c r="E13" s="434">
        <f>E28*'Rate Class Energy Model'!N32</f>
        <v>2361.3585976193021</v>
      </c>
      <c r="F13" s="428">
        <f>SUM(B13:E13)</f>
        <v>160225.23714190026</v>
      </c>
    </row>
    <row r="14" spans="1:11">
      <c r="A14" s="11"/>
    </row>
    <row r="15" spans="1:11">
      <c r="A15" s="11" t="s">
        <v>256</v>
      </c>
      <c r="B15" s="5"/>
      <c r="C15" s="5"/>
      <c r="D15" s="5"/>
      <c r="E15" s="5"/>
    </row>
    <row r="16" spans="1:11">
      <c r="A16" s="433">
        <f>+A2</f>
        <v>2013</v>
      </c>
      <c r="B16" s="435">
        <f>B2/'Rate Class Energy Model'!J3</f>
        <v>2.7771245426940444E-3</v>
      </c>
      <c r="C16" s="435">
        <f>C2/'Rate Class Energy Model'!K3</f>
        <v>3.0292113698024278E-3</v>
      </c>
      <c r="D16" s="435">
        <f>D2/'Rate Class Energy Model'!L3</f>
        <v>2.719833687190375E-3</v>
      </c>
      <c r="E16" s="435">
        <f>E2/'Rate Class Energy Model'!N3</f>
        <v>2.5486392794024045E-3</v>
      </c>
      <c r="K16" s="17"/>
    </row>
    <row r="17" spans="1:11">
      <c r="A17" s="433">
        <f t="shared" ref="A17:A25" si="1">+A3</f>
        <v>2014</v>
      </c>
      <c r="B17" s="435">
        <f>B3/'Rate Class Energy Model'!J4</f>
        <v>2.666610709632109E-3</v>
      </c>
      <c r="C17" s="435">
        <f>C3/'Rate Class Energy Model'!K4</f>
        <v>3.0310580026995841E-3</v>
      </c>
      <c r="D17" s="435">
        <f>D3/'Rate Class Energy Model'!L4</f>
        <v>2.7198867024448422E-3</v>
      </c>
      <c r="E17" s="435">
        <f>E3/'Rate Class Energy Model'!N4</f>
        <v>2.4231442842536292E-3</v>
      </c>
      <c r="K17" s="17"/>
    </row>
    <row r="18" spans="1:11">
      <c r="A18" s="433">
        <f t="shared" si="1"/>
        <v>2015</v>
      </c>
      <c r="B18" s="435">
        <f>B4/'Rate Class Energy Model'!J5</f>
        <v>2.6035115897968565E-3</v>
      </c>
      <c r="C18" s="435">
        <f>C4/'Rate Class Energy Model'!K5</f>
        <v>2.8395853053017335E-3</v>
      </c>
      <c r="D18" s="435">
        <f>D4/'Rate Class Energy Model'!L5</f>
        <v>2.6462133591940852E-3</v>
      </c>
      <c r="E18" s="435">
        <f>E4/'Rate Class Energy Model'!N5</f>
        <v>2.5249530952213325E-3</v>
      </c>
      <c r="K18" s="17"/>
    </row>
    <row r="19" spans="1:11">
      <c r="A19" s="433">
        <f t="shared" si="1"/>
        <v>2016</v>
      </c>
      <c r="B19" s="435">
        <f>B5/'Rate Class Energy Model'!J6</f>
        <v>2.5915429115640869E-3</v>
      </c>
      <c r="C19" s="435">
        <f>C5/'Rate Class Energy Model'!K6</f>
        <v>3.0237209245814857E-3</v>
      </c>
      <c r="D19" s="435">
        <f>D5/'Rate Class Energy Model'!L6</f>
        <v>2.8569539810717119E-3</v>
      </c>
      <c r="E19" s="435">
        <f>E5/'Rate Class Energy Model'!N6</f>
        <v>2.5287449402958072E-3</v>
      </c>
      <c r="K19" s="17"/>
    </row>
    <row r="20" spans="1:11">
      <c r="A20" s="433">
        <f t="shared" si="1"/>
        <v>2017</v>
      </c>
      <c r="B20" s="435">
        <f>B6/'Rate Class Energy Model'!J7</f>
        <v>2.5852129890803753E-3</v>
      </c>
      <c r="C20" s="435">
        <f>C6/'Rate Class Energy Model'!K7</f>
        <v>3.054280229179876E-3</v>
      </c>
      <c r="D20" s="435">
        <f>D6/'Rate Class Energy Model'!L7</f>
        <v>2.7778756761972214E-3</v>
      </c>
      <c r="E20" s="435">
        <f>E6/'Rate Class Energy Model'!N7</f>
        <v>2.4812237661599799E-3</v>
      </c>
      <c r="K20" s="17"/>
    </row>
    <row r="21" spans="1:11">
      <c r="A21" s="433">
        <f t="shared" si="1"/>
        <v>2018</v>
      </c>
      <c r="B21" s="435">
        <f>B7/'Rate Class Energy Model'!J8</f>
        <v>2.5751652306877015E-3</v>
      </c>
      <c r="C21" s="435">
        <f>C7/'Rate Class Energy Model'!K8</f>
        <v>3.035969472903079E-3</v>
      </c>
      <c r="D21" s="435">
        <f>D7/'Rate Class Energy Model'!L8</f>
        <v>2.7776529273691119E-3</v>
      </c>
      <c r="E21" s="435">
        <f>E7/'Rate Class Energy Model'!N8</f>
        <v>2.5765264151834484E-3</v>
      </c>
      <c r="K21" s="17"/>
    </row>
    <row r="22" spans="1:11">
      <c r="A22" s="433">
        <f t="shared" si="1"/>
        <v>2019</v>
      </c>
      <c r="B22" s="435">
        <f>B8/'Rate Class Energy Model'!J9</f>
        <v>2.5068816801382464E-3</v>
      </c>
      <c r="C22" s="435">
        <f>C8/'Rate Class Energy Model'!K9</f>
        <v>3.0331831135238761E-3</v>
      </c>
      <c r="D22" s="435">
        <f>D8/'Rate Class Energy Model'!L9</f>
        <v>2.7778179173349907E-3</v>
      </c>
      <c r="E22" s="435">
        <f>E8/'Rate Class Energy Model'!N9</f>
        <v>2.3676147743842547E-3</v>
      </c>
      <c r="K22" s="17"/>
    </row>
    <row r="23" spans="1:11">
      <c r="A23" s="433">
        <f t="shared" si="1"/>
        <v>2020</v>
      </c>
      <c r="B23" s="435">
        <f>B9/'Rate Class Energy Model'!J10</f>
        <v>2.5397452479603774E-3</v>
      </c>
      <c r="C23" s="435">
        <f>C9/'Rate Class Energy Model'!K10</f>
        <v>3.0229017245077829E-3</v>
      </c>
      <c r="D23" s="435">
        <f>D9/'Rate Class Energy Model'!L10</f>
        <v>2.7777728257814406E-3</v>
      </c>
      <c r="E23" s="435">
        <f>E9/'Rate Class Energy Model'!N10</f>
        <v>2.4982243946280558E-3</v>
      </c>
      <c r="K23" s="17"/>
    </row>
    <row r="24" spans="1:11">
      <c r="A24" s="433">
        <f t="shared" si="1"/>
        <v>2021</v>
      </c>
      <c r="B24" s="435">
        <f>B10/'Rate Class Energy Model'!J11</f>
        <v>2.6694829473131862E-3</v>
      </c>
      <c r="C24" s="435">
        <f>C10/'Rate Class Energy Model'!K11</f>
        <v>3.0352752042228405E-3</v>
      </c>
      <c r="D24" s="435">
        <f>D10/'Rate Class Energy Model'!L11</f>
        <v>2.7777643376871164E-3</v>
      </c>
      <c r="E24" s="435">
        <f>E10/'Rate Class Energy Model'!N11</f>
        <v>2.592040681590677E-3</v>
      </c>
      <c r="F24" s="225"/>
      <c r="K24" s="17"/>
    </row>
    <row r="25" spans="1:11">
      <c r="A25" s="433">
        <f t="shared" si="1"/>
        <v>2022</v>
      </c>
      <c r="B25" s="435">
        <f>B11/'Rate Class Energy Model'!J12</f>
        <v>2.6992174844308481E-3</v>
      </c>
      <c r="C25" s="435">
        <f>C11/'Rate Class Energy Model'!K12</f>
        <v>3.0450185368460195E-3</v>
      </c>
      <c r="D25" s="435">
        <f>D11/'Rate Class Energy Model'!L12</f>
        <v>2.777822182490253E-3</v>
      </c>
      <c r="E25" s="435">
        <f>E11/'Rate Class Energy Model'!N12</f>
        <v>2.6293599678234745E-3</v>
      </c>
      <c r="K25" s="17"/>
    </row>
    <row r="26" spans="1:11">
      <c r="A26" s="249" t="s">
        <v>257</v>
      </c>
      <c r="B26" s="250">
        <f>SUM(Inputs!K144:K149)/SUM(Inputs!J144:J149)</f>
        <v>2.6878736133170897E-3</v>
      </c>
      <c r="C26" s="250">
        <f>SUM(Inputs!Q144:Q149)/SUM(Inputs!P144:P149)</f>
        <v>2.7000309514822779E-3</v>
      </c>
      <c r="D26" s="250">
        <f>SUM(Inputs!N144:N149)/SUM(Inputs!M144:M149)</f>
        <v>2.8226136661425607E-3</v>
      </c>
      <c r="E26" s="250">
        <f>SUM(Inputs!W144:W149)/SUM(Inputs!V144:V149)</f>
        <v>2.5927314209007167E-3</v>
      </c>
      <c r="K26" s="17"/>
    </row>
    <row r="28" spans="1:11">
      <c r="A28" s="38" t="s">
        <v>243</v>
      </c>
      <c r="B28" s="17">
        <f>B30</f>
        <v>2.6274880860559019E-3</v>
      </c>
      <c r="C28" s="17">
        <f>C30</f>
        <v>2.9863849850046346E-3</v>
      </c>
      <c r="D28" s="17">
        <f>D30</f>
        <v>2.7665642966276101E-3</v>
      </c>
      <c r="E28" s="17">
        <f>E30</f>
        <v>2.5239275472585259E-3</v>
      </c>
    </row>
    <row r="30" spans="1:11">
      <c r="A30" t="s">
        <v>63</v>
      </c>
      <c r="B30" s="17">
        <f>AVERAGE(B16:B26)</f>
        <v>2.6274880860559019E-3</v>
      </c>
      <c r="C30" s="17">
        <f t="shared" ref="C30:D30" si="2">AVERAGE(C16:C26)</f>
        <v>2.9863849850046346E-3</v>
      </c>
      <c r="D30" s="17">
        <f t="shared" si="2"/>
        <v>2.7665642966276101E-3</v>
      </c>
      <c r="E30" s="17">
        <f>AVERAGE(E16:E26)</f>
        <v>2.5239275472585259E-3</v>
      </c>
      <c r="J30" s="17"/>
      <c r="K30" s="17"/>
    </row>
    <row r="33" spans="2:5">
      <c r="D33" s="251"/>
    </row>
    <row r="35" spans="2:5">
      <c r="B35" s="16"/>
      <c r="C35" s="16"/>
      <c r="D35" s="16"/>
      <c r="E35" s="16"/>
    </row>
    <row r="36" spans="2:5">
      <c r="B36" s="16"/>
      <c r="C36" s="16"/>
      <c r="D36" s="16"/>
      <c r="E36" s="16"/>
    </row>
    <row r="55" spans="2:5">
      <c r="B55" s="10"/>
      <c r="C55" s="10"/>
      <c r="D55" s="10"/>
      <c r="E55" s="10"/>
    </row>
    <row r="56" spans="2:5">
      <c r="B56" s="10"/>
      <c r="C56" s="10"/>
      <c r="D56" s="10"/>
      <c r="E56" s="10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  <ignoredErrors>
    <ignoredError sqref="B26:E26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774-bff1-4d66-95b6-bcad13803c45">
      <Terms xmlns="http://schemas.microsoft.com/office/infopath/2007/PartnerControls"/>
    </lcf76f155ced4ddcb4097134ff3c332f>
    <TaxCatchAll xmlns="8e7b70bf-82d7-409a-a3fc-8f1f7c2689d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A27C2DCEE48D4D89B6F4676FF2487B" ma:contentTypeVersion="14" ma:contentTypeDescription="Create a new document." ma:contentTypeScope="" ma:versionID="3446113a1ec8e4bf6ccb1bb5e993bfd2">
  <xsd:schema xmlns:xsd="http://www.w3.org/2001/XMLSchema" xmlns:xs="http://www.w3.org/2001/XMLSchema" xmlns:p="http://schemas.microsoft.com/office/2006/metadata/properties" xmlns:ns2="61d82774-bff1-4d66-95b6-bcad13803c45" xmlns:ns3="8e7b70bf-82d7-409a-a3fc-8f1f7c2689df" targetNamespace="http://schemas.microsoft.com/office/2006/metadata/properties" ma:root="true" ma:fieldsID="ed26fed34a6c09b06f7ebdfb4b45f719" ns2:_="" ns3:_="">
    <xsd:import namespace="61d82774-bff1-4d66-95b6-bcad13803c45"/>
    <xsd:import namespace="8e7b70bf-82d7-409a-a3fc-8f1f7c2689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774-bff1-4d66-95b6-bcad13803c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88bd0a9-159b-4739-b05e-95b31f1154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7b70bf-82d7-409a-a3fc-8f1f7c2689d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d124ed8-fb5b-4af6-8643-a056b0ee57e2}" ma:internalName="TaxCatchAll" ma:showField="CatchAllData" ma:web="8e7b70bf-82d7-409a-a3fc-8f1f7c2689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44F01E-2E8D-4BE6-BA45-AEAA75EFDD50}"/>
</file>

<file path=customXml/itemProps2.xml><?xml version="1.0" encoding="utf-8"?>
<ds:datastoreItem xmlns:ds="http://schemas.openxmlformats.org/officeDocument/2006/customXml" ds:itemID="{A0C570CA-388F-4F3F-95E8-05AFB97B426E}"/>
</file>

<file path=customXml/itemProps3.xml><?xml version="1.0" encoding="utf-8"?>
<ds:datastoreItem xmlns:ds="http://schemas.openxmlformats.org/officeDocument/2006/customXml" ds:itemID="{53640282-9B19-419A-B34B-EB969B9E80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subject/>
  <dc:creator/>
  <cp:keywords/>
  <dc:description/>
  <cp:lastModifiedBy>Laura Hampton</cp:lastModifiedBy>
  <cp:revision/>
  <dcterms:created xsi:type="dcterms:W3CDTF">2014-03-06T15:42:29Z</dcterms:created>
  <dcterms:modified xsi:type="dcterms:W3CDTF">2023-08-16T17:11:41Z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  <property fmtid="{D5CDD505-2E9C-101B-9397-08002B2CF9AE}" pid="3" name="ContentTypeId">
    <vt:lpwstr>0x0101004BA27C2DCEE48D4D89B6F4676FF2487B</vt:lpwstr>
  </property>
  <property fmtid="{D5CDD505-2E9C-101B-9397-08002B2CF9AE}" pid="4" name="MediaServiceImageTags">
    <vt:lpwstr/>
  </property>
</Properties>
</file>