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updateLinks="never"/>
  <mc:AlternateContent xmlns:mc="http://schemas.openxmlformats.org/markup-compatibility/2006">
    <mc:Choice Requires="x15">
      <x15ac:absPath xmlns:x15ac="http://schemas.microsoft.com/office/spreadsheetml/2010/11/ac" url="X:\Finance\Regulatory Documents\Cost of Service Files\2024 COS\04 - WDI Review\Excel Models - FINAL COPIES\"/>
    </mc:Choice>
  </mc:AlternateContent>
  <xr:revisionPtr revIDLastSave="0" documentId="13_ncr:1_{1F22EDAE-3CD8-4E4E-BEC9-C649094688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4" l="1"/>
  <c r="J44" i="4"/>
  <c r="K44" i="4" s="1"/>
  <c r="I46" i="4"/>
  <c r="J46" i="4"/>
  <c r="K46" i="4"/>
  <c r="I47" i="4"/>
  <c r="J47" i="4" s="1"/>
  <c r="K47" i="4" s="1"/>
  <c r="I48" i="4"/>
  <c r="J48" i="4" s="1"/>
  <c r="K48" i="4" s="1"/>
  <c r="I51" i="4"/>
  <c r="J51" i="4" s="1"/>
  <c r="K51" i="4" s="1"/>
  <c r="I52" i="4"/>
  <c r="J52" i="4"/>
  <c r="K52" i="4" s="1"/>
  <c r="I53" i="4"/>
  <c r="J53" i="4"/>
  <c r="K53" i="4" s="1"/>
  <c r="I54" i="4"/>
  <c r="J54" i="4"/>
  <c r="K54" i="4"/>
  <c r="I55" i="4"/>
  <c r="J55" i="4" s="1"/>
  <c r="K55" i="4" s="1"/>
  <c r="I56" i="4"/>
  <c r="J56" i="4" s="1"/>
  <c r="K56" i="4" s="1"/>
  <c r="I57" i="4"/>
  <c r="J57" i="4"/>
  <c r="K57" i="4"/>
  <c r="I60" i="4"/>
  <c r="J60" i="4"/>
  <c r="K60" i="4" s="1"/>
  <c r="I61" i="4"/>
  <c r="J61" i="4"/>
  <c r="K61" i="4" s="1"/>
  <c r="I62" i="4"/>
  <c r="J62" i="4"/>
  <c r="K62" i="4"/>
  <c r="I63" i="4"/>
  <c r="J63" i="4" s="1"/>
  <c r="K63" i="4" s="1"/>
  <c r="I66" i="4"/>
  <c r="J66" i="4" s="1"/>
  <c r="K66" i="4" s="1"/>
  <c r="I67" i="4"/>
  <c r="J67" i="4"/>
  <c r="K67" i="4" s="1"/>
  <c r="I68" i="4"/>
  <c r="J68" i="4" s="1"/>
  <c r="K68" i="4" s="1"/>
  <c r="I98" i="4"/>
  <c r="J98" i="4" s="1"/>
  <c r="K98" i="4" s="1"/>
  <c r="I99" i="4"/>
  <c r="J99" i="4" s="1"/>
  <c r="K99" i="4" s="1"/>
  <c r="I100" i="4"/>
  <c r="J100" i="4"/>
  <c r="K100" i="4" s="1"/>
  <c r="I101" i="4"/>
  <c r="J101" i="4"/>
  <c r="K101" i="4"/>
  <c r="I102" i="4"/>
  <c r="J102" i="4"/>
  <c r="K102" i="4"/>
  <c r="I105" i="4"/>
  <c r="J105" i="4"/>
  <c r="K105" i="4"/>
  <c r="I106" i="4"/>
  <c r="J106" i="4"/>
  <c r="K106" i="4"/>
  <c r="H109" i="4"/>
  <c r="J17" i="4" l="1"/>
  <c r="K17" i="4"/>
  <c r="H17" i="4"/>
  <c r="I17" i="4"/>
  <c r="K15" i="4" l="1"/>
  <c r="J15" i="4"/>
  <c r="G5" i="1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L49" i="4" s="1"/>
  <c r="M49" i="4" s="1"/>
  <c r="G17" i="4" l="1"/>
  <c r="G256" i="1"/>
  <c r="L17" i="4" l="1"/>
  <c r="M17" i="4" s="1"/>
  <c r="M145" i="1" s="1"/>
  <c r="M157" i="1" s="1"/>
  <c r="G22" i="4"/>
  <c r="L22" i="4" s="1"/>
  <c r="M22" i="4" s="1"/>
  <c r="M110" i="1" s="1"/>
  <c r="L21" i="4"/>
  <c r="M21" i="4" s="1"/>
  <c r="L20" i="4"/>
  <c r="M20" i="4" s="1"/>
  <c r="G121" i="4"/>
  <c r="G36" i="4" s="1"/>
  <c r="G122" i="4"/>
  <c r="H122" i="4" s="1"/>
  <c r="I122" i="4" s="1"/>
  <c r="J122" i="4" s="1"/>
  <c r="K122" i="4" s="1"/>
  <c r="L122" i="4" s="1"/>
  <c r="M122" i="4" s="1"/>
  <c r="G45" i="4"/>
  <c r="L45" i="4" s="1"/>
  <c r="M45" i="4" s="1"/>
  <c r="G46" i="4"/>
  <c r="H46" i="4" s="1"/>
  <c r="L46" i="4" s="1"/>
  <c r="M46" i="4" s="1"/>
  <c r="G47" i="4"/>
  <c r="G48" i="4"/>
  <c r="G50" i="4"/>
  <c r="L50" i="4" s="1"/>
  <c r="M50" i="4" s="1"/>
  <c r="G51" i="4"/>
  <c r="H51" i="4" s="1"/>
  <c r="L51" i="4" s="1"/>
  <c r="M51" i="4" s="1"/>
  <c r="G52" i="4"/>
  <c r="H52" i="4" s="1"/>
  <c r="L52" i="4" s="1"/>
  <c r="M52" i="4" s="1"/>
  <c r="G53" i="4"/>
  <c r="H53" i="4" s="1"/>
  <c r="L53" i="4" s="1"/>
  <c r="M53" i="4" s="1"/>
  <c r="G54" i="4"/>
  <c r="H54" i="4" s="1"/>
  <c r="L54" i="4" s="1"/>
  <c r="M54" i="4" s="1"/>
  <c r="G55" i="4"/>
  <c r="H55" i="4" s="1"/>
  <c r="L55" i="4" s="1"/>
  <c r="M55" i="4" s="1"/>
  <c r="G56" i="4"/>
  <c r="H56" i="4" s="1"/>
  <c r="L56" i="4" s="1"/>
  <c r="M56" i="4" s="1"/>
  <c r="G57" i="4"/>
  <c r="H57" i="4" s="1"/>
  <c r="L57" i="4" s="1"/>
  <c r="M57" i="4" s="1"/>
  <c r="G58" i="4"/>
  <c r="L58" i="4" s="1"/>
  <c r="M58" i="4" s="1"/>
  <c r="G59" i="4"/>
  <c r="L59" i="4" s="1"/>
  <c r="M59" i="4" s="1"/>
  <c r="G60" i="4"/>
  <c r="H60" i="4" s="1"/>
  <c r="L60" i="4" s="1"/>
  <c r="M60" i="4" s="1"/>
  <c r="G61" i="4"/>
  <c r="H61" i="4" s="1"/>
  <c r="L61" i="4" s="1"/>
  <c r="M61" i="4" s="1"/>
  <c r="G62" i="4"/>
  <c r="H62" i="4" s="1"/>
  <c r="L62" i="4" s="1"/>
  <c r="M62" i="4" s="1"/>
  <c r="G63" i="4"/>
  <c r="H63" i="4" s="1"/>
  <c r="L63" i="4" s="1"/>
  <c r="M63" i="4" s="1"/>
  <c r="G64" i="4"/>
  <c r="G65" i="4"/>
  <c r="G66" i="4"/>
  <c r="H66" i="4" s="1"/>
  <c r="G67" i="4"/>
  <c r="G68" i="4"/>
  <c r="H68" i="4" s="1"/>
  <c r="L68" i="4" s="1"/>
  <c r="M68" i="4" s="1"/>
  <c r="G69" i="4"/>
  <c r="L69" i="4" s="1"/>
  <c r="M69" i="4" s="1"/>
  <c r="G70" i="4"/>
  <c r="L70" i="4" s="1"/>
  <c r="M70" i="4" s="1"/>
  <c r="G71" i="4"/>
  <c r="L71" i="4" s="1"/>
  <c r="M71" i="4" s="1"/>
  <c r="G72" i="4"/>
  <c r="L72" i="4" s="1"/>
  <c r="M72" i="4" s="1"/>
  <c r="G73" i="4"/>
  <c r="L73" i="4" s="1"/>
  <c r="M73" i="4" s="1"/>
  <c r="G74" i="4"/>
  <c r="L74" i="4" s="1"/>
  <c r="M74" i="4" s="1"/>
  <c r="G75" i="4"/>
  <c r="L75" i="4" s="1"/>
  <c r="M75" i="4" s="1"/>
  <c r="G76" i="4"/>
  <c r="L76" i="4" s="1"/>
  <c r="M76" i="4" s="1"/>
  <c r="G77" i="4"/>
  <c r="L77" i="4" s="1"/>
  <c r="M77" i="4" s="1"/>
  <c r="G78" i="4"/>
  <c r="G79" i="4"/>
  <c r="H79" i="4" s="1"/>
  <c r="G80" i="4"/>
  <c r="L80" i="4" s="1"/>
  <c r="M80" i="4" s="1"/>
  <c r="G81" i="4"/>
  <c r="L81" i="4" s="1"/>
  <c r="M81" i="4" s="1"/>
  <c r="G82" i="4"/>
  <c r="L82" i="4" s="1"/>
  <c r="M82" i="4" s="1"/>
  <c r="G83" i="4"/>
  <c r="L83" i="4" s="1"/>
  <c r="M83" i="4" s="1"/>
  <c r="G84" i="4"/>
  <c r="L84" i="4" s="1"/>
  <c r="M84" i="4" s="1"/>
  <c r="G85" i="4"/>
  <c r="H85" i="4" s="1"/>
  <c r="I85" i="4" s="1"/>
  <c r="J85" i="4" s="1"/>
  <c r="K85" i="4" s="1"/>
  <c r="L85" i="4" s="1"/>
  <c r="M85" i="4" s="1"/>
  <c r="G86" i="4"/>
  <c r="G87" i="4"/>
  <c r="H87" i="4" s="1"/>
  <c r="G88" i="4"/>
  <c r="L88" i="4" s="1"/>
  <c r="M88" i="4" s="1"/>
  <c r="G89" i="4"/>
  <c r="H89" i="4" s="1"/>
  <c r="I89" i="4" s="1"/>
  <c r="J89" i="4" s="1"/>
  <c r="K89" i="4" s="1"/>
  <c r="L89" i="4" s="1"/>
  <c r="M89" i="4" s="1"/>
  <c r="G90" i="4"/>
  <c r="H90" i="4" s="1"/>
  <c r="I90" i="4" s="1"/>
  <c r="J90" i="4" s="1"/>
  <c r="K90" i="4" s="1"/>
  <c r="L90" i="4" s="1"/>
  <c r="M90" i="4" s="1"/>
  <c r="G91" i="4"/>
  <c r="G92" i="4"/>
  <c r="G93" i="4"/>
  <c r="L93" i="4" s="1"/>
  <c r="M93" i="4" s="1"/>
  <c r="G94" i="4"/>
  <c r="L94" i="4" s="1"/>
  <c r="M94" i="4" s="1"/>
  <c r="G95" i="4"/>
  <c r="L95" i="4" s="1"/>
  <c r="M95" i="4" s="1"/>
  <c r="G96" i="4"/>
  <c r="L96" i="4" s="1"/>
  <c r="M96" i="4" s="1"/>
  <c r="G97" i="4"/>
  <c r="L97" i="4" s="1"/>
  <c r="M97" i="4" s="1"/>
  <c r="G98" i="4"/>
  <c r="H98" i="4" s="1"/>
  <c r="L98" i="4" s="1"/>
  <c r="M98" i="4" s="1"/>
  <c r="G99" i="4"/>
  <c r="H99" i="4" s="1"/>
  <c r="L99" i="4" s="1"/>
  <c r="M99" i="4" s="1"/>
  <c r="G100" i="4"/>
  <c r="H100" i="4" s="1"/>
  <c r="L100" i="4" s="1"/>
  <c r="M100" i="4" s="1"/>
  <c r="G101" i="4"/>
  <c r="H101" i="4" s="1"/>
  <c r="L101" i="4" s="1"/>
  <c r="M101" i="4" s="1"/>
  <c r="G102" i="4"/>
  <c r="H102" i="4" s="1"/>
  <c r="L102" i="4" s="1"/>
  <c r="M102" i="4" s="1"/>
  <c r="G103" i="4"/>
  <c r="L103" i="4" s="1"/>
  <c r="M103" i="4" s="1"/>
  <c r="G104" i="4"/>
  <c r="L104" i="4" s="1"/>
  <c r="M104" i="4" s="1"/>
  <c r="G105" i="4"/>
  <c r="H105" i="4" s="1"/>
  <c r="L105" i="4" s="1"/>
  <c r="M105" i="4" s="1"/>
  <c r="G106" i="4"/>
  <c r="H106" i="4" s="1"/>
  <c r="L106" i="4" s="1"/>
  <c r="M106" i="4" s="1"/>
  <c r="G107" i="4"/>
  <c r="L107" i="4" s="1"/>
  <c r="M107" i="4" s="1"/>
  <c r="G108" i="4"/>
  <c r="L108" i="4" s="1"/>
  <c r="M108" i="4" s="1"/>
  <c r="G109" i="4"/>
  <c r="G110" i="4"/>
  <c r="G111" i="4"/>
  <c r="H111" i="4" s="1"/>
  <c r="I111" i="4" s="1"/>
  <c r="J111" i="4" s="1"/>
  <c r="K111" i="4" s="1"/>
  <c r="L111" i="4" s="1"/>
  <c r="M111" i="4" s="1"/>
  <c r="G112" i="4"/>
  <c r="G113" i="4"/>
  <c r="H113" i="4" s="1"/>
  <c r="G114" i="4"/>
  <c r="G115" i="4"/>
  <c r="G35" i="4" s="1"/>
  <c r="G44" i="4"/>
  <c r="H44" i="4" s="1"/>
  <c r="G14" i="4"/>
  <c r="G15" i="4"/>
  <c r="G16" i="4"/>
  <c r="J16" i="4" s="1"/>
  <c r="K16" i="4" s="1"/>
  <c r="L16" i="4" s="1"/>
  <c r="M16" i="4" s="1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145" i="1" l="1"/>
  <c r="L15" i="4"/>
  <c r="M15" i="4" s="1"/>
  <c r="M98" i="1" s="1"/>
  <c r="M130" i="1" s="1"/>
  <c r="H112" i="4"/>
  <c r="L66" i="4"/>
  <c r="M66" i="4" s="1"/>
  <c r="G120" i="4"/>
  <c r="H67" i="4"/>
  <c r="I113" i="4"/>
  <c r="H114" i="4"/>
  <c r="G119" i="4"/>
  <c r="H48" i="4"/>
  <c r="L14" i="4"/>
  <c r="M14" i="4" s="1"/>
  <c r="M97" i="1" s="1"/>
  <c r="L13" i="4"/>
  <c r="M13" i="4" s="1"/>
  <c r="M96" i="1" s="1"/>
  <c r="G118" i="4"/>
  <c r="H47" i="4"/>
  <c r="L9" i="4"/>
  <c r="M9" i="4" s="1"/>
  <c r="M92" i="1" s="1"/>
  <c r="M114" i="1" s="1"/>
  <c r="I87" i="4"/>
  <c r="H91" i="4"/>
  <c r="I79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J79" i="4"/>
  <c r="I86" i="4"/>
  <c r="J113" i="4"/>
  <c r="I114" i="4"/>
  <c r="I112" i="4"/>
  <c r="I78" i="4"/>
  <c r="H120" i="4"/>
  <c r="H97" i="1"/>
  <c r="H155" i="1" s="1"/>
  <c r="H209" i="1" s="1"/>
  <c r="H213" i="1" s="1"/>
  <c r="J87" i="4"/>
  <c r="I91" i="4"/>
  <c r="H119" i="4"/>
  <c r="H98" i="1"/>
  <c r="H130" i="1" s="1"/>
  <c r="I109" i="4"/>
  <c r="H121" i="4"/>
  <c r="H118" i="4"/>
  <c r="H78" i="4"/>
  <c r="H64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I120" i="4"/>
  <c r="L65" i="4"/>
  <c r="K113" i="4"/>
  <c r="J114" i="4"/>
  <c r="I121" i="4"/>
  <c r="I118" i="4"/>
  <c r="K87" i="4"/>
  <c r="J91" i="4"/>
  <c r="J112" i="4"/>
  <c r="I119" i="4"/>
  <c r="J86" i="4"/>
  <c r="K79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L87" i="4"/>
  <c r="K91" i="4"/>
  <c r="J121" i="4"/>
  <c r="J118" i="4"/>
  <c r="J120" i="4"/>
  <c r="J78" i="4"/>
  <c r="J119" i="4"/>
  <c r="K109" i="4"/>
  <c r="L92" i="4"/>
  <c r="L44" i="4"/>
  <c r="L113" i="4"/>
  <c r="K114" i="4"/>
  <c r="M65" i="4"/>
  <c r="L79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44" i="4"/>
  <c r="M113" i="4"/>
  <c r="M114" i="4" s="1"/>
  <c r="L114" i="4"/>
  <c r="L67" i="4"/>
  <c r="K120" i="4"/>
  <c r="K78" i="4"/>
  <c r="L109" i="4"/>
  <c r="M92" i="4"/>
  <c r="M109" i="4" s="1"/>
  <c r="M79" i="4"/>
  <c r="M86" i="4" s="1"/>
  <c r="L86" i="4"/>
  <c r="L47" i="4"/>
  <c r="K121" i="4"/>
  <c r="K118" i="4"/>
  <c r="L112" i="4"/>
  <c r="M110" i="4"/>
  <c r="M112" i="4" s="1"/>
  <c r="J115" i="4"/>
  <c r="J29" i="4" s="1"/>
  <c r="L48" i="4"/>
  <c r="K119" i="4"/>
  <c r="M87" i="4"/>
  <c r="M91" i="4" s="1"/>
  <c r="L91" i="4"/>
  <c r="H89" i="1"/>
  <c r="H107" i="1" s="1"/>
  <c r="H121" i="1" s="1"/>
  <c r="H256" i="1" s="1"/>
  <c r="I117" i="1"/>
  <c r="I118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J117" i="1" l="1"/>
  <c r="I119" i="1"/>
  <c r="K115" i="4"/>
  <c r="K29" i="4" s="1"/>
  <c r="M47" i="4"/>
  <c r="L121" i="4"/>
  <c r="L118" i="4"/>
  <c r="M67" i="4"/>
  <c r="L120" i="4"/>
  <c r="L78" i="4"/>
  <c r="L64" i="4"/>
  <c r="M48" i="4"/>
  <c r="M119" i="4" s="1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21" i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l="1"/>
  <c r="M261" i="1"/>
  <c r="K10" i="5"/>
  <c r="K14" i="5" s="1"/>
  <c r="K16" i="5" s="1"/>
  <c r="J16" i="5" l="1"/>
  <c r="K18" i="5" s="1"/>
  <c r="K24" i="5" s="1"/>
  <c r="K22" i="5"/>
  <c r="J18" i="5" l="1"/>
  <c r="J22" i="5"/>
  <c r="J24" i="5" l="1"/>
</calcChain>
</file>

<file path=xl/sharedStrings.xml><?xml version="1.0" encoding="utf-8"?>
<sst xmlns="http://schemas.openxmlformats.org/spreadsheetml/2006/main" count="511" uniqueCount="270">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</sst>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3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/>
    <xf numFmtId="175" fontId="0" fillId="0" borderId="0" xfId="0" applyNumberFormat="1"/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123"/>
  <sheetViews>
    <sheetView tabSelected="1" zoomScaleNormal="100" workbookViewId="0"/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9" width="14.140625" customWidth="1"/>
    <col min="10" max="10" width="16.28515625" customWidth="1"/>
    <col min="11" max="11" width="15.42578125" customWidth="1"/>
    <col min="12" max="13" width="14.140625" hidden="1" customWidth="1"/>
    <col min="14" max="14" width="46.5703125" style="9" customWidth="1"/>
    <col min="15" max="15" width="69.42578125" customWidth="1"/>
  </cols>
  <sheetData>
    <row r="2" spans="2:15" ht="23.25" x14ac:dyDescent="0.35">
      <c r="C2" s="229" t="s">
        <v>189</v>
      </c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2:15" ht="19.5" customHeight="1" x14ac:dyDescent="0.25">
      <c r="C3" s="230" t="str">
        <f>IF(F5="Click to Choose an LDC","",F5)</f>
        <v>Wasaga Distribution Inc.</v>
      </c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2:15" ht="19.5" customHeight="1" thickBot="1" x14ac:dyDescent="0.3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264</v>
      </c>
      <c r="E5" s="9"/>
      <c r="F5" s="89" t="s">
        <v>247</v>
      </c>
      <c r="G5" s="2" t="s">
        <v>175</v>
      </c>
      <c r="H5" s="2" t="s">
        <v>176</v>
      </c>
      <c r="I5" s="2" t="s">
        <v>174</v>
      </c>
      <c r="J5" s="231" t="s">
        <v>177</v>
      </c>
      <c r="K5" s="231"/>
      <c r="L5" s="231"/>
      <c r="M5" s="231"/>
      <c r="O5" s="4"/>
    </row>
    <row r="6" spans="2:15" ht="36" customHeight="1" x14ac:dyDescent="0.35">
      <c r="B6" s="4" t="s">
        <v>180</v>
      </c>
      <c r="C6" s="59"/>
      <c r="G6" s="2">
        <v>2020</v>
      </c>
      <c r="H6" s="2">
        <f>G6+1</f>
        <v>2021</v>
      </c>
      <c r="I6" s="2">
        <f t="shared" ref="I6:M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>
        <f t="shared" si="0"/>
        <v>2026</v>
      </c>
      <c r="N6" s="94" t="s">
        <v>266</v>
      </c>
      <c r="O6" s="2"/>
    </row>
    <row r="8" spans="2:15" x14ac:dyDescent="0.2">
      <c r="C8" s="8" t="s">
        <v>85</v>
      </c>
      <c r="D8" s="8"/>
      <c r="E8" s="2"/>
      <c r="H8" s="231"/>
      <c r="I8" s="231"/>
      <c r="J8" s="231"/>
      <c r="K8" s="231"/>
      <c r="L8" s="231"/>
      <c r="M8" s="231"/>
    </row>
    <row r="9" spans="2:15" x14ac:dyDescent="0.2">
      <c r="B9" s="2">
        <v>1</v>
      </c>
      <c r="D9" s="9" t="s">
        <v>86</v>
      </c>
      <c r="G9" s="54">
        <f>'Benchmarking Calculations'!G92</f>
        <v>2013359.47</v>
      </c>
      <c r="H9" s="81">
        <v>3233381.9000000004</v>
      </c>
      <c r="I9" s="81">
        <v>10609023.73</v>
      </c>
      <c r="J9" s="81">
        <v>7230248.275907049</v>
      </c>
      <c r="K9" s="81">
        <v>7337722</v>
      </c>
      <c r="L9" s="81">
        <f t="shared" ref="I9:M10" si="1">K9</f>
        <v>7337722</v>
      </c>
      <c r="M9" s="81">
        <f t="shared" si="1"/>
        <v>7337722</v>
      </c>
      <c r="N9" s="9" t="s">
        <v>172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0</v>
      </c>
      <c r="H10" s="81">
        <f>G10</f>
        <v>0</v>
      </c>
      <c r="I10" s="81">
        <f t="shared" si="1"/>
        <v>0</v>
      </c>
      <c r="J10" s="81">
        <f t="shared" si="1"/>
        <v>0</v>
      </c>
      <c r="K10" s="81">
        <f t="shared" si="1"/>
        <v>0</v>
      </c>
      <c r="L10" s="81">
        <f t="shared" si="1"/>
        <v>0</v>
      </c>
      <c r="M10" s="81">
        <f t="shared" si="1"/>
        <v>0</v>
      </c>
      <c r="N10" s="9" t="s">
        <v>172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89</v>
      </c>
      <c r="G13" s="54">
        <f>'Benchmarking Calculations'!G96</f>
        <v>14238</v>
      </c>
      <c r="H13" s="81">
        <v>14409</v>
      </c>
      <c r="I13" s="81">
        <v>14716.5</v>
      </c>
      <c r="J13" s="81">
        <v>15089</v>
      </c>
      <c r="K13" s="81">
        <v>15351</v>
      </c>
      <c r="L13" s="81">
        <f t="shared" ref="J13:M16" si="2">K13</f>
        <v>15351</v>
      </c>
      <c r="M13" s="81">
        <f t="shared" si="2"/>
        <v>15351</v>
      </c>
      <c r="N13" s="9" t="s">
        <v>172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138525447.56999999</v>
      </c>
      <c r="H14" s="81">
        <v>143103046.99000001</v>
      </c>
      <c r="I14" s="81">
        <v>145877729.05902892</v>
      </c>
      <c r="J14" s="81">
        <v>147549838.31535891</v>
      </c>
      <c r="K14" s="81">
        <v>150428662.99729875</v>
      </c>
      <c r="L14" s="81">
        <f t="shared" si="2"/>
        <v>150428662.99729875</v>
      </c>
      <c r="M14" s="81">
        <f t="shared" si="2"/>
        <v>150428662.99729875</v>
      </c>
      <c r="N14" s="9" t="s">
        <v>172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35106</v>
      </c>
      <c r="H15" s="81">
        <v>36439</v>
      </c>
      <c r="I15" s="81">
        <v>36740</v>
      </c>
      <c r="J15" s="81">
        <f>I15</f>
        <v>36740</v>
      </c>
      <c r="K15" s="81">
        <f>J15</f>
        <v>36740</v>
      </c>
      <c r="L15" s="81">
        <f t="shared" si="2"/>
        <v>36740</v>
      </c>
      <c r="M15" s="81">
        <f t="shared" si="2"/>
        <v>36740</v>
      </c>
      <c r="N15" s="9" t="s">
        <v>172</v>
      </c>
      <c r="O15" s="56"/>
    </row>
    <row r="16" spans="2:15" x14ac:dyDescent="0.2">
      <c r="B16" s="2">
        <v>6</v>
      </c>
      <c r="D16" s="9" t="s">
        <v>190</v>
      </c>
      <c r="G16" s="54">
        <f>'Benchmarking Calculations'!G99</f>
        <v>291</v>
      </c>
      <c r="H16" s="81">
        <v>292</v>
      </c>
      <c r="I16" s="81">
        <v>300</v>
      </c>
      <c r="J16" s="81">
        <f t="shared" si="2"/>
        <v>300</v>
      </c>
      <c r="K16" s="81">
        <f t="shared" si="2"/>
        <v>300</v>
      </c>
      <c r="L16" s="81">
        <f t="shared" si="2"/>
        <v>300</v>
      </c>
      <c r="M16" s="81">
        <f t="shared" si="2"/>
        <v>300</v>
      </c>
      <c r="N16" s="9" t="s">
        <v>172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0.18196911837954508</v>
      </c>
      <c r="H17" s="207">
        <f>(H13/(14739-2682))-1</f>
        <v>0.19507340134361772</v>
      </c>
      <c r="I17" s="207">
        <f>(I13/(15145-2759))-1</f>
        <v>0.188155982560956</v>
      </c>
      <c r="J17" s="207">
        <f>(J13/(12597))-1</f>
        <v>0.19782487893943013</v>
      </c>
      <c r="K17" s="207">
        <f>(K13/(15754-2899))-1</f>
        <v>0.1941656942823804</v>
      </c>
      <c r="L17" s="207">
        <f t="shared" ref="L17:M17" si="3">K17</f>
        <v>0.1941656942823804</v>
      </c>
      <c r="M17" s="207">
        <f t="shared" si="3"/>
        <v>0.1941656942823804</v>
      </c>
      <c r="N17" s="9" t="s">
        <v>172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165</v>
      </c>
      <c r="F19" s="9"/>
      <c r="G19" s="34"/>
      <c r="H19" s="231"/>
      <c r="I19" s="231"/>
      <c r="J19" s="231"/>
      <c r="K19" s="231"/>
      <c r="L19" s="231"/>
      <c r="M19" s="231"/>
    </row>
    <row r="20" spans="2:15" ht="15" customHeight="1" x14ac:dyDescent="0.2">
      <c r="B20" s="2">
        <v>8</v>
      </c>
      <c r="C20" s="2"/>
      <c r="D20" t="s">
        <v>166</v>
      </c>
      <c r="F20" s="9"/>
      <c r="G20" s="58">
        <v>0.02</v>
      </c>
      <c r="H20" s="80">
        <v>0.02</v>
      </c>
      <c r="I20" s="80">
        <v>0.02</v>
      </c>
      <c r="J20" s="80">
        <v>4.7500000000000001E-2</v>
      </c>
      <c r="K20" s="80">
        <v>0.03</v>
      </c>
      <c r="L20" s="80">
        <f t="shared" ref="L20:M20" si="4">K20</f>
        <v>0.03</v>
      </c>
      <c r="M20" s="80">
        <f t="shared" si="4"/>
        <v>0.03</v>
      </c>
      <c r="N20" s="9" t="s">
        <v>268</v>
      </c>
      <c r="O20" s="232" t="s">
        <v>267</v>
      </c>
    </row>
    <row r="21" spans="2:15" ht="14.25" customHeight="1" x14ac:dyDescent="0.2">
      <c r="B21" s="2">
        <v>9</v>
      </c>
      <c r="C21" s="2"/>
      <c r="D21" t="s">
        <v>167</v>
      </c>
      <c r="F21" s="9"/>
      <c r="G21" s="58">
        <v>0.02</v>
      </c>
      <c r="H21" s="80">
        <v>2.1999999999999999E-2</v>
      </c>
      <c r="I21" s="80">
        <v>3.3000000000000002E-2</v>
      </c>
      <c r="J21" s="80">
        <v>3.6999999999999998E-2</v>
      </c>
      <c r="K21" s="80">
        <v>4.8000000000000001E-2</v>
      </c>
      <c r="L21" s="80">
        <f t="shared" ref="L21:M22" si="5">K21</f>
        <v>4.8000000000000001E-2</v>
      </c>
      <c r="M21" s="80">
        <f t="shared" si="5"/>
        <v>4.8000000000000001E-2</v>
      </c>
      <c r="N21" s="9" t="s">
        <v>268</v>
      </c>
      <c r="O21" s="232"/>
    </row>
    <row r="22" spans="2:15" x14ac:dyDescent="0.2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5.7019084566420249E-2</v>
      </c>
      <c r="I22" s="80">
        <v>5.5648498188566625E-2</v>
      </c>
      <c r="J22" s="80">
        <v>5.6853362197532467E-2</v>
      </c>
      <c r="K22" s="80">
        <v>6.2074673686133161E-2</v>
      </c>
      <c r="L22" s="80">
        <f t="shared" si="5"/>
        <v>6.2074673686133161E-2</v>
      </c>
      <c r="M22" s="80">
        <f t="shared" si="5"/>
        <v>6.2074673686133161E-2</v>
      </c>
      <c r="N22" s="9" t="s">
        <v>269</v>
      </c>
      <c r="O22" s="232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191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170</v>
      </c>
      <c r="F27" s="8" t="s">
        <v>196</v>
      </c>
      <c r="G27" s="34">
        <f>G35-G36+G37</f>
        <v>3505519.16</v>
      </c>
      <c r="H27" s="34">
        <f t="shared" ref="H27:M27" si="6">H35-H36+H37</f>
        <v>0</v>
      </c>
      <c r="I27" s="34">
        <f t="shared" si="6"/>
        <v>0</v>
      </c>
      <c r="J27" s="34">
        <f>J35-J36+J37</f>
        <v>0</v>
      </c>
      <c r="K27" s="34">
        <f t="shared" si="6"/>
        <v>0</v>
      </c>
      <c r="L27" s="34">
        <f t="shared" si="6"/>
        <v>0</v>
      </c>
      <c r="M27" s="34">
        <f t="shared" si="6"/>
        <v>0</v>
      </c>
      <c r="N27" s="9" t="s">
        <v>29</v>
      </c>
    </row>
    <row r="28" spans="2:15" ht="13.5" thickBot="1" x14ac:dyDescent="0.25">
      <c r="B28" s="9" t="s">
        <v>188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169</v>
      </c>
      <c r="F29" s="8" t="s">
        <v>200</v>
      </c>
      <c r="G29" s="34">
        <f>G115-G121+G122</f>
        <v>3505519.16</v>
      </c>
      <c r="H29" s="34">
        <f>H115-H121+H122</f>
        <v>2999659.9</v>
      </c>
      <c r="I29" s="34">
        <f t="shared" ref="I29:M29" si="7">I115-I121+I122</f>
        <v>3267295.02</v>
      </c>
      <c r="J29" s="34">
        <f t="shared" si="7"/>
        <v>3597436.4600000004</v>
      </c>
      <c r="K29" s="34">
        <f t="shared" si="7"/>
        <v>3942440.4055950404</v>
      </c>
      <c r="L29" s="34">
        <f t="shared" si="7"/>
        <v>3942440.4055950404</v>
      </c>
      <c r="M29" s="34">
        <f t="shared" si="7"/>
        <v>3942440.4055950404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171</v>
      </c>
      <c r="F31" s="9"/>
      <c r="G31" s="34">
        <f t="shared" ref="G31:M31" si="8">IF($E$27="Y",G27,IF($E$29="Y",G29,"Error: Please enter Y for one method"))</f>
        <v>3505519.16</v>
      </c>
      <c r="H31" s="34">
        <f>IF($E$27="Y",H27,IF($E$29="Y",H29,"Error: Please enter Y for one method"))</f>
        <v>2999659.9</v>
      </c>
      <c r="I31" s="34">
        <f t="shared" si="8"/>
        <v>3267295.02</v>
      </c>
      <c r="J31" s="34">
        <f t="shared" si="8"/>
        <v>3597436.4600000004</v>
      </c>
      <c r="K31" s="34">
        <f t="shared" si="8"/>
        <v>3942440.4055950404</v>
      </c>
      <c r="L31" s="34">
        <f t="shared" si="8"/>
        <v>3942440.4055950404</v>
      </c>
      <c r="M31" s="34">
        <f t="shared" si="8"/>
        <v>3942440.4055950404</v>
      </c>
      <c r="N31" s="9" t="s">
        <v>29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179</v>
      </c>
      <c r="G34" s="54"/>
      <c r="H34" s="228" t="s">
        <v>183</v>
      </c>
      <c r="I34" s="228"/>
      <c r="J34" s="228"/>
      <c r="K34" s="228"/>
      <c r="L34" s="228"/>
      <c r="M34" s="228"/>
      <c r="N34" s="98"/>
    </row>
    <row r="35" spans="3:27" x14ac:dyDescent="0.2">
      <c r="C35" s="97"/>
      <c r="D35" s="111" t="s">
        <v>193</v>
      </c>
      <c r="E35" t="s">
        <v>201</v>
      </c>
      <c r="G35" s="17">
        <f>G115</f>
        <v>3491790.14</v>
      </c>
      <c r="H35" s="81"/>
      <c r="I35" s="81"/>
      <c r="J35" s="81"/>
      <c r="K35" s="81"/>
      <c r="L35" s="81"/>
      <c r="M35" s="81"/>
      <c r="N35" s="98" t="s">
        <v>172</v>
      </c>
    </row>
    <row r="36" spans="3:27" x14ac:dyDescent="0.2">
      <c r="C36" s="97"/>
      <c r="D36" s="111" t="s">
        <v>194</v>
      </c>
      <c r="E36" t="s">
        <v>192</v>
      </c>
      <c r="G36" s="34">
        <f>G121</f>
        <v>0</v>
      </c>
      <c r="H36" s="81"/>
      <c r="I36" s="81"/>
      <c r="J36" s="77"/>
      <c r="K36" s="77"/>
      <c r="L36" s="77"/>
      <c r="M36" s="77"/>
      <c r="N36" s="98" t="s">
        <v>172</v>
      </c>
    </row>
    <row r="37" spans="3:27" x14ac:dyDescent="0.2">
      <c r="C37" s="97"/>
      <c r="D37" s="111" t="s">
        <v>195</v>
      </c>
      <c r="E37" t="s">
        <v>83</v>
      </c>
      <c r="G37" s="34">
        <f>G122</f>
        <v>13729.019999999999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27"/>
    </row>
    <row r="41" spans="3:27" x14ac:dyDescent="0.2">
      <c r="C41" s="97"/>
      <c r="D41" s="8" t="s">
        <v>178</v>
      </c>
      <c r="N41" s="98"/>
      <c r="O41" s="227"/>
    </row>
    <row r="42" spans="3:27" x14ac:dyDescent="0.2">
      <c r="C42" s="50"/>
      <c r="N42" s="98"/>
      <c r="O42" s="227"/>
    </row>
    <row r="43" spans="3:27" x14ac:dyDescent="0.2">
      <c r="C43" s="102"/>
      <c r="D43" s="8" t="s">
        <v>164</v>
      </c>
      <c r="E43" s="8"/>
      <c r="F43" s="2"/>
      <c r="N43" s="98"/>
      <c r="O43" s="227"/>
    </row>
    <row r="44" spans="3:27" x14ac:dyDescent="0.2">
      <c r="C44" s="102"/>
      <c r="E44" s="9">
        <v>5005</v>
      </c>
      <c r="F44" s="94" t="s">
        <v>8</v>
      </c>
      <c r="G44" s="38">
        <f>'Benchmarking Calculations'!G10</f>
        <v>0</v>
      </c>
      <c r="H44" s="86">
        <f>G44</f>
        <v>0</v>
      </c>
      <c r="I44" s="86">
        <f t="shared" ref="I44:K44" si="9">H44</f>
        <v>0</v>
      </c>
      <c r="J44" s="86">
        <f t="shared" si="9"/>
        <v>0</v>
      </c>
      <c r="K44" s="86">
        <f t="shared" si="9"/>
        <v>0</v>
      </c>
      <c r="L44" s="86">
        <f t="shared" ref="L44:M44" si="10">K44</f>
        <v>0</v>
      </c>
      <c r="M44" s="86">
        <f t="shared" si="10"/>
        <v>0</v>
      </c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9</v>
      </c>
      <c r="G45" s="38">
        <f>'Benchmarking Calculations'!G11</f>
        <v>13829.09</v>
      </c>
      <c r="H45" s="86">
        <v>10706</v>
      </c>
      <c r="I45" s="86">
        <v>13292</v>
      </c>
      <c r="J45" s="86">
        <v>16000</v>
      </c>
      <c r="K45" s="86">
        <v>16845.027999999998</v>
      </c>
      <c r="L45" s="86">
        <f t="shared" ref="H45:M106" si="11">K45</f>
        <v>16845.027999999998</v>
      </c>
      <c r="M45" s="86">
        <f t="shared" si="11"/>
        <v>16845.027999999998</v>
      </c>
      <c r="N45" s="98" t="s">
        <v>172</v>
      </c>
    </row>
    <row r="46" spans="3:27" x14ac:dyDescent="0.2">
      <c r="C46" s="102"/>
      <c r="E46" s="9">
        <v>5012</v>
      </c>
      <c r="F46" s="94" t="s">
        <v>10</v>
      </c>
      <c r="G46" s="38">
        <f>'Benchmarking Calculations'!G12</f>
        <v>0</v>
      </c>
      <c r="H46" s="86">
        <f t="shared" si="11"/>
        <v>0</v>
      </c>
      <c r="I46" s="86">
        <f t="shared" ref="I46:K63" si="12">H46</f>
        <v>0</v>
      </c>
      <c r="J46" s="86">
        <f t="shared" si="12"/>
        <v>0</v>
      </c>
      <c r="K46" s="86">
        <f t="shared" si="12"/>
        <v>0</v>
      </c>
      <c r="L46" s="86">
        <f t="shared" si="11"/>
        <v>0</v>
      </c>
      <c r="M46" s="86">
        <f t="shared" si="11"/>
        <v>0</v>
      </c>
      <c r="N46" s="98" t="s">
        <v>172</v>
      </c>
    </row>
    <row r="47" spans="3:27" x14ac:dyDescent="0.2">
      <c r="C47" s="102"/>
      <c r="E47" s="9">
        <v>5014</v>
      </c>
      <c r="F47" s="94" t="s">
        <v>11</v>
      </c>
      <c r="G47" s="38">
        <f>'Benchmarking Calculations'!G13</f>
        <v>0</v>
      </c>
      <c r="H47" s="86">
        <f t="shared" si="11"/>
        <v>0</v>
      </c>
      <c r="I47" s="86">
        <f t="shared" si="12"/>
        <v>0</v>
      </c>
      <c r="J47" s="86">
        <f t="shared" si="12"/>
        <v>0</v>
      </c>
      <c r="K47" s="86">
        <f t="shared" si="12"/>
        <v>0</v>
      </c>
      <c r="L47" s="86">
        <f t="shared" si="11"/>
        <v>0</v>
      </c>
      <c r="M47" s="86">
        <f t="shared" si="11"/>
        <v>0</v>
      </c>
      <c r="N47" s="98" t="s">
        <v>172</v>
      </c>
    </row>
    <row r="48" spans="3:27" ht="25.5" x14ac:dyDescent="0.2">
      <c r="C48" s="102"/>
      <c r="E48" s="9">
        <v>5015</v>
      </c>
      <c r="F48" s="94" t="s">
        <v>12</v>
      </c>
      <c r="G48" s="38">
        <f>'Benchmarking Calculations'!G14</f>
        <v>0</v>
      </c>
      <c r="H48" s="86">
        <f t="shared" si="11"/>
        <v>0</v>
      </c>
      <c r="I48" s="86">
        <f t="shared" si="12"/>
        <v>0</v>
      </c>
      <c r="J48" s="86">
        <f t="shared" si="12"/>
        <v>0</v>
      </c>
      <c r="K48" s="86">
        <f t="shared" si="12"/>
        <v>0</v>
      </c>
      <c r="L48" s="86">
        <f t="shared" si="11"/>
        <v>0</v>
      </c>
      <c r="M48" s="86">
        <f t="shared" si="11"/>
        <v>0</v>
      </c>
      <c r="N48" s="98" t="s">
        <v>172</v>
      </c>
    </row>
    <row r="49" spans="3:14" x14ac:dyDescent="0.2">
      <c r="C49" s="102"/>
      <c r="E49" s="9">
        <v>5016</v>
      </c>
      <c r="F49" s="94" t="s">
        <v>13</v>
      </c>
      <c r="G49" s="38">
        <f>'Benchmarking Calculations'!G15</f>
        <v>21196.81</v>
      </c>
      <c r="H49" s="86">
        <v>12111.65</v>
      </c>
      <c r="I49" s="86">
        <v>16755</v>
      </c>
      <c r="J49" s="86">
        <v>20250.080000000002</v>
      </c>
      <c r="K49" s="86">
        <v>12919.724143332618</v>
      </c>
      <c r="L49" s="86">
        <f t="shared" si="11"/>
        <v>12919.724143332618</v>
      </c>
      <c r="M49" s="86">
        <f t="shared" si="11"/>
        <v>12919.724143332618</v>
      </c>
      <c r="N49" s="98" t="s">
        <v>172</v>
      </c>
    </row>
    <row r="50" spans="3:14" ht="25.5" x14ac:dyDescent="0.2">
      <c r="C50" s="102"/>
      <c r="E50" s="9">
        <v>5017</v>
      </c>
      <c r="F50" s="94" t="s">
        <v>14</v>
      </c>
      <c r="G50" s="38">
        <f>'Benchmarking Calculations'!G16</f>
        <v>5496.35</v>
      </c>
      <c r="H50" s="86">
        <v>7068.04</v>
      </c>
      <c r="I50" s="86">
        <v>4301</v>
      </c>
      <c r="J50" s="86">
        <v>27351.88</v>
      </c>
      <c r="K50" s="86">
        <v>21747.906801973742</v>
      </c>
      <c r="L50" s="86">
        <f t="shared" si="11"/>
        <v>21747.906801973742</v>
      </c>
      <c r="M50" s="86">
        <f t="shared" si="11"/>
        <v>21747.906801973742</v>
      </c>
      <c r="N50" s="98" t="s">
        <v>172</v>
      </c>
    </row>
    <row r="51" spans="3:14" ht="25.5" x14ac:dyDescent="0.2">
      <c r="C51" s="102"/>
      <c r="E51" s="9">
        <v>5020</v>
      </c>
      <c r="F51" s="94" t="s">
        <v>15</v>
      </c>
      <c r="G51" s="38">
        <f>'Benchmarking Calculations'!G17</f>
        <v>0</v>
      </c>
      <c r="H51" s="86">
        <f t="shared" si="11"/>
        <v>0</v>
      </c>
      <c r="I51" s="86">
        <f t="shared" si="12"/>
        <v>0</v>
      </c>
      <c r="J51" s="86">
        <f t="shared" si="12"/>
        <v>0</v>
      </c>
      <c r="K51" s="86">
        <f t="shared" si="12"/>
        <v>0</v>
      </c>
      <c r="L51" s="86">
        <f t="shared" si="11"/>
        <v>0</v>
      </c>
      <c r="M51" s="86">
        <f t="shared" si="11"/>
        <v>0</v>
      </c>
      <c r="N51" s="98" t="s">
        <v>172</v>
      </c>
    </row>
    <row r="52" spans="3:14" ht="25.5" x14ac:dyDescent="0.2">
      <c r="C52" s="102"/>
      <c r="E52" s="9">
        <v>5025</v>
      </c>
      <c r="F52" s="94" t="s">
        <v>16</v>
      </c>
      <c r="G52" s="38">
        <f>'Benchmarking Calculations'!G18</f>
        <v>0</v>
      </c>
      <c r="H52" s="86">
        <f t="shared" si="11"/>
        <v>0</v>
      </c>
      <c r="I52" s="86">
        <f t="shared" si="12"/>
        <v>0</v>
      </c>
      <c r="J52" s="86">
        <f t="shared" si="12"/>
        <v>0</v>
      </c>
      <c r="K52" s="86">
        <f t="shared" si="12"/>
        <v>0</v>
      </c>
      <c r="L52" s="86">
        <f t="shared" si="11"/>
        <v>0</v>
      </c>
      <c r="M52" s="86">
        <f t="shared" si="11"/>
        <v>0</v>
      </c>
      <c r="N52" s="98" t="s">
        <v>172</v>
      </c>
    </row>
    <row r="53" spans="3:14" x14ac:dyDescent="0.2">
      <c r="C53" s="102"/>
      <c r="E53" s="9">
        <v>5035</v>
      </c>
      <c r="F53" s="94" t="s">
        <v>17</v>
      </c>
      <c r="G53" s="38">
        <f>'Benchmarking Calculations'!G19</f>
        <v>0</v>
      </c>
      <c r="H53" s="86">
        <f t="shared" si="11"/>
        <v>0</v>
      </c>
      <c r="I53" s="86">
        <f t="shared" si="12"/>
        <v>0</v>
      </c>
      <c r="J53" s="86">
        <f t="shared" si="12"/>
        <v>0</v>
      </c>
      <c r="K53" s="86">
        <f t="shared" si="12"/>
        <v>0</v>
      </c>
      <c r="L53" s="86">
        <f t="shared" si="11"/>
        <v>0</v>
      </c>
      <c r="M53" s="86">
        <f t="shared" si="11"/>
        <v>0</v>
      </c>
      <c r="N53" s="98" t="s">
        <v>172</v>
      </c>
    </row>
    <row r="54" spans="3:14" ht="25.5" x14ac:dyDescent="0.2">
      <c r="C54" s="102"/>
      <c r="E54" s="9">
        <v>5040</v>
      </c>
      <c r="F54" s="94" t="s">
        <v>18</v>
      </c>
      <c r="G54" s="38">
        <f>'Benchmarking Calculations'!G20</f>
        <v>0</v>
      </c>
      <c r="H54" s="86">
        <f t="shared" si="11"/>
        <v>0</v>
      </c>
      <c r="I54" s="86">
        <f t="shared" si="12"/>
        <v>0</v>
      </c>
      <c r="J54" s="86">
        <f t="shared" si="12"/>
        <v>0</v>
      </c>
      <c r="K54" s="86">
        <f t="shared" si="12"/>
        <v>0</v>
      </c>
      <c r="L54" s="86">
        <f t="shared" si="11"/>
        <v>0</v>
      </c>
      <c r="M54" s="86">
        <f t="shared" si="11"/>
        <v>0</v>
      </c>
      <c r="N54" s="98" t="s">
        <v>172</v>
      </c>
    </row>
    <row r="55" spans="3:14" ht="25.5" x14ac:dyDescent="0.2">
      <c r="C55" s="102"/>
      <c r="E55" s="9">
        <v>5045</v>
      </c>
      <c r="F55" s="94" t="s">
        <v>19</v>
      </c>
      <c r="G55" s="38">
        <f>'Benchmarking Calculations'!G21</f>
        <v>0</v>
      </c>
      <c r="H55" s="86">
        <f t="shared" si="11"/>
        <v>0</v>
      </c>
      <c r="I55" s="86">
        <f t="shared" si="12"/>
        <v>0</v>
      </c>
      <c r="J55" s="86">
        <f t="shared" si="12"/>
        <v>0</v>
      </c>
      <c r="K55" s="86">
        <f t="shared" si="12"/>
        <v>0</v>
      </c>
      <c r="L55" s="86">
        <f t="shared" si="11"/>
        <v>0</v>
      </c>
      <c r="M55" s="86">
        <f t="shared" si="11"/>
        <v>0</v>
      </c>
      <c r="N55" s="98" t="s">
        <v>172</v>
      </c>
    </row>
    <row r="56" spans="3:14" x14ac:dyDescent="0.2">
      <c r="C56" s="102"/>
      <c r="E56" s="9">
        <v>5055</v>
      </c>
      <c r="F56" s="94" t="s">
        <v>20</v>
      </c>
      <c r="G56" s="38">
        <f>'Benchmarking Calculations'!G22</f>
        <v>0</v>
      </c>
      <c r="H56" s="86">
        <f t="shared" si="11"/>
        <v>0</v>
      </c>
      <c r="I56" s="86">
        <f t="shared" si="12"/>
        <v>0</v>
      </c>
      <c r="J56" s="86">
        <f t="shared" si="12"/>
        <v>0</v>
      </c>
      <c r="K56" s="86">
        <f t="shared" si="12"/>
        <v>0</v>
      </c>
      <c r="L56" s="86">
        <f t="shared" si="11"/>
        <v>0</v>
      </c>
      <c r="M56" s="86">
        <f t="shared" si="11"/>
        <v>0</v>
      </c>
      <c r="N56" s="98" t="s">
        <v>172</v>
      </c>
    </row>
    <row r="57" spans="3:14" x14ac:dyDescent="0.2">
      <c r="C57" s="102"/>
      <c r="E57" s="9">
        <v>5065</v>
      </c>
      <c r="F57" s="94" t="s">
        <v>21</v>
      </c>
      <c r="G57" s="38">
        <f>'Benchmarking Calculations'!G23</f>
        <v>0</v>
      </c>
      <c r="H57" s="86">
        <f t="shared" si="11"/>
        <v>0</v>
      </c>
      <c r="I57" s="86">
        <f t="shared" si="12"/>
        <v>0</v>
      </c>
      <c r="J57" s="86">
        <f t="shared" si="12"/>
        <v>0</v>
      </c>
      <c r="K57" s="86">
        <f t="shared" si="12"/>
        <v>0</v>
      </c>
      <c r="L57" s="86">
        <f t="shared" si="11"/>
        <v>0</v>
      </c>
      <c r="M57" s="86">
        <f t="shared" si="11"/>
        <v>0</v>
      </c>
      <c r="N57" s="98" t="s">
        <v>172</v>
      </c>
    </row>
    <row r="58" spans="3:14" x14ac:dyDescent="0.2">
      <c r="C58" s="102"/>
      <c r="E58" s="9">
        <v>5070</v>
      </c>
      <c r="F58" s="94" t="s">
        <v>22</v>
      </c>
      <c r="G58" s="38">
        <f>'Benchmarking Calculations'!G24</f>
        <v>9824.08</v>
      </c>
      <c r="H58" s="86">
        <v>5811.3</v>
      </c>
      <c r="I58" s="86">
        <v>8293</v>
      </c>
      <c r="J58" s="86">
        <v>12026.45</v>
      </c>
      <c r="K58" s="86">
        <v>8219.4883468467669</v>
      </c>
      <c r="L58" s="86">
        <f t="shared" si="11"/>
        <v>8219.4883468467669</v>
      </c>
      <c r="M58" s="86">
        <f t="shared" si="11"/>
        <v>8219.4883468467669</v>
      </c>
      <c r="N58" s="98" t="s">
        <v>172</v>
      </c>
    </row>
    <row r="59" spans="3:14" ht="25.5" x14ac:dyDescent="0.2">
      <c r="C59" s="102"/>
      <c r="E59" s="9">
        <v>5075</v>
      </c>
      <c r="F59" s="94" t="s">
        <v>23</v>
      </c>
      <c r="G59" s="38">
        <f>'Benchmarking Calculations'!G25</f>
        <v>424</v>
      </c>
      <c r="H59" s="86">
        <v>0</v>
      </c>
      <c r="I59" s="86">
        <v>250</v>
      </c>
      <c r="J59" s="86">
        <v>267.5</v>
      </c>
      <c r="K59" s="86">
        <v>3279.2245538712468</v>
      </c>
      <c r="L59" s="86">
        <f t="shared" si="11"/>
        <v>3279.2245538712468</v>
      </c>
      <c r="M59" s="86">
        <f t="shared" si="11"/>
        <v>3279.2245538712468</v>
      </c>
      <c r="N59" s="98" t="s">
        <v>172</v>
      </c>
    </row>
    <row r="60" spans="3:14" x14ac:dyDescent="0.2">
      <c r="C60" s="102"/>
      <c r="E60" s="9">
        <v>5085</v>
      </c>
      <c r="F60" s="94" t="s">
        <v>24</v>
      </c>
      <c r="G60" s="38">
        <f>'Benchmarking Calculations'!G26</f>
        <v>0</v>
      </c>
      <c r="H60" s="86">
        <f t="shared" si="11"/>
        <v>0</v>
      </c>
      <c r="I60" s="86">
        <f t="shared" si="12"/>
        <v>0</v>
      </c>
      <c r="J60" s="86">
        <f t="shared" si="12"/>
        <v>0</v>
      </c>
      <c r="K60" s="86">
        <f t="shared" si="12"/>
        <v>0</v>
      </c>
      <c r="L60" s="86">
        <f t="shared" si="11"/>
        <v>0</v>
      </c>
      <c r="M60" s="86">
        <f t="shared" si="11"/>
        <v>0</v>
      </c>
      <c r="N60" s="98" t="s">
        <v>172</v>
      </c>
    </row>
    <row r="61" spans="3:14" ht="25.5" x14ac:dyDescent="0.2">
      <c r="C61" s="102"/>
      <c r="E61" s="9">
        <v>5090</v>
      </c>
      <c r="F61" s="94" t="s">
        <v>25</v>
      </c>
      <c r="G61" s="38">
        <f>'Benchmarking Calculations'!G27</f>
        <v>0</v>
      </c>
      <c r="H61" s="86">
        <f t="shared" si="11"/>
        <v>0</v>
      </c>
      <c r="I61" s="86">
        <f t="shared" si="12"/>
        <v>0</v>
      </c>
      <c r="J61" s="86">
        <f t="shared" si="12"/>
        <v>0</v>
      </c>
      <c r="K61" s="86">
        <f t="shared" si="12"/>
        <v>0</v>
      </c>
      <c r="L61" s="86">
        <f t="shared" si="11"/>
        <v>0</v>
      </c>
      <c r="M61" s="86">
        <f t="shared" si="11"/>
        <v>0</v>
      </c>
      <c r="N61" s="98" t="s">
        <v>172</v>
      </c>
    </row>
    <row r="62" spans="3:14" ht="25.5" x14ac:dyDescent="0.2">
      <c r="C62" s="102"/>
      <c r="E62" s="9">
        <v>5095</v>
      </c>
      <c r="F62" s="94" t="s">
        <v>26</v>
      </c>
      <c r="G62" s="38">
        <f>'Benchmarking Calculations'!G28</f>
        <v>0</v>
      </c>
      <c r="H62" s="86">
        <f t="shared" si="11"/>
        <v>0</v>
      </c>
      <c r="I62" s="86">
        <f t="shared" si="12"/>
        <v>0</v>
      </c>
      <c r="J62" s="86">
        <f t="shared" si="12"/>
        <v>0</v>
      </c>
      <c r="K62" s="86">
        <f t="shared" si="12"/>
        <v>0</v>
      </c>
      <c r="L62" s="86">
        <f t="shared" si="11"/>
        <v>0</v>
      </c>
      <c r="M62" s="86">
        <f t="shared" si="11"/>
        <v>0</v>
      </c>
      <c r="N62" s="98" t="s">
        <v>172</v>
      </c>
    </row>
    <row r="63" spans="3:14" x14ac:dyDescent="0.2">
      <c r="C63" s="102"/>
      <c r="E63" s="70">
        <v>5096</v>
      </c>
      <c r="F63" s="110" t="s">
        <v>27</v>
      </c>
      <c r="G63" s="71">
        <f>'Benchmarking Calculations'!G29</f>
        <v>0</v>
      </c>
      <c r="H63" s="86">
        <f t="shared" si="11"/>
        <v>0</v>
      </c>
      <c r="I63" s="86">
        <f t="shared" si="12"/>
        <v>0</v>
      </c>
      <c r="J63" s="86">
        <f t="shared" si="12"/>
        <v>0</v>
      </c>
      <c r="K63" s="86">
        <f t="shared" si="12"/>
        <v>0</v>
      </c>
      <c r="L63" s="86">
        <f t="shared" si="11"/>
        <v>0</v>
      </c>
      <c r="M63" s="86">
        <f t="shared" si="11"/>
        <v>0</v>
      </c>
      <c r="N63" s="98" t="s">
        <v>172</v>
      </c>
    </row>
    <row r="64" spans="3:14" x14ac:dyDescent="0.2">
      <c r="C64" s="102"/>
      <c r="E64" s="12"/>
      <c r="F64" s="13" t="s">
        <v>28</v>
      </c>
      <c r="G64" s="69">
        <f>'Benchmarking Calculations'!G30</f>
        <v>50770.33</v>
      </c>
      <c r="H64" s="52">
        <f>SUM(H44:H63)</f>
        <v>35696.990000000005</v>
      </c>
      <c r="I64" s="52">
        <f t="shared" ref="I64:M64" si="13">SUM(I44:I63)</f>
        <v>42891</v>
      </c>
      <c r="J64" s="52">
        <f t="shared" si="13"/>
        <v>75895.91</v>
      </c>
      <c r="K64" s="52">
        <f t="shared" si="13"/>
        <v>63011.371846024376</v>
      </c>
      <c r="L64" s="52">
        <f t="shared" si="13"/>
        <v>63011.371846024376</v>
      </c>
      <c r="M64" s="52">
        <f t="shared" si="13"/>
        <v>63011.371846024376</v>
      </c>
      <c r="N64" s="98" t="s">
        <v>29</v>
      </c>
    </row>
    <row r="65" spans="3:14" x14ac:dyDescent="0.2">
      <c r="C65" s="102"/>
      <c r="E65" s="9">
        <v>5105</v>
      </c>
      <c r="F65" s="94" t="s">
        <v>30</v>
      </c>
      <c r="G65" s="38">
        <f>'Benchmarking Calculations'!G31</f>
        <v>88358.04</v>
      </c>
      <c r="H65" s="86">
        <v>76700.680000000008</v>
      </c>
      <c r="I65" s="86">
        <v>61018</v>
      </c>
      <c r="J65" s="86">
        <v>168382.69</v>
      </c>
      <c r="K65" s="86">
        <v>180682.67548901093</v>
      </c>
      <c r="L65" s="86">
        <f t="shared" si="11"/>
        <v>180682.67548901093</v>
      </c>
      <c r="M65" s="86">
        <f t="shared" si="11"/>
        <v>180682.67548901093</v>
      </c>
      <c r="N65" s="98" t="s">
        <v>172</v>
      </c>
    </row>
    <row r="66" spans="3:14" x14ac:dyDescent="0.2">
      <c r="C66" s="102"/>
      <c r="E66" s="9">
        <v>5110</v>
      </c>
      <c r="F66" s="94" t="s">
        <v>31</v>
      </c>
      <c r="G66" s="38">
        <f>'Benchmarking Calculations'!G32</f>
        <v>0</v>
      </c>
      <c r="H66" s="86">
        <f t="shared" si="11"/>
        <v>0</v>
      </c>
      <c r="I66" s="86">
        <f t="shared" ref="I66:K68" si="14">H66</f>
        <v>0</v>
      </c>
      <c r="J66" s="86">
        <f t="shared" si="14"/>
        <v>0</v>
      </c>
      <c r="K66" s="86">
        <f t="shared" si="14"/>
        <v>0</v>
      </c>
      <c r="L66" s="86">
        <f t="shared" si="11"/>
        <v>0</v>
      </c>
      <c r="M66" s="86">
        <f t="shared" si="11"/>
        <v>0</v>
      </c>
      <c r="N66" s="98" t="s">
        <v>172</v>
      </c>
    </row>
    <row r="67" spans="3:14" x14ac:dyDescent="0.2">
      <c r="C67" s="102"/>
      <c r="E67" s="9">
        <v>5112</v>
      </c>
      <c r="F67" s="94" t="s">
        <v>32</v>
      </c>
      <c r="G67" s="38">
        <f>'Benchmarking Calculations'!G33</f>
        <v>0</v>
      </c>
      <c r="H67" s="86">
        <f t="shared" si="11"/>
        <v>0</v>
      </c>
      <c r="I67" s="86">
        <f t="shared" si="14"/>
        <v>0</v>
      </c>
      <c r="J67" s="86">
        <f t="shared" si="14"/>
        <v>0</v>
      </c>
      <c r="K67" s="86">
        <f t="shared" si="14"/>
        <v>0</v>
      </c>
      <c r="L67" s="86">
        <f t="shared" si="11"/>
        <v>0</v>
      </c>
      <c r="M67" s="86">
        <f t="shared" si="11"/>
        <v>0</v>
      </c>
      <c r="N67" s="98" t="s">
        <v>172</v>
      </c>
    </row>
    <row r="68" spans="3:14" x14ac:dyDescent="0.2">
      <c r="C68" s="102"/>
      <c r="E68" s="9">
        <v>5114</v>
      </c>
      <c r="F68" s="94" t="s">
        <v>33</v>
      </c>
      <c r="G68" s="38">
        <f>'Benchmarking Calculations'!G34</f>
        <v>0</v>
      </c>
      <c r="H68" s="86">
        <f t="shared" si="11"/>
        <v>0</v>
      </c>
      <c r="I68" s="86">
        <f t="shared" si="14"/>
        <v>0</v>
      </c>
      <c r="J68" s="86">
        <f t="shared" si="14"/>
        <v>0</v>
      </c>
      <c r="K68" s="86">
        <f t="shared" si="14"/>
        <v>0</v>
      </c>
      <c r="L68" s="86">
        <f t="shared" si="11"/>
        <v>0</v>
      </c>
      <c r="M68" s="86">
        <f t="shared" si="11"/>
        <v>0</v>
      </c>
      <c r="N68" s="98" t="s">
        <v>172</v>
      </c>
    </row>
    <row r="69" spans="3:14" x14ac:dyDescent="0.2">
      <c r="C69" s="102"/>
      <c r="E69" s="9">
        <v>5120</v>
      </c>
      <c r="F69" s="94" t="s">
        <v>34</v>
      </c>
      <c r="G69" s="38">
        <f>'Benchmarking Calculations'!G35</f>
        <v>6916.68</v>
      </c>
      <c r="H69" s="86">
        <v>5354.05</v>
      </c>
      <c r="I69" s="86">
        <v>55184</v>
      </c>
      <c r="J69" s="86">
        <v>48769.18</v>
      </c>
      <c r="K69" s="86">
        <v>52939.780011887502</v>
      </c>
      <c r="L69" s="86">
        <f t="shared" si="11"/>
        <v>52939.780011887502</v>
      </c>
      <c r="M69" s="86">
        <f t="shared" si="11"/>
        <v>52939.780011887502</v>
      </c>
      <c r="N69" s="98" t="s">
        <v>172</v>
      </c>
    </row>
    <row r="70" spans="3:14" x14ac:dyDescent="0.2">
      <c r="C70" s="102"/>
      <c r="E70" s="9">
        <v>5125</v>
      </c>
      <c r="F70" s="94" t="s">
        <v>35</v>
      </c>
      <c r="G70" s="38">
        <f>'Benchmarking Calculations'!G36</f>
        <v>105910.53</v>
      </c>
      <c r="H70" s="86">
        <v>109429.82</v>
      </c>
      <c r="I70" s="86">
        <v>103439</v>
      </c>
      <c r="J70" s="86">
        <v>96179.82</v>
      </c>
      <c r="K70" s="86">
        <v>121442.44940528336</v>
      </c>
      <c r="L70" s="86">
        <f t="shared" si="11"/>
        <v>121442.44940528336</v>
      </c>
      <c r="M70" s="86">
        <f t="shared" si="11"/>
        <v>121442.44940528336</v>
      </c>
      <c r="N70" s="98" t="s">
        <v>172</v>
      </c>
    </row>
    <row r="71" spans="3:14" x14ac:dyDescent="0.2">
      <c r="C71" s="102"/>
      <c r="E71" s="9">
        <v>5130</v>
      </c>
      <c r="F71" s="94" t="s">
        <v>36</v>
      </c>
      <c r="G71" s="38">
        <f>'Benchmarking Calculations'!G37</f>
        <v>51031.78</v>
      </c>
      <c r="H71" s="86">
        <v>53481.67</v>
      </c>
      <c r="I71" s="86">
        <v>59328</v>
      </c>
      <c r="J71" s="86">
        <v>50057.86</v>
      </c>
      <c r="K71" s="86">
        <v>43108.531382550376</v>
      </c>
      <c r="L71" s="86">
        <f t="shared" si="11"/>
        <v>43108.531382550376</v>
      </c>
      <c r="M71" s="86">
        <f t="shared" si="11"/>
        <v>43108.531382550376</v>
      </c>
      <c r="N71" s="98" t="s">
        <v>172</v>
      </c>
    </row>
    <row r="72" spans="3:14" ht="25.5" x14ac:dyDescent="0.2">
      <c r="C72" s="102"/>
      <c r="E72" s="9">
        <v>5135</v>
      </c>
      <c r="F72" s="94" t="s">
        <v>37</v>
      </c>
      <c r="G72" s="38">
        <f>'Benchmarking Calculations'!G38</f>
        <v>117439.42</v>
      </c>
      <c r="H72" s="86">
        <v>151740.85</v>
      </c>
      <c r="I72" s="86">
        <v>173021</v>
      </c>
      <c r="J72" s="86">
        <v>217115.81</v>
      </c>
      <c r="K72" s="86">
        <v>221311.56877285868</v>
      </c>
      <c r="L72" s="86">
        <f t="shared" si="11"/>
        <v>221311.56877285868</v>
      </c>
      <c r="M72" s="86">
        <f t="shared" si="11"/>
        <v>221311.56877285868</v>
      </c>
      <c r="N72" s="98" t="s">
        <v>172</v>
      </c>
    </row>
    <row r="73" spans="3:14" x14ac:dyDescent="0.2">
      <c r="C73" s="102"/>
      <c r="E73" s="9">
        <v>5145</v>
      </c>
      <c r="F73" s="94" t="s">
        <v>38</v>
      </c>
      <c r="G73" s="38">
        <f>'Benchmarking Calculations'!G39</f>
        <v>133.12</v>
      </c>
      <c r="H73" s="86">
        <v>678.06000000000006</v>
      </c>
      <c r="I73" s="86">
        <v>1731</v>
      </c>
      <c r="J73" s="86">
        <v>12.16</v>
      </c>
      <c r="K73" s="86">
        <v>0</v>
      </c>
      <c r="L73" s="86">
        <f t="shared" si="11"/>
        <v>0</v>
      </c>
      <c r="M73" s="86">
        <f t="shared" si="11"/>
        <v>0</v>
      </c>
      <c r="N73" s="98" t="s">
        <v>172</v>
      </c>
    </row>
    <row r="74" spans="3:14" ht="25.5" x14ac:dyDescent="0.2">
      <c r="C74" s="102"/>
      <c r="E74" s="9">
        <v>5150</v>
      </c>
      <c r="F74" s="94" t="s">
        <v>39</v>
      </c>
      <c r="G74" s="38">
        <f>'Benchmarking Calculations'!G40</f>
        <v>190747.9</v>
      </c>
      <c r="H74" s="86">
        <v>204802.22</v>
      </c>
      <c r="I74" s="86">
        <v>181544</v>
      </c>
      <c r="J74" s="86">
        <v>164225.1</v>
      </c>
      <c r="K74" s="86">
        <v>189063.36145779857</v>
      </c>
      <c r="L74" s="86">
        <f t="shared" si="11"/>
        <v>189063.36145779857</v>
      </c>
      <c r="M74" s="86">
        <f t="shared" si="11"/>
        <v>189063.36145779857</v>
      </c>
      <c r="N74" s="98" t="s">
        <v>172</v>
      </c>
    </row>
    <row r="75" spans="3:14" x14ac:dyDescent="0.2">
      <c r="C75" s="102"/>
      <c r="E75" s="9">
        <v>5155</v>
      </c>
      <c r="F75" s="94" t="s">
        <v>40</v>
      </c>
      <c r="G75" s="38">
        <f>'Benchmarking Calculations'!G41</f>
        <v>107940.57</v>
      </c>
      <c r="H75" s="86">
        <v>102037.35</v>
      </c>
      <c r="I75" s="86">
        <v>115314</v>
      </c>
      <c r="J75" s="86">
        <v>132046.35999999999</v>
      </c>
      <c r="K75" s="86">
        <v>142591.57238163796</v>
      </c>
      <c r="L75" s="86">
        <f t="shared" si="11"/>
        <v>142591.57238163796</v>
      </c>
      <c r="M75" s="86">
        <f t="shared" si="11"/>
        <v>142591.57238163796</v>
      </c>
      <c r="N75" s="98" t="s">
        <v>172</v>
      </c>
    </row>
    <row r="76" spans="3:14" x14ac:dyDescent="0.2">
      <c r="C76" s="102"/>
      <c r="E76" s="9">
        <v>5160</v>
      </c>
      <c r="F76" s="94" t="s">
        <v>41</v>
      </c>
      <c r="G76" s="38">
        <f>'Benchmarking Calculations'!G42</f>
        <v>13427.29</v>
      </c>
      <c r="H76" s="86">
        <v>23260.12</v>
      </c>
      <c r="I76" s="86">
        <v>35491</v>
      </c>
      <c r="J76" s="86">
        <v>37894.300000000003</v>
      </c>
      <c r="K76" s="86">
        <v>32426.655203481801</v>
      </c>
      <c r="L76" s="86">
        <f t="shared" si="11"/>
        <v>32426.655203481801</v>
      </c>
      <c r="M76" s="86">
        <f t="shared" si="11"/>
        <v>32426.655203481801</v>
      </c>
      <c r="N76" s="98" t="s">
        <v>172</v>
      </c>
    </row>
    <row r="77" spans="3:14" x14ac:dyDescent="0.2">
      <c r="C77" s="102"/>
      <c r="E77" s="70">
        <v>5175</v>
      </c>
      <c r="F77" s="110" t="s">
        <v>42</v>
      </c>
      <c r="G77" s="71">
        <f>'Benchmarking Calculations'!G43</f>
        <v>33546.720000000001</v>
      </c>
      <c r="H77" s="86">
        <v>39194.5</v>
      </c>
      <c r="I77" s="86">
        <v>51656</v>
      </c>
      <c r="J77" s="86">
        <v>58532.6</v>
      </c>
      <c r="K77" s="86">
        <v>34384.728699920961</v>
      </c>
      <c r="L77" s="86">
        <f t="shared" si="11"/>
        <v>34384.728699920961</v>
      </c>
      <c r="M77" s="86">
        <f t="shared" si="11"/>
        <v>34384.728699920961</v>
      </c>
      <c r="N77" s="98" t="s">
        <v>172</v>
      </c>
    </row>
    <row r="78" spans="3:14" x14ac:dyDescent="0.2">
      <c r="C78" s="102"/>
      <c r="E78" s="12"/>
      <c r="F78" s="13" t="s">
        <v>43</v>
      </c>
      <c r="G78" s="69">
        <f>'Benchmarking Calculations'!G44</f>
        <v>715452.05</v>
      </c>
      <c r="H78" s="52">
        <f>SUM(H65:H77)</f>
        <v>766679.32000000007</v>
      </c>
      <c r="I78" s="52">
        <f t="shared" ref="I78:M78" si="15">SUM(I65:I77)</f>
        <v>837726</v>
      </c>
      <c r="J78" s="52">
        <f t="shared" si="15"/>
        <v>973215.88</v>
      </c>
      <c r="K78" s="52">
        <f t="shared" si="15"/>
        <v>1017951.3228044302</v>
      </c>
      <c r="L78" s="52">
        <f t="shared" si="15"/>
        <v>1017951.3228044302</v>
      </c>
      <c r="M78" s="52">
        <f t="shared" si="15"/>
        <v>1017951.3228044302</v>
      </c>
      <c r="N78" s="98" t="s">
        <v>29</v>
      </c>
    </row>
    <row r="79" spans="3:14" x14ac:dyDescent="0.2">
      <c r="C79" s="102"/>
      <c r="E79" s="9">
        <v>5305</v>
      </c>
      <c r="F79" s="9" t="s">
        <v>44</v>
      </c>
      <c r="G79" s="38">
        <f>'Benchmarking Calculations'!G45</f>
        <v>0</v>
      </c>
      <c r="H79" s="86">
        <f t="shared" si="11"/>
        <v>0</v>
      </c>
      <c r="I79" s="86">
        <f t="shared" si="11"/>
        <v>0</v>
      </c>
      <c r="J79" s="86">
        <f t="shared" si="11"/>
        <v>0</v>
      </c>
      <c r="K79" s="86">
        <f t="shared" si="11"/>
        <v>0</v>
      </c>
      <c r="L79" s="86">
        <f t="shared" si="11"/>
        <v>0</v>
      </c>
      <c r="M79" s="86">
        <f t="shared" si="11"/>
        <v>0</v>
      </c>
      <c r="N79" s="98" t="s">
        <v>172</v>
      </c>
    </row>
    <row r="80" spans="3:14" x14ac:dyDescent="0.2">
      <c r="C80" s="102"/>
      <c r="E80" s="9">
        <v>5310</v>
      </c>
      <c r="F80" s="9" t="s">
        <v>45</v>
      </c>
      <c r="G80" s="38">
        <f>'Benchmarking Calculations'!G46</f>
        <v>137943.04000000001</v>
      </c>
      <c r="H80" s="86">
        <v>136970.92000000001</v>
      </c>
      <c r="I80" s="86">
        <v>148202</v>
      </c>
      <c r="J80" s="86">
        <v>166066.59</v>
      </c>
      <c r="K80" s="86">
        <v>170486.82447793076</v>
      </c>
      <c r="L80" s="86">
        <f t="shared" si="11"/>
        <v>170486.82447793076</v>
      </c>
      <c r="M80" s="86">
        <f t="shared" si="11"/>
        <v>170486.82447793076</v>
      </c>
      <c r="N80" s="98" t="s">
        <v>172</v>
      </c>
    </row>
    <row r="81" spans="3:14" x14ac:dyDescent="0.2">
      <c r="C81" s="102"/>
      <c r="E81" s="9">
        <v>5315</v>
      </c>
      <c r="F81" s="9" t="s">
        <v>46</v>
      </c>
      <c r="G81" s="38">
        <f>'Benchmarking Calculations'!G47</f>
        <v>500107.27</v>
      </c>
      <c r="H81" s="86">
        <v>483204.43000000005</v>
      </c>
      <c r="I81" s="86">
        <v>478054</v>
      </c>
      <c r="J81" s="86">
        <v>558456.97</v>
      </c>
      <c r="K81" s="86">
        <v>647153.62790705427</v>
      </c>
      <c r="L81" s="86">
        <f t="shared" si="11"/>
        <v>647153.62790705427</v>
      </c>
      <c r="M81" s="86">
        <f t="shared" si="11"/>
        <v>647153.62790705427</v>
      </c>
      <c r="N81" s="98" t="s">
        <v>172</v>
      </c>
    </row>
    <row r="82" spans="3:14" x14ac:dyDescent="0.2">
      <c r="C82" s="102"/>
      <c r="E82" s="9">
        <v>5320</v>
      </c>
      <c r="F82" s="9" t="s">
        <v>47</v>
      </c>
      <c r="G82" s="38">
        <f>'Benchmarking Calculations'!G48</f>
        <v>279638.46999999997</v>
      </c>
      <c r="H82" s="86">
        <v>282543.93000000005</v>
      </c>
      <c r="I82" s="86">
        <v>294250</v>
      </c>
      <c r="J82" s="86">
        <v>367812.48</v>
      </c>
      <c r="K82" s="86">
        <v>345159.78223505866</v>
      </c>
      <c r="L82" s="86">
        <f t="shared" si="11"/>
        <v>345159.78223505866</v>
      </c>
      <c r="M82" s="86">
        <f t="shared" si="11"/>
        <v>345159.78223505866</v>
      </c>
      <c r="N82" s="98" t="s">
        <v>172</v>
      </c>
    </row>
    <row r="83" spans="3:14" x14ac:dyDescent="0.2">
      <c r="C83" s="102"/>
      <c r="E83" s="9">
        <v>5325</v>
      </c>
      <c r="F83" s="9" t="s">
        <v>48</v>
      </c>
      <c r="G83" s="38">
        <f>'Benchmarking Calculations'!G49</f>
        <v>0</v>
      </c>
      <c r="H83" s="86">
        <v>0</v>
      </c>
      <c r="I83" s="86">
        <v>0</v>
      </c>
      <c r="J83" s="86">
        <v>0</v>
      </c>
      <c r="K83" s="86">
        <v>0</v>
      </c>
      <c r="L83" s="86">
        <f t="shared" si="11"/>
        <v>0</v>
      </c>
      <c r="M83" s="86">
        <f t="shared" si="11"/>
        <v>0</v>
      </c>
      <c r="N83" s="98" t="s">
        <v>172</v>
      </c>
    </row>
    <row r="84" spans="3:14" x14ac:dyDescent="0.2">
      <c r="C84" s="102"/>
      <c r="E84" s="9">
        <v>5330</v>
      </c>
      <c r="F84" s="9" t="s">
        <v>49</v>
      </c>
      <c r="G84" s="38">
        <f>'Benchmarking Calculations'!G50</f>
        <v>952.61</v>
      </c>
      <c r="H84" s="86">
        <v>668.34</v>
      </c>
      <c r="I84" s="86">
        <v>618</v>
      </c>
      <c r="J84" s="86">
        <v>830</v>
      </c>
      <c r="K84" s="86">
        <v>869.42079999999999</v>
      </c>
      <c r="L84" s="86">
        <f t="shared" si="11"/>
        <v>869.42079999999999</v>
      </c>
      <c r="M84" s="86">
        <f t="shared" si="11"/>
        <v>869.42079999999999</v>
      </c>
      <c r="N84" s="98" t="s">
        <v>172</v>
      </c>
    </row>
    <row r="85" spans="3:14" x14ac:dyDescent="0.2">
      <c r="C85" s="102"/>
      <c r="E85" s="70">
        <v>5340</v>
      </c>
      <c r="F85" s="70" t="s">
        <v>50</v>
      </c>
      <c r="G85" s="71">
        <f>'Benchmarking Calculations'!G51</f>
        <v>0</v>
      </c>
      <c r="H85" s="86">
        <f t="shared" si="11"/>
        <v>0</v>
      </c>
      <c r="I85" s="86">
        <f t="shared" si="11"/>
        <v>0</v>
      </c>
      <c r="J85" s="86">
        <f t="shared" si="11"/>
        <v>0</v>
      </c>
      <c r="K85" s="86">
        <f t="shared" si="11"/>
        <v>0</v>
      </c>
      <c r="L85" s="86">
        <f t="shared" si="11"/>
        <v>0</v>
      </c>
      <c r="M85" s="86">
        <f t="shared" ref="I85:M100" si="16">L85</f>
        <v>0</v>
      </c>
      <c r="N85" s="98" t="s">
        <v>172</v>
      </c>
    </row>
    <row r="86" spans="3:14" x14ac:dyDescent="0.2">
      <c r="C86" s="102"/>
      <c r="E86" s="12"/>
      <c r="F86" s="13" t="s">
        <v>51</v>
      </c>
      <c r="G86" s="69">
        <f>'Benchmarking Calculations'!G52</f>
        <v>918641.39</v>
      </c>
      <c r="H86" s="52">
        <f>SUM(H79:H85)</f>
        <v>903387.62000000011</v>
      </c>
      <c r="I86" s="52">
        <f t="shared" ref="I86:M86" si="17">SUM(I79:I85)</f>
        <v>921124</v>
      </c>
      <c r="J86" s="52">
        <f t="shared" si="17"/>
        <v>1093166.04</v>
      </c>
      <c r="K86" s="52">
        <f t="shared" si="17"/>
        <v>1163669.6554200437</v>
      </c>
      <c r="L86" s="52">
        <f t="shared" si="17"/>
        <v>1163669.6554200437</v>
      </c>
      <c r="M86" s="52">
        <f t="shared" si="17"/>
        <v>1163669.6554200437</v>
      </c>
      <c r="N86" s="98" t="s">
        <v>29</v>
      </c>
    </row>
    <row r="87" spans="3:14" x14ac:dyDescent="0.2">
      <c r="C87" s="102"/>
      <c r="E87" s="9">
        <v>5405</v>
      </c>
      <c r="F87" s="9" t="s">
        <v>52</v>
      </c>
      <c r="G87" s="38">
        <f>'Benchmarking Calculations'!G53</f>
        <v>0</v>
      </c>
      <c r="H87" s="86">
        <f t="shared" si="11"/>
        <v>0</v>
      </c>
      <c r="I87" s="86">
        <f t="shared" si="16"/>
        <v>0</v>
      </c>
      <c r="J87" s="86">
        <f t="shared" si="16"/>
        <v>0</v>
      </c>
      <c r="K87" s="86">
        <f t="shared" si="16"/>
        <v>0</v>
      </c>
      <c r="L87" s="86">
        <f t="shared" si="16"/>
        <v>0</v>
      </c>
      <c r="M87" s="86">
        <f t="shared" si="16"/>
        <v>0</v>
      </c>
      <c r="N87" s="98" t="s">
        <v>172</v>
      </c>
    </row>
    <row r="88" spans="3:14" x14ac:dyDescent="0.2">
      <c r="C88" s="102"/>
      <c r="E88" s="9">
        <v>5410</v>
      </c>
      <c r="F88" s="9" t="s">
        <v>53</v>
      </c>
      <c r="G88" s="38">
        <f>'Benchmarking Calculations'!G54</f>
        <v>16479.310000000001</v>
      </c>
      <c r="H88" s="86">
        <v>9486.57</v>
      </c>
      <c r="I88" s="86">
        <v>15636</v>
      </c>
      <c r="J88" s="86">
        <v>22171.68</v>
      </c>
      <c r="K88" s="86">
        <v>19885.303949053479</v>
      </c>
      <c r="L88" s="86">
        <f t="shared" si="16"/>
        <v>19885.303949053479</v>
      </c>
      <c r="M88" s="86">
        <f t="shared" si="16"/>
        <v>19885.303949053479</v>
      </c>
      <c r="N88" s="98" t="s">
        <v>172</v>
      </c>
    </row>
    <row r="89" spans="3:14" x14ac:dyDescent="0.2">
      <c r="C89" s="102"/>
      <c r="E89" s="9">
        <v>5420</v>
      </c>
      <c r="F89" s="9" t="s">
        <v>54</v>
      </c>
      <c r="G89" s="38">
        <f>'Benchmarking Calculations'!G55</f>
        <v>0</v>
      </c>
      <c r="H89" s="86">
        <f t="shared" si="11"/>
        <v>0</v>
      </c>
      <c r="I89" s="86">
        <f t="shared" si="16"/>
        <v>0</v>
      </c>
      <c r="J89" s="86">
        <f t="shared" si="16"/>
        <v>0</v>
      </c>
      <c r="K89" s="86">
        <f t="shared" si="16"/>
        <v>0</v>
      </c>
      <c r="L89" s="86">
        <f t="shared" si="16"/>
        <v>0</v>
      </c>
      <c r="M89" s="86">
        <f t="shared" si="16"/>
        <v>0</v>
      </c>
      <c r="N89" s="98" t="s">
        <v>172</v>
      </c>
    </row>
    <row r="90" spans="3:14" x14ac:dyDescent="0.2">
      <c r="C90" s="102"/>
      <c r="E90" s="70">
        <v>5425</v>
      </c>
      <c r="F90" s="70" t="s">
        <v>55</v>
      </c>
      <c r="G90" s="71">
        <f>'Benchmarking Calculations'!G56</f>
        <v>0</v>
      </c>
      <c r="H90" s="86">
        <f t="shared" si="11"/>
        <v>0</v>
      </c>
      <c r="I90" s="86">
        <f t="shared" si="16"/>
        <v>0</v>
      </c>
      <c r="J90" s="86">
        <f t="shared" si="16"/>
        <v>0</v>
      </c>
      <c r="K90" s="86">
        <f t="shared" si="16"/>
        <v>0</v>
      </c>
      <c r="L90" s="86">
        <f t="shared" si="16"/>
        <v>0</v>
      </c>
      <c r="M90" s="86">
        <f t="shared" si="16"/>
        <v>0</v>
      </c>
      <c r="N90" s="98" t="s">
        <v>172</v>
      </c>
    </row>
    <row r="91" spans="3:14" x14ac:dyDescent="0.2">
      <c r="C91" s="102"/>
      <c r="E91" s="12"/>
      <c r="F91" s="13" t="s">
        <v>56</v>
      </c>
      <c r="G91" s="69">
        <f>'Benchmarking Calculations'!G57</f>
        <v>16479.310000000001</v>
      </c>
      <c r="H91" s="52">
        <f>SUM(H87:H90)</f>
        <v>9486.57</v>
      </c>
      <c r="I91" s="52">
        <f t="shared" ref="I91:M91" si="18">SUM(I87:I90)</f>
        <v>15636</v>
      </c>
      <c r="J91" s="52">
        <f t="shared" si="18"/>
        <v>22171.68</v>
      </c>
      <c r="K91" s="52">
        <f t="shared" si="18"/>
        <v>19885.303949053479</v>
      </c>
      <c r="L91" s="52">
        <f t="shared" si="18"/>
        <v>19885.303949053479</v>
      </c>
      <c r="M91" s="52">
        <f t="shared" si="18"/>
        <v>19885.303949053479</v>
      </c>
      <c r="N91" s="98" t="s">
        <v>29</v>
      </c>
    </row>
    <row r="92" spans="3:14" x14ac:dyDescent="0.2">
      <c r="C92" s="102"/>
      <c r="E92" s="9">
        <v>5605</v>
      </c>
      <c r="F92" s="9" t="s">
        <v>57</v>
      </c>
      <c r="G92" s="38">
        <f>'Benchmarking Calculations'!G58</f>
        <v>426784.59</v>
      </c>
      <c r="H92" s="86">
        <v>263761.39</v>
      </c>
      <c r="I92" s="86">
        <v>292440</v>
      </c>
      <c r="J92" s="86">
        <v>342144.3</v>
      </c>
      <c r="K92" s="86">
        <v>347830.51954680803</v>
      </c>
      <c r="L92" s="86">
        <f t="shared" si="16"/>
        <v>347830.51954680803</v>
      </c>
      <c r="M92" s="86">
        <f t="shared" si="16"/>
        <v>347830.51954680803</v>
      </c>
      <c r="N92" s="98" t="s">
        <v>172</v>
      </c>
    </row>
    <row r="93" spans="3:14" x14ac:dyDescent="0.2">
      <c r="C93" s="102"/>
      <c r="E93" s="9">
        <v>5610</v>
      </c>
      <c r="F93" s="9" t="s">
        <v>58</v>
      </c>
      <c r="G93" s="38">
        <f>'Benchmarking Calculations'!G59</f>
        <v>493974.96</v>
      </c>
      <c r="H93" s="86">
        <v>352195.56</v>
      </c>
      <c r="I93" s="86">
        <v>377070</v>
      </c>
      <c r="J93" s="86">
        <v>334792.03000000003</v>
      </c>
      <c r="K93" s="86">
        <v>455597.19621705735</v>
      </c>
      <c r="L93" s="86">
        <f t="shared" si="16"/>
        <v>455597.19621705735</v>
      </c>
      <c r="M93" s="86">
        <f t="shared" si="16"/>
        <v>455597.19621705735</v>
      </c>
      <c r="N93" s="98" t="s">
        <v>172</v>
      </c>
    </row>
    <row r="94" spans="3:14" x14ac:dyDescent="0.2">
      <c r="C94" s="102"/>
      <c r="E94" s="9">
        <v>5615</v>
      </c>
      <c r="F94" s="9" t="s">
        <v>59</v>
      </c>
      <c r="G94" s="38">
        <f>'Benchmarking Calculations'!G60</f>
        <v>258706.39</v>
      </c>
      <c r="H94" s="86">
        <v>235654.25</v>
      </c>
      <c r="I94" s="86">
        <v>275696</v>
      </c>
      <c r="J94" s="86">
        <v>263333.08</v>
      </c>
      <c r="K94" s="86">
        <v>264619.67714864423</v>
      </c>
      <c r="L94" s="86">
        <f t="shared" si="16"/>
        <v>264619.67714864423</v>
      </c>
      <c r="M94" s="86">
        <f t="shared" si="16"/>
        <v>264619.67714864423</v>
      </c>
      <c r="N94" s="98" t="s">
        <v>172</v>
      </c>
    </row>
    <row r="95" spans="3:14" x14ac:dyDescent="0.2">
      <c r="C95" s="102"/>
      <c r="E95" s="9">
        <v>5620</v>
      </c>
      <c r="F95" s="9" t="s">
        <v>60</v>
      </c>
      <c r="G95" s="38">
        <f>'Benchmarking Calculations'!G61</f>
        <v>65325.18</v>
      </c>
      <c r="H95" s="86">
        <v>42168.08</v>
      </c>
      <c r="I95" s="86">
        <v>62501</v>
      </c>
      <c r="J95" s="86">
        <v>49196.56</v>
      </c>
      <c r="K95" s="86">
        <v>62860.502152297289</v>
      </c>
      <c r="L95" s="86">
        <f t="shared" si="16"/>
        <v>62860.502152297289</v>
      </c>
      <c r="M95" s="86">
        <f t="shared" si="16"/>
        <v>62860.502152297289</v>
      </c>
      <c r="N95" s="98" t="s">
        <v>172</v>
      </c>
    </row>
    <row r="96" spans="3:14" x14ac:dyDescent="0.2">
      <c r="C96" s="102"/>
      <c r="E96" s="9">
        <v>5625</v>
      </c>
      <c r="F96" s="9" t="s">
        <v>61</v>
      </c>
      <c r="G96" s="38">
        <f>'Benchmarking Calculations'!G62</f>
        <v>58546.18</v>
      </c>
      <c r="H96" s="86">
        <v>59962.96</v>
      </c>
      <c r="I96" s="86">
        <v>62169</v>
      </c>
      <c r="J96" s="86">
        <v>64297</v>
      </c>
      <c r="K96" s="86">
        <v>67923.5</v>
      </c>
      <c r="L96" s="86">
        <f t="shared" si="16"/>
        <v>67923.5</v>
      </c>
      <c r="M96" s="86">
        <f t="shared" si="16"/>
        <v>67923.5</v>
      </c>
      <c r="N96" s="98" t="s">
        <v>172</v>
      </c>
    </row>
    <row r="97" spans="3:14" x14ac:dyDescent="0.2">
      <c r="C97" s="102"/>
      <c r="E97" s="9">
        <v>5630</v>
      </c>
      <c r="F97" s="9" t="s">
        <v>62</v>
      </c>
      <c r="G97" s="38">
        <f>'Benchmarking Calculations'!G63</f>
        <v>267926.90999999997</v>
      </c>
      <c r="H97" s="86">
        <v>93773.69</v>
      </c>
      <c r="I97" s="86">
        <v>135697</v>
      </c>
      <c r="J97" s="86">
        <v>108901.36</v>
      </c>
      <c r="K97" s="86">
        <v>128459.78890522791</v>
      </c>
      <c r="L97" s="86">
        <f t="shared" si="16"/>
        <v>128459.78890522791</v>
      </c>
      <c r="M97" s="86">
        <f t="shared" si="16"/>
        <v>128459.78890522791</v>
      </c>
      <c r="N97" s="98" t="s">
        <v>172</v>
      </c>
    </row>
    <row r="98" spans="3:14" x14ac:dyDescent="0.2">
      <c r="C98" s="102"/>
      <c r="E98" s="9">
        <v>5640</v>
      </c>
      <c r="F98" s="9" t="s">
        <v>63</v>
      </c>
      <c r="G98" s="38">
        <f>'Benchmarking Calculations'!G64</f>
        <v>0</v>
      </c>
      <c r="H98" s="86">
        <f t="shared" si="11"/>
        <v>0</v>
      </c>
      <c r="I98" s="86">
        <f t="shared" ref="I98:K106" si="19">H98</f>
        <v>0</v>
      </c>
      <c r="J98" s="86">
        <f t="shared" si="19"/>
        <v>0</v>
      </c>
      <c r="K98" s="86">
        <f t="shared" si="19"/>
        <v>0</v>
      </c>
      <c r="L98" s="86">
        <f t="shared" si="16"/>
        <v>0</v>
      </c>
      <c r="M98" s="86">
        <f t="shared" si="16"/>
        <v>0</v>
      </c>
      <c r="N98" s="98" t="s">
        <v>172</v>
      </c>
    </row>
    <row r="99" spans="3:14" x14ac:dyDescent="0.2">
      <c r="C99" s="102"/>
      <c r="E99" s="9">
        <v>5645</v>
      </c>
      <c r="F99" s="9" t="s">
        <v>64</v>
      </c>
      <c r="G99" s="38">
        <f>'Benchmarking Calculations'!G65</f>
        <v>0</v>
      </c>
      <c r="H99" s="86">
        <f t="shared" si="11"/>
        <v>0</v>
      </c>
      <c r="I99" s="86">
        <f t="shared" si="19"/>
        <v>0</v>
      </c>
      <c r="J99" s="86">
        <f t="shared" si="19"/>
        <v>0</v>
      </c>
      <c r="K99" s="86">
        <f t="shared" si="19"/>
        <v>0</v>
      </c>
      <c r="L99" s="86">
        <f t="shared" si="16"/>
        <v>0</v>
      </c>
      <c r="M99" s="86">
        <f t="shared" si="16"/>
        <v>0</v>
      </c>
      <c r="N99" s="98" t="s">
        <v>172</v>
      </c>
    </row>
    <row r="100" spans="3:14" x14ac:dyDescent="0.2">
      <c r="C100" s="102"/>
      <c r="E100" s="9">
        <v>5646</v>
      </c>
      <c r="F100" s="9" t="s">
        <v>65</v>
      </c>
      <c r="G100" s="38">
        <f>'Benchmarking Calculations'!G66</f>
        <v>0</v>
      </c>
      <c r="H100" s="86">
        <f t="shared" si="11"/>
        <v>0</v>
      </c>
      <c r="I100" s="86">
        <f t="shared" si="19"/>
        <v>0</v>
      </c>
      <c r="J100" s="86">
        <f t="shared" si="19"/>
        <v>0</v>
      </c>
      <c r="K100" s="86">
        <f t="shared" si="19"/>
        <v>0</v>
      </c>
      <c r="L100" s="86">
        <f t="shared" si="16"/>
        <v>0</v>
      </c>
      <c r="M100" s="86">
        <f t="shared" si="16"/>
        <v>0</v>
      </c>
      <c r="N100" s="98" t="s">
        <v>172</v>
      </c>
    </row>
    <row r="101" spans="3:14" x14ac:dyDescent="0.2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f t="shared" si="11"/>
        <v>0</v>
      </c>
      <c r="I101" s="86">
        <f t="shared" si="19"/>
        <v>0</v>
      </c>
      <c r="J101" s="86">
        <f t="shared" si="19"/>
        <v>0</v>
      </c>
      <c r="K101" s="86">
        <f t="shared" si="19"/>
        <v>0</v>
      </c>
      <c r="L101" s="86">
        <f t="shared" ref="L101:M110" si="20">K101</f>
        <v>0</v>
      </c>
      <c r="M101" s="86">
        <f t="shared" si="20"/>
        <v>0</v>
      </c>
      <c r="N101" s="98" t="s">
        <v>172</v>
      </c>
    </row>
    <row r="102" spans="3:14" x14ac:dyDescent="0.2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f t="shared" si="11"/>
        <v>0</v>
      </c>
      <c r="I102" s="86">
        <f t="shared" si="19"/>
        <v>0</v>
      </c>
      <c r="J102" s="86">
        <f t="shared" si="19"/>
        <v>0</v>
      </c>
      <c r="K102" s="86">
        <f t="shared" si="19"/>
        <v>0</v>
      </c>
      <c r="L102" s="86">
        <f t="shared" si="20"/>
        <v>0</v>
      </c>
      <c r="M102" s="86">
        <f t="shared" si="20"/>
        <v>0</v>
      </c>
      <c r="N102" s="98" t="s">
        <v>172</v>
      </c>
    </row>
    <row r="103" spans="3:14" x14ac:dyDescent="0.2">
      <c r="C103" s="102"/>
      <c r="E103" s="9">
        <v>5655</v>
      </c>
      <c r="F103" s="9" t="s">
        <v>68</v>
      </c>
      <c r="G103" s="38">
        <f>'Benchmarking Calculations'!G69</f>
        <v>51875.040000000001</v>
      </c>
      <c r="H103" s="86">
        <v>54780.43</v>
      </c>
      <c r="I103" s="86">
        <v>60143</v>
      </c>
      <c r="J103" s="86">
        <v>74838</v>
      </c>
      <c r="K103" s="86">
        <v>111995.147392</v>
      </c>
      <c r="L103" s="86">
        <f t="shared" si="20"/>
        <v>111995.147392</v>
      </c>
      <c r="M103" s="86">
        <f t="shared" si="20"/>
        <v>111995.147392</v>
      </c>
      <c r="N103" s="98" t="s">
        <v>172</v>
      </c>
    </row>
    <row r="104" spans="3:14" x14ac:dyDescent="0.2">
      <c r="C104" s="102"/>
      <c r="E104" s="9">
        <v>5665</v>
      </c>
      <c r="F104" s="9" t="s">
        <v>69</v>
      </c>
      <c r="G104" s="38">
        <f>'Benchmarking Calculations'!G70</f>
        <v>119040.22</v>
      </c>
      <c r="H104" s="86">
        <v>121370</v>
      </c>
      <c r="I104" s="86">
        <v>126408</v>
      </c>
      <c r="J104" s="86">
        <v>133830.54</v>
      </c>
      <c r="K104" s="86">
        <v>142917.92786055099</v>
      </c>
      <c r="L104" s="86">
        <f t="shared" si="20"/>
        <v>142917.92786055099</v>
      </c>
      <c r="M104" s="86">
        <f t="shared" si="20"/>
        <v>142917.92786055099</v>
      </c>
      <c r="N104" s="98" t="s">
        <v>172</v>
      </c>
    </row>
    <row r="105" spans="3:14" x14ac:dyDescent="0.2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f t="shared" si="11"/>
        <v>0</v>
      </c>
      <c r="I105" s="86">
        <f t="shared" si="19"/>
        <v>0</v>
      </c>
      <c r="J105" s="86">
        <f t="shared" si="19"/>
        <v>0</v>
      </c>
      <c r="K105" s="86">
        <f t="shared" si="19"/>
        <v>0</v>
      </c>
      <c r="L105" s="86">
        <f t="shared" si="20"/>
        <v>0</v>
      </c>
      <c r="M105" s="86">
        <f t="shared" si="20"/>
        <v>0</v>
      </c>
      <c r="N105" s="98" t="s">
        <v>172</v>
      </c>
    </row>
    <row r="106" spans="3:14" x14ac:dyDescent="0.2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f t="shared" si="11"/>
        <v>0</v>
      </c>
      <c r="I106" s="86">
        <f t="shared" si="19"/>
        <v>0</v>
      </c>
      <c r="J106" s="86">
        <f t="shared" si="19"/>
        <v>0</v>
      </c>
      <c r="K106" s="86">
        <f t="shared" si="19"/>
        <v>0</v>
      </c>
      <c r="L106" s="86">
        <f t="shared" si="20"/>
        <v>0</v>
      </c>
      <c r="M106" s="86">
        <f t="shared" si="20"/>
        <v>0</v>
      </c>
      <c r="N106" s="98" t="s">
        <v>172</v>
      </c>
    </row>
    <row r="107" spans="3:14" x14ac:dyDescent="0.2">
      <c r="C107" s="102"/>
      <c r="E107" s="9">
        <v>5675</v>
      </c>
      <c r="F107" s="9" t="s">
        <v>72</v>
      </c>
      <c r="G107" s="38">
        <f>'Benchmarking Calculations'!G73</f>
        <v>28172.46</v>
      </c>
      <c r="H107" s="86">
        <v>22815.48</v>
      </c>
      <c r="I107" s="86">
        <v>37488</v>
      </c>
      <c r="J107" s="86">
        <v>13228.67</v>
      </c>
      <c r="K107" s="86">
        <v>48611.687935346425</v>
      </c>
      <c r="L107" s="86">
        <f t="shared" si="20"/>
        <v>48611.687935346425</v>
      </c>
      <c r="M107" s="86">
        <f t="shared" si="20"/>
        <v>48611.687935346425</v>
      </c>
      <c r="N107" s="98" t="s">
        <v>172</v>
      </c>
    </row>
    <row r="108" spans="3:14" x14ac:dyDescent="0.2">
      <c r="C108" s="102"/>
      <c r="E108" s="70">
        <v>5680</v>
      </c>
      <c r="F108" s="70" t="s">
        <v>73</v>
      </c>
      <c r="G108" s="71">
        <f>'Benchmarking Calculations'!G74</f>
        <v>6313.36</v>
      </c>
      <c r="H108" s="86">
        <v>6422.54</v>
      </c>
      <c r="I108" s="86">
        <v>6577</v>
      </c>
      <c r="J108" s="86">
        <v>6716.39</v>
      </c>
      <c r="K108" s="86">
        <v>7185.2884175569779</v>
      </c>
      <c r="L108" s="86">
        <f t="shared" si="20"/>
        <v>7185.2884175569779</v>
      </c>
      <c r="M108" s="86">
        <f t="shared" si="20"/>
        <v>7185.2884175569779</v>
      </c>
      <c r="N108" s="98" t="s">
        <v>172</v>
      </c>
    </row>
    <row r="109" spans="3:14" x14ac:dyDescent="0.2">
      <c r="C109" s="102"/>
      <c r="E109" s="10"/>
      <c r="F109" s="13" t="s">
        <v>74</v>
      </c>
      <c r="G109" s="69">
        <f>'Benchmarking Calculations'!G75</f>
        <v>1776665.2899999998</v>
      </c>
      <c r="H109" s="52">
        <f>SUM(H92:H108)</f>
        <v>1252904.3799999999</v>
      </c>
      <c r="I109" s="52">
        <f t="shared" ref="I109:M109" si="21">SUM(I92:I108)</f>
        <v>1436189</v>
      </c>
      <c r="J109" s="52">
        <f t="shared" si="21"/>
        <v>1391277.9300000002</v>
      </c>
      <c r="K109" s="52">
        <f t="shared" si="21"/>
        <v>1638001.2355754892</v>
      </c>
      <c r="L109" s="52">
        <f t="shared" si="21"/>
        <v>1638001.2355754892</v>
      </c>
      <c r="M109" s="52">
        <f t="shared" si="21"/>
        <v>1638001.2355754892</v>
      </c>
      <c r="N109" s="98" t="s">
        <v>29</v>
      </c>
    </row>
    <row r="110" spans="3:14" x14ac:dyDescent="0.2">
      <c r="C110" s="102"/>
      <c r="E110" s="9">
        <v>5635</v>
      </c>
      <c r="F110" s="9" t="s">
        <v>75</v>
      </c>
      <c r="G110" s="38">
        <f>'Benchmarking Calculations'!G76</f>
        <v>13781.77</v>
      </c>
      <c r="H110" s="86">
        <v>17776</v>
      </c>
      <c r="I110" s="86">
        <v>0</v>
      </c>
      <c r="J110" s="86">
        <v>27980</v>
      </c>
      <c r="K110" s="86">
        <v>26192.495999999999</v>
      </c>
      <c r="L110" s="86">
        <f t="shared" si="20"/>
        <v>26192.495999999999</v>
      </c>
      <c r="M110" s="86">
        <f t="shared" si="20"/>
        <v>26192.495999999999</v>
      </c>
      <c r="N110" s="98" t="s">
        <v>172</v>
      </c>
    </row>
    <row r="111" spans="3:14" x14ac:dyDescent="0.2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f t="shared" ref="H111:M113" si="22">G111</f>
        <v>0</v>
      </c>
      <c r="I111" s="86">
        <f t="shared" si="22"/>
        <v>0</v>
      </c>
      <c r="J111" s="86">
        <f t="shared" si="22"/>
        <v>0</v>
      </c>
      <c r="K111" s="86">
        <f t="shared" si="22"/>
        <v>0</v>
      </c>
      <c r="L111" s="86">
        <f t="shared" si="22"/>
        <v>0</v>
      </c>
      <c r="M111" s="86">
        <f t="shared" si="22"/>
        <v>0</v>
      </c>
      <c r="N111" s="98" t="s">
        <v>172</v>
      </c>
    </row>
    <row r="112" spans="3:14" x14ac:dyDescent="0.2">
      <c r="C112" s="102"/>
      <c r="F112" s="13" t="s">
        <v>77</v>
      </c>
      <c r="G112" s="69">
        <f>'Benchmarking Calculations'!G78</f>
        <v>13781.77</v>
      </c>
      <c r="H112" s="52">
        <f>H110+H111</f>
        <v>17776</v>
      </c>
      <c r="I112" s="52">
        <f t="shared" ref="I112:M112" si="23">I110+I111</f>
        <v>0</v>
      </c>
      <c r="J112" s="52">
        <f t="shared" si="23"/>
        <v>27980</v>
      </c>
      <c r="K112" s="52">
        <f t="shared" si="23"/>
        <v>26192.495999999999</v>
      </c>
      <c r="L112" s="52">
        <f t="shared" si="23"/>
        <v>26192.495999999999</v>
      </c>
      <c r="M112" s="52">
        <f t="shared" si="23"/>
        <v>26192.495999999999</v>
      </c>
      <c r="N112" s="98" t="s">
        <v>29</v>
      </c>
    </row>
    <row r="113" spans="3:14" x14ac:dyDescent="0.2">
      <c r="C113" s="102"/>
      <c r="E113" s="70">
        <v>5515</v>
      </c>
      <c r="F113" s="70" t="s">
        <v>78</v>
      </c>
      <c r="G113" s="71">
        <f>'Benchmarking Calculations'!G79</f>
        <v>0</v>
      </c>
      <c r="H113" s="86">
        <f t="shared" si="22"/>
        <v>0</v>
      </c>
      <c r="I113" s="86">
        <f t="shared" si="22"/>
        <v>0</v>
      </c>
      <c r="J113" s="86">
        <f t="shared" si="22"/>
        <v>0</v>
      </c>
      <c r="K113" s="86">
        <f t="shared" si="22"/>
        <v>0</v>
      </c>
      <c r="L113" s="86">
        <f t="shared" si="22"/>
        <v>0</v>
      </c>
      <c r="M113" s="86">
        <f t="shared" si="22"/>
        <v>0</v>
      </c>
      <c r="N113" s="98" t="s">
        <v>172</v>
      </c>
    </row>
    <row r="114" spans="3:14" x14ac:dyDescent="0.2">
      <c r="C114" s="102"/>
      <c r="E114" s="12"/>
      <c r="F114" s="13" t="s">
        <v>79</v>
      </c>
      <c r="G114" s="69">
        <f>'Benchmarking Calculations'!G80</f>
        <v>0</v>
      </c>
      <c r="H114" s="52">
        <f>H113</f>
        <v>0</v>
      </c>
      <c r="I114" s="52">
        <f t="shared" ref="I114:M114" si="24">I113</f>
        <v>0</v>
      </c>
      <c r="J114" s="52">
        <f t="shared" si="24"/>
        <v>0</v>
      </c>
      <c r="K114" s="52">
        <f t="shared" si="24"/>
        <v>0</v>
      </c>
      <c r="L114" s="52">
        <f t="shared" si="24"/>
        <v>0</v>
      </c>
      <c r="M114" s="52">
        <f t="shared" si="24"/>
        <v>0</v>
      </c>
      <c r="N114" s="98" t="s">
        <v>29</v>
      </c>
    </row>
    <row r="115" spans="3:14" x14ac:dyDescent="0.2">
      <c r="C115" s="102"/>
      <c r="E115" s="112" t="s">
        <v>197</v>
      </c>
      <c r="F115" s="13" t="s">
        <v>80</v>
      </c>
      <c r="G115" s="38">
        <f>'Benchmarking Calculations'!G81</f>
        <v>3491790.14</v>
      </c>
      <c r="H115" s="52">
        <f>H64+H78+H86+H91+H109+H112</f>
        <v>2985930.88</v>
      </c>
      <c r="I115" s="52">
        <f t="shared" ref="I115:M115" si="25">I64+I78+I86+I91+I109+I112</f>
        <v>3253566</v>
      </c>
      <c r="J115" s="52">
        <f t="shared" si="25"/>
        <v>3583707.4400000004</v>
      </c>
      <c r="K115" s="52">
        <f t="shared" si="25"/>
        <v>3928711.3855950404</v>
      </c>
      <c r="L115" s="52">
        <f t="shared" si="25"/>
        <v>3928711.3855950404</v>
      </c>
      <c r="M115" s="52">
        <f t="shared" si="25"/>
        <v>3928711.3855950404</v>
      </c>
      <c r="N115" s="98" t="s">
        <v>29</v>
      </c>
    </row>
    <row r="116" spans="3:14" x14ac:dyDescent="0.2">
      <c r="C116" s="102"/>
      <c r="F116" s="13"/>
      <c r="G116" s="38"/>
      <c r="H116" s="53"/>
      <c r="I116" s="15"/>
      <c r="N116" s="98"/>
    </row>
    <row r="117" spans="3:14" x14ac:dyDescent="0.2">
      <c r="C117" s="102"/>
      <c r="D117" s="8" t="s">
        <v>81</v>
      </c>
      <c r="F117" s="2"/>
      <c r="G117" s="38"/>
      <c r="H117" s="53"/>
      <c r="N117" s="98"/>
    </row>
    <row r="118" spans="3:14" x14ac:dyDescent="0.2">
      <c r="C118" s="102"/>
      <c r="F118" s="9">
        <v>5014</v>
      </c>
      <c r="G118" s="38">
        <f>G47</f>
        <v>0</v>
      </c>
      <c r="H118" s="38">
        <f t="shared" ref="H118:L118" si="26">H47</f>
        <v>0</v>
      </c>
      <c r="I118" s="38">
        <f t="shared" si="26"/>
        <v>0</v>
      </c>
      <c r="J118" s="38">
        <f t="shared" si="26"/>
        <v>0</v>
      </c>
      <c r="K118" s="38">
        <f t="shared" si="26"/>
        <v>0</v>
      </c>
      <c r="L118" s="38">
        <f t="shared" si="26"/>
        <v>0</v>
      </c>
      <c r="M118" s="38">
        <f t="shared" ref="M118" si="27">M47</f>
        <v>0</v>
      </c>
      <c r="N118" s="98" t="s">
        <v>29</v>
      </c>
    </row>
    <row r="119" spans="3:14" x14ac:dyDescent="0.2">
      <c r="C119" s="102"/>
      <c r="F119" s="9">
        <v>5015</v>
      </c>
      <c r="G119" s="38">
        <f>G48</f>
        <v>0</v>
      </c>
      <c r="H119" s="38">
        <f t="shared" ref="H119:L119" si="28">H48</f>
        <v>0</v>
      </c>
      <c r="I119" s="38">
        <f t="shared" si="28"/>
        <v>0</v>
      </c>
      <c r="J119" s="38">
        <f t="shared" si="28"/>
        <v>0</v>
      </c>
      <c r="K119" s="38">
        <f t="shared" si="28"/>
        <v>0</v>
      </c>
      <c r="L119" s="38">
        <f t="shared" si="28"/>
        <v>0</v>
      </c>
      <c r="M119" s="38">
        <f t="shared" ref="M119" si="29">M48</f>
        <v>0</v>
      </c>
      <c r="N119" s="98" t="s">
        <v>29</v>
      </c>
    </row>
    <row r="120" spans="3:14" x14ac:dyDescent="0.2">
      <c r="C120" s="102"/>
      <c r="F120" s="9">
        <v>5112</v>
      </c>
      <c r="G120" s="38">
        <f>G67</f>
        <v>0</v>
      </c>
      <c r="H120" s="38">
        <f t="shared" ref="H120:L120" si="30">H67</f>
        <v>0</v>
      </c>
      <c r="I120" s="38">
        <f t="shared" si="30"/>
        <v>0</v>
      </c>
      <c r="J120" s="38">
        <f t="shared" si="30"/>
        <v>0</v>
      </c>
      <c r="K120" s="38">
        <f t="shared" si="30"/>
        <v>0</v>
      </c>
      <c r="L120" s="38">
        <f t="shared" si="30"/>
        <v>0</v>
      </c>
      <c r="M120" s="38">
        <f t="shared" ref="M120" si="31">M67</f>
        <v>0</v>
      </c>
      <c r="N120" s="98" t="s">
        <v>29</v>
      </c>
    </row>
    <row r="121" spans="3:14" x14ac:dyDescent="0.2">
      <c r="C121" s="102"/>
      <c r="E121" s="112" t="s">
        <v>198</v>
      </c>
      <c r="F121" s="13" t="s">
        <v>82</v>
      </c>
      <c r="G121" s="69">
        <f>'Benchmarking Calculations'!G87</f>
        <v>0</v>
      </c>
      <c r="H121" s="69">
        <f>H47+H48+H67</f>
        <v>0</v>
      </c>
      <c r="I121" s="69">
        <f t="shared" ref="I121:L121" si="32">I47+I48+I67</f>
        <v>0</v>
      </c>
      <c r="J121" s="69">
        <f t="shared" si="32"/>
        <v>0</v>
      </c>
      <c r="K121" s="69">
        <f t="shared" si="32"/>
        <v>0</v>
      </c>
      <c r="L121" s="69">
        <f t="shared" si="32"/>
        <v>0</v>
      </c>
      <c r="M121" s="69">
        <f t="shared" ref="M121" si="33">M47+M48+M67</f>
        <v>0</v>
      </c>
      <c r="N121" s="113" t="s">
        <v>29</v>
      </c>
    </row>
    <row r="122" spans="3:14" x14ac:dyDescent="0.2">
      <c r="C122" s="102"/>
      <c r="E122" s="112" t="s">
        <v>199</v>
      </c>
      <c r="F122" s="13" t="s">
        <v>83</v>
      </c>
      <c r="G122" s="69">
        <f>'Benchmarking Calculations'!G88</f>
        <v>13729.019999999999</v>
      </c>
      <c r="H122" s="114">
        <f>G122</f>
        <v>13729.019999999999</v>
      </c>
      <c r="I122" s="114">
        <f t="shared" ref="I122:M122" si="34">H122</f>
        <v>13729.019999999999</v>
      </c>
      <c r="J122" s="114">
        <f t="shared" si="34"/>
        <v>13729.019999999999</v>
      </c>
      <c r="K122" s="114">
        <f t="shared" si="34"/>
        <v>13729.019999999999</v>
      </c>
      <c r="L122" s="114">
        <f t="shared" si="34"/>
        <v>13729.019999999999</v>
      </c>
      <c r="M122" s="114">
        <f t="shared" si="34"/>
        <v>13729.019999999999</v>
      </c>
      <c r="N122" s="113" t="s">
        <v>172</v>
      </c>
    </row>
    <row r="123" spans="3:14" ht="13.5" thickBot="1" x14ac:dyDescent="0.2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66:H68 L65:M65 H78:M79 L69:M69 L70:M70 L71:M71 L72:M77 H85:M87 L80:M80 L81:M84 H89:M91 L88:M88 H98:H102 L92:M92 L93:M97 H111:M114 L110:M110 H105:H106 L103:M103 L104:M104 I109:M109 L107:M107 L108:M108 I115:M115 L98:M102 L105:M106 L66:M6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T277"/>
  <sheetViews>
    <sheetView zoomScale="80" zoomScaleNormal="80" workbookViewId="0">
      <pane ySplit="5" topLeftCell="A6" activePane="bottomLeft" state="frozen"/>
      <selection activeCell="G33" sqref="G33"/>
      <selection pane="bottomLeft" activeCell="CH16" sqref="CH16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181" hidden="1" customWidth="1"/>
    <col min="7" max="11" width="16" customWidth="1"/>
    <col min="12" max="12" width="16.28515625" customWidth="1"/>
    <col min="13" max="13" width="16.7109375" hidden="1" customWidth="1"/>
    <col min="14" max="14" width="9.85546875" style="153" hidden="1" customWidth="1"/>
    <col min="15" max="15" width="9.140625" style="72" hidden="1" customWidth="1"/>
    <col min="16" max="16" width="16.140625" style="72" hidden="1" customWidth="1"/>
    <col min="17" max="17" width="15.85546875" hidden="1" customWidth="1"/>
    <col min="18" max="18" width="18.140625" style="72" hidden="1" customWidth="1"/>
    <col min="19" max="19" width="14.28515625" style="72" hidden="1" customWidth="1"/>
    <col min="20" max="20" width="17.140625" style="72" hidden="1" customWidth="1"/>
    <col min="21" max="23" width="14.28515625" style="72" hidden="1" customWidth="1"/>
    <col min="24" max="24" width="17.140625" style="72" hidden="1" customWidth="1"/>
    <col min="25" max="25" width="21.42578125" style="72" hidden="1" customWidth="1"/>
    <col min="26" max="26" width="21" style="72" hidden="1" customWidth="1"/>
    <col min="27" max="27" width="19.42578125" style="72" hidden="1" customWidth="1"/>
    <col min="28" max="29" width="14.28515625" style="72" hidden="1" customWidth="1"/>
    <col min="30" max="30" width="16.42578125" style="72" hidden="1" customWidth="1"/>
    <col min="31" max="31" width="15.42578125" style="72" hidden="1" customWidth="1"/>
    <col min="32" max="32" width="19.28515625" style="72" hidden="1" customWidth="1"/>
    <col min="33" max="33" width="18.85546875" style="72" hidden="1" customWidth="1"/>
    <col min="34" max="34" width="18.140625" style="72" hidden="1" customWidth="1"/>
    <col min="35" max="35" width="14.28515625" style="72" hidden="1" customWidth="1"/>
    <col min="36" max="36" width="18.28515625" style="72" hidden="1" customWidth="1"/>
    <col min="37" max="37" width="14.28515625" style="72" hidden="1" customWidth="1"/>
    <col min="38" max="38" width="17.42578125" style="72" hidden="1" customWidth="1"/>
    <col min="39" max="39" width="16.5703125" style="72" hidden="1" customWidth="1"/>
    <col min="40" max="40" width="18.7109375" style="72" hidden="1" customWidth="1"/>
    <col min="41" max="41" width="16.7109375" style="72" hidden="1" customWidth="1"/>
    <col min="42" max="43" width="13.42578125" style="72" hidden="1" customWidth="1"/>
    <col min="44" max="44" width="19.140625" style="72" hidden="1" customWidth="1"/>
    <col min="45" max="45" width="15.85546875" style="72" hidden="1" customWidth="1"/>
    <col min="46" max="46" width="17.28515625" style="72" hidden="1" customWidth="1"/>
    <col min="47" max="47" width="18" style="72" hidden="1" customWidth="1"/>
    <col min="48" max="48" width="13.42578125" style="72" hidden="1" customWidth="1"/>
    <col min="49" max="49" width="17.28515625" style="72" hidden="1" customWidth="1"/>
    <col min="50" max="50" width="13.42578125" style="72" hidden="1" customWidth="1"/>
    <col min="51" max="51" width="17.28515625" style="72" hidden="1" customWidth="1"/>
    <col min="52" max="52" width="18.140625" style="72" hidden="1" customWidth="1"/>
    <col min="53" max="53" width="21.28515625" style="72" hidden="1" customWidth="1"/>
    <col min="54" max="54" width="18.42578125" style="72" hidden="1" customWidth="1"/>
    <col min="55" max="55" width="18" style="72" hidden="1" customWidth="1"/>
    <col min="56" max="60" width="13.42578125" style="72" hidden="1" customWidth="1"/>
    <col min="61" max="61" width="14.85546875" style="72" hidden="1" customWidth="1"/>
    <col min="62" max="62" width="15.85546875" style="72" hidden="1" customWidth="1"/>
    <col min="63" max="63" width="13.42578125" style="72" hidden="1" customWidth="1"/>
    <col min="64" max="64" width="16.42578125" style="72" hidden="1" customWidth="1"/>
    <col min="65" max="65" width="16.140625" style="72" hidden="1" customWidth="1"/>
    <col min="66" max="69" width="13.42578125" style="72" hidden="1" customWidth="1"/>
    <col min="70" max="70" width="15.28515625" style="72" hidden="1" customWidth="1"/>
    <col min="71" max="71" width="13.42578125" style="72" hidden="1" customWidth="1"/>
    <col min="72" max="72" width="15.85546875" style="72" hidden="1" customWidth="1"/>
    <col min="73" max="73" width="13.42578125" style="72" hidden="1" customWidth="1"/>
    <col min="74" max="74" width="16.140625" style="72" hidden="1" customWidth="1"/>
    <col min="75" max="78" width="13.42578125" style="72" hidden="1" customWidth="1"/>
    <col min="79" max="79" width="17.140625" style="72" hidden="1" customWidth="1"/>
    <col min="80" max="83" width="13.42578125" style="72" hidden="1" customWidth="1"/>
    <col min="84" max="84" width="9.140625" hidden="1" customWidth="1"/>
    <col min="85" max="149" width="9.140625" customWidth="1"/>
    <col min="150" max="150" width="9.140625" style="47" customWidth="1"/>
  </cols>
  <sheetData>
    <row r="1" spans="1:150" ht="24" thickBot="1" x14ac:dyDescent="0.4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O1" s="82"/>
      <c r="P1" s="209" t="s">
        <v>265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R2" s="118"/>
    </row>
    <row r="3" spans="1:150" s="120" customFormat="1" ht="75.75" customHeight="1" thickBot="1" x14ac:dyDescent="0.3">
      <c r="B3" s="235" t="s">
        <v>1</v>
      </c>
      <c r="C3" s="235"/>
      <c r="D3" s="141"/>
      <c r="E3" s="65" t="str">
        <f>'Model Inputs'!F5</f>
        <v>Wasaga Distribution Inc.</v>
      </c>
      <c r="F3" s="182"/>
      <c r="G3" s="143"/>
      <c r="N3" s="154"/>
      <c r="O3" s="120">
        <v>1</v>
      </c>
      <c r="P3" s="120" t="s">
        <v>263</v>
      </c>
      <c r="Q3" t="s">
        <v>254</v>
      </c>
      <c r="R3" s="142" t="s">
        <v>202</v>
      </c>
      <c r="S3" s="142" t="s">
        <v>203</v>
      </c>
      <c r="T3" s="142" t="s">
        <v>204</v>
      </c>
      <c r="U3" s="142" t="s">
        <v>205</v>
      </c>
      <c r="V3" s="142" t="s">
        <v>206</v>
      </c>
      <c r="W3" s="142" t="s">
        <v>207</v>
      </c>
      <c r="X3" s="142" t="s">
        <v>208</v>
      </c>
      <c r="Y3" s="142" t="s">
        <v>209</v>
      </c>
      <c r="Z3" s="142" t="s">
        <v>210</v>
      </c>
      <c r="AA3" s="142" t="s">
        <v>211</v>
      </c>
      <c r="AB3" s="142" t="s">
        <v>258</v>
      </c>
      <c r="AC3" s="142" t="s">
        <v>259</v>
      </c>
      <c r="AD3" s="142" t="s">
        <v>212</v>
      </c>
      <c r="AE3" s="142" t="s">
        <v>260</v>
      </c>
      <c r="AF3" s="142" t="s">
        <v>256</v>
      </c>
      <c r="AG3" s="142" t="s">
        <v>257</v>
      </c>
      <c r="AH3" s="142" t="s">
        <v>213</v>
      </c>
      <c r="AI3" s="142" t="s">
        <v>214</v>
      </c>
      <c r="AJ3" s="142" t="s">
        <v>215</v>
      </c>
      <c r="AK3" s="142" t="s">
        <v>216</v>
      </c>
      <c r="AL3" s="142" t="s">
        <v>217</v>
      </c>
      <c r="AM3" s="142" t="s">
        <v>261</v>
      </c>
      <c r="AN3" s="142" t="s">
        <v>218</v>
      </c>
      <c r="AO3" s="142" t="s">
        <v>219</v>
      </c>
      <c r="AP3" s="142" t="s">
        <v>220</v>
      </c>
      <c r="AQ3" s="142" t="s">
        <v>221</v>
      </c>
      <c r="AR3" s="142" t="s">
        <v>222</v>
      </c>
      <c r="AS3" s="142" t="s">
        <v>223</v>
      </c>
      <c r="AT3" s="142" t="s">
        <v>255</v>
      </c>
      <c r="AU3" s="142" t="s">
        <v>224</v>
      </c>
      <c r="AV3" s="142" t="s">
        <v>225</v>
      </c>
      <c r="AW3" s="142" t="s">
        <v>226</v>
      </c>
      <c r="AX3" s="142" t="s">
        <v>227</v>
      </c>
      <c r="AY3" s="142" t="s">
        <v>228</v>
      </c>
      <c r="AZ3" s="142" t="s">
        <v>229</v>
      </c>
      <c r="BA3" s="142" t="s">
        <v>230</v>
      </c>
      <c r="BB3" s="142" t="s">
        <v>231</v>
      </c>
      <c r="BC3" s="142" t="s">
        <v>232</v>
      </c>
      <c r="BD3" s="142" t="s">
        <v>233</v>
      </c>
      <c r="BE3" s="142" t="s">
        <v>234</v>
      </c>
      <c r="BF3" s="142" t="s">
        <v>235</v>
      </c>
      <c r="BG3" s="142" t="s">
        <v>236</v>
      </c>
      <c r="BH3" s="142" t="s">
        <v>237</v>
      </c>
      <c r="BI3" s="142" t="s">
        <v>238</v>
      </c>
      <c r="BJ3" s="142" t="s">
        <v>239</v>
      </c>
      <c r="BK3" s="142" t="s">
        <v>240</v>
      </c>
      <c r="BL3" s="142" t="s">
        <v>241</v>
      </c>
      <c r="BM3" s="142" t="s">
        <v>242</v>
      </c>
      <c r="BN3" s="142" t="s">
        <v>243</v>
      </c>
      <c r="BO3" s="142" t="s">
        <v>244</v>
      </c>
      <c r="BP3" s="142" t="s">
        <v>262</v>
      </c>
      <c r="BQ3" s="142" t="s">
        <v>245</v>
      </c>
      <c r="BR3" s="142" t="s">
        <v>246</v>
      </c>
      <c r="BS3" s="142" t="s">
        <v>247</v>
      </c>
      <c r="BT3" s="142" t="s">
        <v>248</v>
      </c>
      <c r="BU3" s="142" t="s">
        <v>249</v>
      </c>
      <c r="BV3" s="142" t="s">
        <v>250</v>
      </c>
      <c r="BW3" s="142" t="s">
        <v>251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36"/>
      <c r="G4" s="237"/>
      <c r="H4" s="238" t="s">
        <v>2</v>
      </c>
      <c r="I4" s="236"/>
      <c r="J4" s="236"/>
      <c r="K4" s="236"/>
      <c r="L4" s="236"/>
      <c r="M4" s="236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252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33" t="s">
        <v>6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0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13829.09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0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0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0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21196.81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5496.35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0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0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0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0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0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0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0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9824.08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424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0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0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50770.33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88358.04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0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0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6916.68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105910.53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51031.78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117439.42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133.12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190747.9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107940.57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13427.29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33546.720000000001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43</v>
      </c>
      <c r="F44" s="185"/>
      <c r="G44" s="66">
        <f t="shared" si="2"/>
        <v>715452.05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0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137943.04000000001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500107.27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279638.46999999997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0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952.61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0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51</v>
      </c>
      <c r="F52" s="185"/>
      <c r="G52" s="66">
        <f t="shared" si="2"/>
        <v>918641.39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0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16479.310000000001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0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56</v>
      </c>
      <c r="F57" s="185"/>
      <c r="G57" s="66">
        <f t="shared" si="2"/>
        <v>16479.310000000001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426784.59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493974.96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258706.39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65325.18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58546.18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267926.90999999997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0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0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51875.040000000001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119040.22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28172.46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6313.36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74</v>
      </c>
      <c r="F75" s="185"/>
      <c r="G75" s="66">
        <f t="shared" si="3"/>
        <v>1776665.2899999998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13781.77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85"/>
      <c r="G78" s="66">
        <f t="shared" si="3"/>
        <v>13781.77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85"/>
      <c r="G81" s="66">
        <f t="shared" si="3"/>
        <v>3491790.14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0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0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84"/>
      <c r="G87" s="66">
        <f t="shared" si="4"/>
        <v>0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84"/>
      <c r="G88" s="66">
        <f t="shared" si="4"/>
        <v>13729.019999999999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84"/>
      <c r="G89" s="66">
        <f t="shared" si="4"/>
        <v>3505519.16</v>
      </c>
      <c r="H89" s="121">
        <f>'Model Inputs'!H31</f>
        <v>2999659.9</v>
      </c>
      <c r="I89" s="122">
        <f>'Model Inputs'!I31</f>
        <v>3267295.02</v>
      </c>
      <c r="J89" s="122">
        <f>'Model Inputs'!J31</f>
        <v>3597436.4600000004</v>
      </c>
      <c r="K89" s="122">
        <f>'Model Inputs'!K31</f>
        <v>3942440.4055950404</v>
      </c>
      <c r="L89" s="122">
        <f>'Model Inputs'!L31</f>
        <v>3942440.4055950404</v>
      </c>
      <c r="M89" s="123">
        <f>'Model Inputs'!M31</f>
        <v>3942440.4055950404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84"/>
      <c r="G92" s="66">
        <f>HLOOKUP($E$3,$P$3:$CE$269,O92,FALSE)</f>
        <v>2013359.47</v>
      </c>
      <c r="H92" s="121">
        <f>'Model Inputs'!H9</f>
        <v>3233381.9000000004</v>
      </c>
      <c r="I92" s="122">
        <f>'Model Inputs'!I9</f>
        <v>10609023.73</v>
      </c>
      <c r="J92" s="122">
        <f>'Model Inputs'!J9</f>
        <v>7230248.275907049</v>
      </c>
      <c r="K92" s="122">
        <f>'Model Inputs'!K9</f>
        <v>7337722</v>
      </c>
      <c r="L92" s="122">
        <f>'Model Inputs'!L9</f>
        <v>7337722</v>
      </c>
      <c r="M92" s="123">
        <f>'Model Inputs'!M9</f>
        <v>7337722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84"/>
      <c r="G93" s="66">
        <f>HLOOKUP($E$3,$P$3:$CE$269,O93,FALSE)</f>
        <v>0</v>
      </c>
      <c r="H93" s="121">
        <f>'Model Inputs'!H10</f>
        <v>0</v>
      </c>
      <c r="I93" s="122">
        <f>'Model Inputs'!I10</f>
        <v>0</v>
      </c>
      <c r="J93" s="122">
        <f>'Model Inputs'!J10</f>
        <v>0</v>
      </c>
      <c r="K93" s="122">
        <f>'Model Inputs'!K10</f>
        <v>0</v>
      </c>
      <c r="L93" s="122">
        <f>'Model Inputs'!L10</f>
        <v>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84"/>
      <c r="G96" s="66">
        <f>HLOOKUP($E$3,$P$3:$CE$269,O96,FALSE)</f>
        <v>14238</v>
      </c>
      <c r="H96" s="121">
        <f>'Model Inputs'!H13</f>
        <v>14409</v>
      </c>
      <c r="I96" s="122">
        <f>'Model Inputs'!I13</f>
        <v>14716.5</v>
      </c>
      <c r="J96" s="122">
        <f>'Model Inputs'!J13</f>
        <v>15089</v>
      </c>
      <c r="K96" s="122">
        <f>'Model Inputs'!K13</f>
        <v>15351</v>
      </c>
      <c r="L96" s="122">
        <f>'Model Inputs'!L13</f>
        <v>15351</v>
      </c>
      <c r="M96" s="123">
        <f>'Model Inputs'!M13</f>
        <v>15351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84"/>
      <c r="G97" s="66">
        <f>HLOOKUP($E$3,$P$3:$CE$269,O97,FALSE)</f>
        <v>138525447.56999999</v>
      </c>
      <c r="H97" s="121">
        <f>'Model Inputs'!H14</f>
        <v>143103046.99000001</v>
      </c>
      <c r="I97" s="122">
        <f>'Model Inputs'!I14</f>
        <v>145877729.05902892</v>
      </c>
      <c r="J97" s="122">
        <f>'Model Inputs'!J14</f>
        <v>147549838.31535891</v>
      </c>
      <c r="K97" s="122">
        <f>'Model Inputs'!K14</f>
        <v>150428662.99729875</v>
      </c>
      <c r="L97" s="122">
        <f>'Model Inputs'!L14</f>
        <v>150428662.99729875</v>
      </c>
      <c r="M97" s="123">
        <f>'Model Inputs'!M14</f>
        <v>150428662.99729875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84"/>
      <c r="G98" s="66">
        <f>HLOOKUP($E$3,$P$3:$CE$269,O98,FALSE)</f>
        <v>35106</v>
      </c>
      <c r="H98" s="121">
        <f>'Model Inputs'!H15</f>
        <v>36439</v>
      </c>
      <c r="I98" s="122">
        <f>'Model Inputs'!I15</f>
        <v>36740</v>
      </c>
      <c r="J98" s="122">
        <f>'Model Inputs'!J15</f>
        <v>36740</v>
      </c>
      <c r="K98" s="122">
        <f>'Model Inputs'!K15</f>
        <v>36740</v>
      </c>
      <c r="L98" s="122">
        <f>'Model Inputs'!L15</f>
        <v>36740</v>
      </c>
      <c r="M98" s="123">
        <f>'Model Inputs'!M15</f>
        <v>36740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84"/>
      <c r="G99" s="66">
        <f>HLOOKUP($E$3,$P$3:$CE$269,O99,FALSE)</f>
        <v>291</v>
      </c>
      <c r="H99" s="121">
        <f>'Model Inputs'!H16</f>
        <v>292</v>
      </c>
      <c r="I99" s="122">
        <f>'Model Inputs'!I16</f>
        <v>300</v>
      </c>
      <c r="J99" s="122">
        <f>'Model Inputs'!J16</f>
        <v>300</v>
      </c>
      <c r="K99" s="122">
        <f>'Model Inputs'!K16</f>
        <v>300</v>
      </c>
      <c r="L99" s="122">
        <f>'Model Inputs'!L16</f>
        <v>300</v>
      </c>
      <c r="M99" s="123">
        <f>'Model Inputs'!M16</f>
        <v>300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33" t="s">
        <v>93</v>
      </c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84"/>
      <c r="G107" s="15">
        <f>HLOOKUP($E$3,$P$3:$CE$269,O107,FALSE)</f>
        <v>3505519.16</v>
      </c>
      <c r="H107" s="15">
        <f t="shared" ref="H107:K107" si="5">H89</f>
        <v>2999659.9</v>
      </c>
      <c r="I107" s="15">
        <f t="shared" si="5"/>
        <v>3267295.02</v>
      </c>
      <c r="J107" s="15">
        <f t="shared" si="5"/>
        <v>3597436.4600000004</v>
      </c>
      <c r="K107" s="15">
        <f t="shared" si="5"/>
        <v>3942440.4055950404</v>
      </c>
      <c r="L107" s="15">
        <f t="shared" ref="L107" si="6">L89</f>
        <v>3942440.4055950404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5.7019084566420249E-2</v>
      </c>
      <c r="I110" s="125">
        <f>'Model Inputs'!I22</f>
        <v>5.5648498188566625E-2</v>
      </c>
      <c r="J110" s="125">
        <f>'Model Inputs'!J22</f>
        <v>5.6853362197532467E-2</v>
      </c>
      <c r="K110" s="125">
        <f>'Model Inputs'!K22</f>
        <v>6.2074673686133161E-2</v>
      </c>
      <c r="L110" s="125">
        <f>'Model Inputs'!L22</f>
        <v>6.2074673686133161E-2</v>
      </c>
      <c r="M110" s="126">
        <f>'Model Inputs'!M22</f>
        <v>6.2074673686133161E-2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180.32051792717647</v>
      </c>
      <c r="I112" s="128">
        <f>H112*EXP('Model Inputs'!I21)</f>
        <v>186.37036853990475</v>
      </c>
      <c r="J112" s="128">
        <f>I112*EXP('Model Inputs'!J21)</f>
        <v>193.39523072489442</v>
      </c>
      <c r="K112" s="128">
        <f>J112*EXP('Model Inputs'!K21)</f>
        <v>202.90460095626466</v>
      </c>
      <c r="L112" s="128">
        <f>K112*EXP('Model Inputs'!L21)</f>
        <v>212.8815531536344</v>
      </c>
      <c r="M112" s="129">
        <f>L112*EXP('Model Inputs'!M21)</f>
        <v>223.34907862868974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18.334695022006425</v>
      </c>
      <c r="I113" s="15">
        <f t="shared" si="8"/>
        <v>18.588965931213504</v>
      </c>
      <c r="J113" s="15">
        <f t="shared" si="8"/>
        <v>19.472623155759468</v>
      </c>
      <c r="K113" s="15">
        <f t="shared" si="8"/>
        <v>21.318267023594807</v>
      </c>
      <c r="L113" s="15">
        <f t="shared" si="8"/>
        <v>22.366500183527009</v>
      </c>
      <c r="M113" s="15">
        <f t="shared" si="8"/>
        <v>23.466275654865928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86"/>
      <c r="G114" s="6">
        <f t="shared" si="7"/>
        <v>2013359.47</v>
      </c>
      <c r="H114" s="130">
        <f>H92</f>
        <v>3233381.9000000004</v>
      </c>
      <c r="I114" s="131">
        <f t="shared" ref="I114:L114" si="9">I92</f>
        <v>10609023.73</v>
      </c>
      <c r="J114" s="131">
        <f t="shared" si="9"/>
        <v>7230248.275907049</v>
      </c>
      <c r="K114" s="131">
        <f t="shared" si="9"/>
        <v>7337722</v>
      </c>
      <c r="L114" s="131">
        <f t="shared" si="9"/>
        <v>7337722</v>
      </c>
      <c r="M114" s="132">
        <f t="shared" ref="M114" si="10">M92</f>
        <v>7337722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86"/>
      <c r="G115" s="6">
        <f t="shared" si="7"/>
        <v>0</v>
      </c>
      <c r="H115" s="133">
        <f>H93</f>
        <v>0</v>
      </c>
      <c r="I115" s="134">
        <f t="shared" ref="I115:L115" si="11">I93</f>
        <v>0</v>
      </c>
      <c r="J115" s="134">
        <f t="shared" si="11"/>
        <v>0</v>
      </c>
      <c r="K115" s="134">
        <f t="shared" si="11"/>
        <v>0</v>
      </c>
      <c r="L115" s="134">
        <f t="shared" si="11"/>
        <v>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86"/>
      <c r="G116" s="6">
        <f t="shared" si="7"/>
        <v>11413.810406996445</v>
      </c>
      <c r="H116" s="6">
        <f t="shared" ref="H116:K116" si="13">(H114-H115)/H112</f>
        <v>17931.303310174724</v>
      </c>
      <c r="I116" s="6">
        <f t="shared" si="13"/>
        <v>56924.412464894849</v>
      </c>
      <c r="J116" s="6">
        <f t="shared" si="13"/>
        <v>37385.866491155146</v>
      </c>
      <c r="K116" s="6">
        <f t="shared" si="13"/>
        <v>36163.408643363487</v>
      </c>
      <c r="L116" s="6">
        <f t="shared" ref="L116:M116" si="14">(L114-L115)/L112</f>
        <v>34468.5666338804</v>
      </c>
      <c r="M116" s="6">
        <f t="shared" si="14"/>
        <v>32853.155450883743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91"/>
      <c r="G117" s="17">
        <f t="shared" si="7"/>
        <v>7873.9705809099933</v>
      </c>
      <c r="H117" s="17">
        <f t="shared" ref="H117:M117" si="15">H111*G118</f>
        <v>8036.4492289273612</v>
      </c>
      <c r="I117" s="17">
        <f t="shared" si="15"/>
        <v>8490.6230312566149</v>
      </c>
      <c r="J117" s="17">
        <f t="shared" si="15"/>
        <v>10713.733966260612</v>
      </c>
      <c r="K117" s="17">
        <f t="shared" si="15"/>
        <v>11937.98484915327</v>
      </c>
      <c r="L117" s="17">
        <f t="shared" si="15"/>
        <v>13049.931801307521</v>
      </c>
      <c r="M117" s="17">
        <f t="shared" si="15"/>
        <v>14033.047140122617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91"/>
      <c r="G118" s="17">
        <f t="shared" si="7"/>
        <v>175086.03984591199</v>
      </c>
      <c r="H118" s="17">
        <f t="shared" ref="H118:M118" si="16">G118+H116-H117</f>
        <v>184980.89392715937</v>
      </c>
      <c r="I118" s="17">
        <f t="shared" si="16"/>
        <v>233414.68336079762</v>
      </c>
      <c r="J118" s="17">
        <f t="shared" si="16"/>
        <v>260086.81588569214</v>
      </c>
      <c r="K118" s="17">
        <f t="shared" si="16"/>
        <v>284312.23967990238</v>
      </c>
      <c r="L118" s="17">
        <f t="shared" si="16"/>
        <v>305730.87451247527</v>
      </c>
      <c r="M118" s="17">
        <f t="shared" si="16"/>
        <v>324550.98282323638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91"/>
      <c r="G119" s="17">
        <f t="shared" si="7"/>
        <v>3031566.4090925069</v>
      </c>
      <c r="H119" s="17">
        <f t="shared" ref="H119:K119" si="17">H113*H118</f>
        <v>3391568.2750525875</v>
      </c>
      <c r="I119" s="17">
        <f>I113*I118</f>
        <v>4338937.5968388543</v>
      </c>
      <c r="J119" s="17">
        <f t="shared" si="17"/>
        <v>5064572.5535234781</v>
      </c>
      <c r="K119" s="17">
        <f t="shared" si="17"/>
        <v>6061044.2435724456</v>
      </c>
      <c r="L119" s="17">
        <f t="shared" ref="L119:M119" si="18">L113*L118</f>
        <v>6838129.6608931515</v>
      </c>
      <c r="M119" s="17">
        <f t="shared" si="18"/>
        <v>7616002.826987722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91"/>
      <c r="G121" s="17">
        <f>HLOOKUP($E$3,$P$3:$CE$269,O121,FALSE)</f>
        <v>6537085.5690925065</v>
      </c>
      <c r="H121" s="17">
        <f t="shared" ref="H121:K121" si="19">H107+H119</f>
        <v>6391228.1750525869</v>
      </c>
      <c r="I121" s="17">
        <f t="shared" si="19"/>
        <v>7606232.6168388538</v>
      </c>
      <c r="J121" s="17">
        <f t="shared" si="19"/>
        <v>8662009.0135234781</v>
      </c>
      <c r="K121" s="17">
        <f t="shared" si="19"/>
        <v>10003484.649167486</v>
      </c>
      <c r="L121" s="17">
        <f t="shared" ref="L121:M121" si="20">L107+L119</f>
        <v>10780570.066488191</v>
      </c>
      <c r="M121" s="17">
        <f t="shared" si="20"/>
        <v>7616002.826987722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33" t="s">
        <v>108</v>
      </c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86"/>
      <c r="G128" s="6">
        <f>HLOOKUP($E$3,$P$3:$CE$269,O128,FALSE)</f>
        <v>14238</v>
      </c>
      <c r="H128" s="6">
        <f t="shared" ref="H128:K130" si="21">H96</f>
        <v>14409</v>
      </c>
      <c r="I128" s="6">
        <f t="shared" si="21"/>
        <v>14716.5</v>
      </c>
      <c r="J128" s="6">
        <f t="shared" si="21"/>
        <v>15089</v>
      </c>
      <c r="K128" s="6">
        <f t="shared" si="21"/>
        <v>15351</v>
      </c>
      <c r="L128" s="6">
        <f t="shared" ref="L128:M128" si="22">L96</f>
        <v>15351</v>
      </c>
      <c r="M128" s="6">
        <f t="shared" si="22"/>
        <v>15351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93"/>
      <c r="G129" s="24">
        <f>HLOOKUP($E$3,$P$3:$CE$269,O129,FALSE)</f>
        <v>138525447.56999999</v>
      </c>
      <c r="H129" s="24">
        <f t="shared" si="21"/>
        <v>143103046.99000001</v>
      </c>
      <c r="I129" s="24">
        <f t="shared" si="21"/>
        <v>145877729.05902892</v>
      </c>
      <c r="J129" s="24">
        <f t="shared" si="21"/>
        <v>147549838.31535891</v>
      </c>
      <c r="K129" s="24">
        <f t="shared" si="21"/>
        <v>150428662.99729875</v>
      </c>
      <c r="L129" s="24">
        <f t="shared" ref="L129:M129" si="23">L97</f>
        <v>150428662.99729875</v>
      </c>
      <c r="M129" s="24">
        <f t="shared" si="23"/>
        <v>150428662.99729875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86"/>
      <c r="G130" s="6">
        <f>HLOOKUP($E$3,$P$3:$CE$269,O130,FALSE)</f>
        <v>35106</v>
      </c>
      <c r="H130" s="6">
        <f t="shared" si="21"/>
        <v>36439</v>
      </c>
      <c r="I130" s="6">
        <f t="shared" si="21"/>
        <v>36740</v>
      </c>
      <c r="J130" s="6">
        <f t="shared" si="21"/>
        <v>36740</v>
      </c>
      <c r="K130" s="6">
        <f t="shared" si="21"/>
        <v>36740</v>
      </c>
      <c r="L130" s="6">
        <f t="shared" ref="L130:M130" si="24">L98</f>
        <v>36740</v>
      </c>
      <c r="M130" s="6">
        <f t="shared" si="24"/>
        <v>36740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86"/>
      <c r="G131" s="6">
        <f>HLOOKUP($E$3,$P$3:$CE$269,O131,FALSE)</f>
        <v>37410</v>
      </c>
      <c r="H131" s="6">
        <f t="shared" ref="H131:M131" si="25">MAX(G131,H130)</f>
        <v>37410</v>
      </c>
      <c r="I131" s="6">
        <f t="shared" si="25"/>
        <v>37410</v>
      </c>
      <c r="J131" s="6">
        <f t="shared" si="25"/>
        <v>37410</v>
      </c>
      <c r="K131" s="6">
        <f t="shared" si="25"/>
        <v>37410</v>
      </c>
      <c r="L131" s="6">
        <f t="shared" si="25"/>
        <v>37410</v>
      </c>
      <c r="M131" s="6">
        <f t="shared" si="25"/>
        <v>37410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116.45912314579466</v>
      </c>
      <c r="I134" s="137">
        <f>H134*EXP('Model Inputs'!I21)</f>
        <v>120.36638952690569</v>
      </c>
      <c r="J134" s="137">
        <f>I134*EXP('Model Inputs'!J21)</f>
        <v>124.90336235555709</v>
      </c>
      <c r="K134" s="137">
        <f>J134*EXP('Model Inputs'!K21)</f>
        <v>131.04494253480965</v>
      </c>
      <c r="L134" s="137">
        <f>K134*EXP('Model Inputs'!L21)</f>
        <v>137.48850823620384</v>
      </c>
      <c r="M134" s="138">
        <f>L134*EXP('Model Inputs'!M21)</f>
        <v>144.24890828576187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253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1149.052769272135</v>
      </c>
      <c r="I135" s="128">
        <f>H135*EXP('Model Inputs'!I20)</f>
        <v>1172.2651749728868</v>
      </c>
      <c r="J135" s="128">
        <f>I135*EXP('Model Inputs'!J20)</f>
        <v>1229.2914224420963</v>
      </c>
      <c r="K135" s="128">
        <f>J135*EXP('Model Inputs'!K20)</f>
        <v>1266.7289198056262</v>
      </c>
      <c r="L135" s="128">
        <f>K135*EXP('Model Inputs'!L20)</f>
        <v>1305.3065587037486</v>
      </c>
      <c r="M135" s="129">
        <f>L135*EXP('Model Inputs'!M20)</f>
        <v>1345.0590616155403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2.0599999999999959E-2</v>
      </c>
      <c r="I136" s="25">
        <f t="shared" ref="I136:M136" si="27">LN(I134/H134)*0.3+LN(I135/H135)*0.7</f>
        <v>2.3900000000000005E-2</v>
      </c>
      <c r="J136" s="25">
        <f t="shared" si="27"/>
        <v>4.4349999999999987E-2</v>
      </c>
      <c r="K136" s="25">
        <f t="shared" si="27"/>
        <v>3.5400000000000084E-2</v>
      </c>
      <c r="L136" s="25">
        <f t="shared" si="27"/>
        <v>3.5400000000000084E-2</v>
      </c>
      <c r="M136" s="25">
        <f t="shared" si="27"/>
        <v>3.5400000000000084E-2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94"/>
      <c r="G137" s="15">
        <f>HLOOKUP($E$3,$P$3:$CE$269,O137,FALSE)</f>
        <v>150.90198459414094</v>
      </c>
      <c r="H137" s="15">
        <f t="shared" ref="H137:M137" si="28">G137*EXP(H136)</f>
        <v>154.0428048563931</v>
      </c>
      <c r="I137" s="15">
        <f t="shared" si="28"/>
        <v>157.76877588865884</v>
      </c>
      <c r="J137" s="15">
        <f t="shared" si="28"/>
        <v>164.92330001062783</v>
      </c>
      <c r="K137" s="15">
        <f t="shared" si="28"/>
        <v>170.86615272489945</v>
      </c>
      <c r="L137" s="15">
        <f t="shared" si="28"/>
        <v>177.02315042887994</v>
      </c>
      <c r="M137" s="15">
        <f t="shared" si="28"/>
        <v>183.40200963159654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18.334695022006425</v>
      </c>
      <c r="I139" s="15">
        <f t="shared" si="29"/>
        <v>18.588965931213504</v>
      </c>
      <c r="J139" s="15">
        <f t="shared" si="29"/>
        <v>19.472623155759468</v>
      </c>
      <c r="K139" s="15">
        <f t="shared" si="29"/>
        <v>21.318267023594807</v>
      </c>
      <c r="L139" s="15">
        <f t="shared" ref="L139:M139" si="30">L113</f>
        <v>22.366500183527009</v>
      </c>
      <c r="M139" s="15">
        <f t="shared" si="30"/>
        <v>23.466275654865928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90"/>
      <c r="G142" s="15">
        <f>HLOOKUP($E$3,$P$3:$CE$269,O142,FALSE)</f>
        <v>291</v>
      </c>
      <c r="H142" s="26">
        <f>'Model Inputs'!H16</f>
        <v>292</v>
      </c>
      <c r="I142" s="26">
        <f>'Model Inputs'!I16</f>
        <v>300</v>
      </c>
      <c r="J142" s="26">
        <f>'Model Inputs'!J16</f>
        <v>300</v>
      </c>
      <c r="K142" s="26">
        <f>'Model Inputs'!K16</f>
        <v>300</v>
      </c>
      <c r="L142" s="26">
        <f>'Model Inputs'!L16</f>
        <v>300</v>
      </c>
      <c r="M142" s="26">
        <f>'Model Inputs'!M16</f>
        <v>300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9"/>
      <c r="G143" s="22">
        <f>HLOOKUP($E$3,$P$3:$CE$269,O143,FALSE)</f>
        <v>249.18421052631578</v>
      </c>
      <c r="H143" s="22">
        <f>(G143*14+H142)/15</f>
        <v>252.03859649122805</v>
      </c>
      <c r="I143" s="22">
        <f>(H143*15+I142)/16</f>
        <v>255.0361842105263</v>
      </c>
      <c r="J143" s="22">
        <f>(I143*16+J142)/17</f>
        <v>257.68111455108357</v>
      </c>
      <c r="K143" s="22">
        <f>(J143*17+K142)/18</f>
        <v>260.03216374269005</v>
      </c>
      <c r="L143" s="22">
        <f>(K143*17+L142)/18</f>
        <v>262.25259909031837</v>
      </c>
      <c r="M143" s="22">
        <f>(L143*17+M142)/18</f>
        <v>264.34967691863403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86"/>
      <c r="G144" s="6">
        <f>HLOOKUP($E$3,$P$3:$CE$269,O144,FALSE)</f>
        <v>12046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8"/>
      <c r="G145" s="19">
        <f>HLOOKUP($E$3,$P$3:$CE$269,O145,FALSE)</f>
        <v>0.18196911837954508</v>
      </c>
      <c r="H145" s="19">
        <f>'Model Inputs'!H17</f>
        <v>0.19507340134361772</v>
      </c>
      <c r="I145" s="19">
        <f>'Model Inputs'!I17</f>
        <v>0.188155982560956</v>
      </c>
      <c r="J145" s="19">
        <f>'Model Inputs'!J17</f>
        <v>0.19782487893943013</v>
      </c>
      <c r="K145" s="19">
        <f>'Model Inputs'!K17</f>
        <v>0.1941656942823804</v>
      </c>
      <c r="L145" s="19">
        <f>'Model Inputs'!L17</f>
        <v>0.1941656942823804</v>
      </c>
      <c r="M145" s="19">
        <f>'Model Inputs'!M17</f>
        <v>0.1941656942823804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96"/>
      <c r="G152" s="27">
        <f t="shared" si="31"/>
        <v>0.11474152429208499</v>
      </c>
      <c r="H152" s="27">
        <f t="shared" ref="H152:K152" si="33">H113/H137</f>
        <v>0.11902337820386355</v>
      </c>
      <c r="I152" s="27">
        <f t="shared" si="33"/>
        <v>0.11782411206848799</v>
      </c>
      <c r="J152" s="27">
        <f t="shared" si="33"/>
        <v>0.11807078293063886</v>
      </c>
      <c r="K152" s="27">
        <f t="shared" si="33"/>
        <v>0.12476588653528105</v>
      </c>
      <c r="L152" s="27">
        <f t="shared" ref="L152:M152" si="34">L113/L137</f>
        <v>0.12634788234950589</v>
      </c>
      <c r="M152" s="27">
        <f t="shared" si="34"/>
        <v>0.12794993741891447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91"/>
      <c r="G153" s="17">
        <f t="shared" si="31"/>
        <v>14238</v>
      </c>
      <c r="H153" s="17">
        <f t="shared" ref="H153:K153" si="35">H96</f>
        <v>14409</v>
      </c>
      <c r="I153" s="17">
        <f t="shared" si="35"/>
        <v>14716.5</v>
      </c>
      <c r="J153" s="17">
        <f t="shared" si="35"/>
        <v>15089</v>
      </c>
      <c r="K153" s="17">
        <f t="shared" si="35"/>
        <v>15351</v>
      </c>
      <c r="L153" s="17">
        <f t="shared" ref="L153:M153" si="36">L96</f>
        <v>15351</v>
      </c>
      <c r="M153" s="17">
        <f t="shared" si="36"/>
        <v>15351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91"/>
      <c r="G154" s="17">
        <f t="shared" si="31"/>
        <v>37410</v>
      </c>
      <c r="H154" s="17">
        <f t="shared" ref="H154:K154" si="37">H131</f>
        <v>37410</v>
      </c>
      <c r="I154" s="17">
        <f t="shared" si="37"/>
        <v>37410</v>
      </c>
      <c r="J154" s="17">
        <f t="shared" si="37"/>
        <v>37410</v>
      </c>
      <c r="K154" s="17">
        <f t="shared" si="37"/>
        <v>37410</v>
      </c>
      <c r="L154" s="17">
        <f t="shared" ref="L154:M154" si="38">L131</f>
        <v>37410</v>
      </c>
      <c r="M154" s="17">
        <f t="shared" si="38"/>
        <v>37410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93"/>
      <c r="G155" s="24">
        <f t="shared" si="31"/>
        <v>138525447.56999999</v>
      </c>
      <c r="H155" s="24">
        <f t="shared" ref="H155:K155" si="39">H97</f>
        <v>143103046.99000001</v>
      </c>
      <c r="I155" s="24">
        <f t="shared" si="39"/>
        <v>145877729.05902892</v>
      </c>
      <c r="J155" s="24">
        <f t="shared" si="39"/>
        <v>147549838.31535891</v>
      </c>
      <c r="K155" s="24">
        <f t="shared" si="39"/>
        <v>150428662.99729875</v>
      </c>
      <c r="L155" s="24">
        <f t="shared" ref="L155:M155" si="40">L97</f>
        <v>150428662.99729875</v>
      </c>
      <c r="M155" s="24">
        <f t="shared" si="40"/>
        <v>150428662.99729875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7"/>
      <c r="G156" s="28">
        <f t="shared" si="31"/>
        <v>249.18421052631578</v>
      </c>
      <c r="H156" s="28">
        <f t="shared" ref="H156:K156" si="41">H143</f>
        <v>252.03859649122805</v>
      </c>
      <c r="I156" s="28">
        <f t="shared" si="41"/>
        <v>255.0361842105263</v>
      </c>
      <c r="J156" s="28">
        <f t="shared" si="41"/>
        <v>257.68111455108357</v>
      </c>
      <c r="K156" s="28">
        <f t="shared" si="41"/>
        <v>260.03216374269005</v>
      </c>
      <c r="L156" s="28">
        <f t="shared" ref="L156:M156" si="42">L143</f>
        <v>262.25259909031837</v>
      </c>
      <c r="M156" s="28">
        <f t="shared" si="42"/>
        <v>264.34967691863403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7"/>
      <c r="G157" s="20">
        <f t="shared" si="31"/>
        <v>0.18196911837954508</v>
      </c>
      <c r="H157" s="20">
        <f t="shared" ref="H157:L157" si="43">H145</f>
        <v>0.19507340134361772</v>
      </c>
      <c r="I157" s="20">
        <f t="shared" si="43"/>
        <v>0.188155982560956</v>
      </c>
      <c r="J157" s="20">
        <f t="shared" si="43"/>
        <v>0.19782487893943013</v>
      </c>
      <c r="K157" s="20">
        <f t="shared" si="43"/>
        <v>0.1941656942823804</v>
      </c>
      <c r="L157" s="20">
        <f t="shared" si="43"/>
        <v>0.1941656942823804</v>
      </c>
      <c r="M157" s="20">
        <f t="shared" ref="M157" si="44">M145</f>
        <v>0.1941656942823804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12.815287046759257</v>
      </c>
      <c r="H162" s="32">
        <f t="shared" ref="H162:M179" si="47">G162</f>
        <v>12.815287046759257</v>
      </c>
      <c r="I162" s="32">
        <f t="shared" si="47"/>
        <v>12.815287046759257</v>
      </c>
      <c r="J162" s="32">
        <f t="shared" si="47"/>
        <v>12.815287046759257</v>
      </c>
      <c r="K162" s="32">
        <f t="shared" si="47"/>
        <v>12.815287046759257</v>
      </c>
      <c r="L162" s="32">
        <f t="shared" si="47"/>
        <v>12.815287046759257</v>
      </c>
      <c r="M162" s="32">
        <f t="shared" si="47"/>
        <v>12.815287046759257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8"/>
      <c r="G163" s="32">
        <f t="shared" si="46"/>
        <v>0.62622775446724177</v>
      </c>
      <c r="H163" s="32">
        <f t="shared" si="47"/>
        <v>0.62622775446724177</v>
      </c>
      <c r="I163" s="32">
        <f t="shared" si="47"/>
        <v>0.62622775446724177</v>
      </c>
      <c r="J163" s="32">
        <f t="shared" si="47"/>
        <v>0.62622775446724177</v>
      </c>
      <c r="K163" s="32">
        <f t="shared" si="47"/>
        <v>0.62622775446724177</v>
      </c>
      <c r="L163" s="32">
        <f t="shared" si="47"/>
        <v>0.62622775446724177</v>
      </c>
      <c r="M163" s="32">
        <f t="shared" si="47"/>
        <v>0.62622775446724177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8"/>
      <c r="G164" s="32">
        <f t="shared" si="46"/>
        <v>0.44449362529585673</v>
      </c>
      <c r="H164" s="32">
        <f t="shared" si="47"/>
        <v>0.44449362529585673</v>
      </c>
      <c r="I164" s="32">
        <f t="shared" si="47"/>
        <v>0.44449362529585673</v>
      </c>
      <c r="J164" s="32">
        <f t="shared" si="47"/>
        <v>0.44449362529585673</v>
      </c>
      <c r="K164" s="32">
        <f t="shared" si="47"/>
        <v>0.44449362529585673</v>
      </c>
      <c r="L164" s="32">
        <f t="shared" si="47"/>
        <v>0.44449362529585673</v>
      </c>
      <c r="M164" s="32">
        <f t="shared" si="47"/>
        <v>0.44449362529585673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8"/>
      <c r="G165" s="32">
        <f t="shared" si="46"/>
        <v>0.16304420261765296</v>
      </c>
      <c r="H165" s="32">
        <f t="shared" si="47"/>
        <v>0.16304420261765296</v>
      </c>
      <c r="I165" s="32">
        <f t="shared" si="47"/>
        <v>0.16304420261765296</v>
      </c>
      <c r="J165" s="32">
        <f t="shared" si="47"/>
        <v>0.16304420261765296</v>
      </c>
      <c r="K165" s="32">
        <f t="shared" si="47"/>
        <v>0.16304420261765296</v>
      </c>
      <c r="L165" s="32">
        <f t="shared" si="47"/>
        <v>0.16304420261765296</v>
      </c>
      <c r="M165" s="32">
        <f t="shared" si="47"/>
        <v>0.16304420261765296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8"/>
      <c r="G166" s="32">
        <f t="shared" si="46"/>
        <v>0.10219327879520154</v>
      </c>
      <c r="H166" s="32">
        <f t="shared" si="47"/>
        <v>0.10219327879520154</v>
      </c>
      <c r="I166" s="32">
        <f t="shared" si="47"/>
        <v>0.10219327879520154</v>
      </c>
      <c r="J166" s="32">
        <f t="shared" si="47"/>
        <v>0.10219327879520154</v>
      </c>
      <c r="K166" s="32">
        <f t="shared" si="47"/>
        <v>0.10219327879520154</v>
      </c>
      <c r="L166" s="32">
        <f t="shared" si="47"/>
        <v>0.10219327879520154</v>
      </c>
      <c r="M166" s="32">
        <f t="shared" si="47"/>
        <v>0.10219327879520154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8"/>
      <c r="G167" s="32">
        <f t="shared" si="46"/>
        <v>0.12100049828728121</v>
      </c>
      <c r="H167" s="32">
        <f t="shared" si="47"/>
        <v>0.12100049828728121</v>
      </c>
      <c r="I167" s="32">
        <f t="shared" si="47"/>
        <v>0.12100049828728121</v>
      </c>
      <c r="J167" s="32">
        <f t="shared" si="47"/>
        <v>0.12100049828728121</v>
      </c>
      <c r="K167" s="32">
        <f t="shared" si="47"/>
        <v>0.12100049828728121</v>
      </c>
      <c r="L167" s="32">
        <f t="shared" si="47"/>
        <v>0.12100049828728121</v>
      </c>
      <c r="M167" s="32">
        <f t="shared" si="47"/>
        <v>0.12100049828728121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8"/>
      <c r="G168" s="32">
        <f t="shared" si="46"/>
        <v>-0.24160753933709078</v>
      </c>
      <c r="H168" s="32">
        <f t="shared" si="47"/>
        <v>-0.24160753933709078</v>
      </c>
      <c r="I168" s="32">
        <f t="shared" si="47"/>
        <v>-0.24160753933709078</v>
      </c>
      <c r="J168" s="32">
        <f t="shared" si="47"/>
        <v>-0.24160753933709078</v>
      </c>
      <c r="K168" s="32">
        <f t="shared" si="47"/>
        <v>-0.24160753933709078</v>
      </c>
      <c r="L168" s="32">
        <f t="shared" si="47"/>
        <v>-0.24160753933709078</v>
      </c>
      <c r="M168" s="32">
        <f t="shared" si="47"/>
        <v>-0.24160753933709078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8"/>
      <c r="G169" s="32">
        <f t="shared" si="46"/>
        <v>0.30866308158943717</v>
      </c>
      <c r="H169" s="32">
        <f t="shared" si="47"/>
        <v>0.30866308158943717</v>
      </c>
      <c r="I169" s="32">
        <f t="shared" si="47"/>
        <v>0.30866308158943717</v>
      </c>
      <c r="J169" s="32">
        <f t="shared" si="47"/>
        <v>0.30866308158943717</v>
      </c>
      <c r="K169" s="32">
        <f t="shared" si="47"/>
        <v>0.30866308158943717</v>
      </c>
      <c r="L169" s="32">
        <f t="shared" si="47"/>
        <v>0.30866308158943717</v>
      </c>
      <c r="M169" s="32">
        <f t="shared" si="47"/>
        <v>0.30866308158943717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8"/>
      <c r="G170" s="32">
        <f t="shared" si="46"/>
        <v>0.15542489375565871</v>
      </c>
      <c r="H170" s="32">
        <f t="shared" si="47"/>
        <v>0.15542489375565871</v>
      </c>
      <c r="I170" s="32">
        <f t="shared" si="47"/>
        <v>0.15542489375565871</v>
      </c>
      <c r="J170" s="32">
        <f t="shared" si="47"/>
        <v>0.15542489375565871</v>
      </c>
      <c r="K170" s="32">
        <f t="shared" si="47"/>
        <v>0.15542489375565871</v>
      </c>
      <c r="L170" s="32">
        <f t="shared" si="47"/>
        <v>0.15542489375565871</v>
      </c>
      <c r="M170" s="32">
        <f t="shared" si="47"/>
        <v>0.15542489375565871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8"/>
      <c r="G171" s="32">
        <f t="shared" si="46"/>
        <v>5.3358879624143984E-2</v>
      </c>
      <c r="H171" s="32">
        <f t="shared" si="47"/>
        <v>5.3358879624143984E-2</v>
      </c>
      <c r="I171" s="32">
        <f t="shared" si="47"/>
        <v>5.3358879624143984E-2</v>
      </c>
      <c r="J171" s="32">
        <f t="shared" si="47"/>
        <v>5.3358879624143984E-2</v>
      </c>
      <c r="K171" s="32">
        <f t="shared" si="47"/>
        <v>5.3358879624143984E-2</v>
      </c>
      <c r="L171" s="32">
        <f t="shared" si="47"/>
        <v>5.3358879624143984E-2</v>
      </c>
      <c r="M171" s="32">
        <f t="shared" si="47"/>
        <v>5.3358879624143984E-2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8"/>
      <c r="G172" s="32">
        <f t="shared" si="46"/>
        <v>9.8020658333177746E-3</v>
      </c>
      <c r="H172" s="32">
        <f t="shared" si="47"/>
        <v>9.8020658333177746E-3</v>
      </c>
      <c r="I172" s="32">
        <f t="shared" si="47"/>
        <v>9.8020658333177746E-3</v>
      </c>
      <c r="J172" s="32">
        <f t="shared" si="47"/>
        <v>9.8020658333177746E-3</v>
      </c>
      <c r="K172" s="32">
        <f t="shared" si="47"/>
        <v>9.8020658333177746E-3</v>
      </c>
      <c r="L172" s="32">
        <f t="shared" si="47"/>
        <v>9.8020658333177746E-3</v>
      </c>
      <c r="M172" s="32">
        <f t="shared" si="47"/>
        <v>9.8020658333177746E-3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8"/>
      <c r="G173" s="32">
        <f t="shared" si="46"/>
        <v>1.687118599302817E-5</v>
      </c>
      <c r="H173" s="32">
        <f t="shared" si="47"/>
        <v>1.687118599302817E-5</v>
      </c>
      <c r="I173" s="32">
        <f t="shared" si="47"/>
        <v>1.687118599302817E-5</v>
      </c>
      <c r="J173" s="32">
        <f t="shared" si="47"/>
        <v>1.687118599302817E-5</v>
      </c>
      <c r="K173" s="32">
        <f t="shared" si="47"/>
        <v>1.687118599302817E-5</v>
      </c>
      <c r="L173" s="32">
        <f t="shared" si="47"/>
        <v>1.687118599302817E-5</v>
      </c>
      <c r="M173" s="32">
        <f t="shared" si="47"/>
        <v>1.687118599302817E-5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8"/>
      <c r="G174" s="32">
        <f t="shared" si="46"/>
        <v>1.0267065243983853E-2</v>
      </c>
      <c r="H174" s="32">
        <f t="shared" si="47"/>
        <v>1.0267065243983853E-2</v>
      </c>
      <c r="I174" s="32">
        <f t="shared" si="47"/>
        <v>1.0267065243983853E-2</v>
      </c>
      <c r="J174" s="32">
        <f t="shared" si="47"/>
        <v>1.0267065243983853E-2</v>
      </c>
      <c r="K174" s="32">
        <f t="shared" si="47"/>
        <v>1.0267065243983853E-2</v>
      </c>
      <c r="L174" s="32">
        <f t="shared" si="47"/>
        <v>1.0267065243983853E-2</v>
      </c>
      <c r="M174" s="32">
        <f t="shared" si="47"/>
        <v>1.0267065243983853E-2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8"/>
      <c r="G175" s="32">
        <f t="shared" si="46"/>
        <v>6.3660439793258597E-2</v>
      </c>
      <c r="H175" s="32">
        <f t="shared" si="47"/>
        <v>6.3660439793258597E-2</v>
      </c>
      <c r="I175" s="32">
        <f t="shared" si="47"/>
        <v>6.3660439793258597E-2</v>
      </c>
      <c r="J175" s="32">
        <f t="shared" si="47"/>
        <v>6.3660439793258597E-2</v>
      </c>
      <c r="K175" s="32">
        <f t="shared" si="47"/>
        <v>6.3660439793258597E-2</v>
      </c>
      <c r="L175" s="32">
        <f t="shared" si="47"/>
        <v>6.3660439793258597E-2</v>
      </c>
      <c r="M175" s="32">
        <f t="shared" si="47"/>
        <v>6.3660439793258597E-2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8"/>
      <c r="G176" s="32">
        <f t="shared" si="46"/>
        <v>-0.18646926204413686</v>
      </c>
      <c r="H176" s="32">
        <f t="shared" si="47"/>
        <v>-0.18646926204413686</v>
      </c>
      <c r="I176" s="32">
        <f t="shared" si="47"/>
        <v>-0.18646926204413686</v>
      </c>
      <c r="J176" s="32">
        <f t="shared" si="47"/>
        <v>-0.18646926204413686</v>
      </c>
      <c r="K176" s="32">
        <f t="shared" si="47"/>
        <v>-0.18646926204413686</v>
      </c>
      <c r="L176" s="32">
        <f t="shared" si="47"/>
        <v>-0.18646926204413686</v>
      </c>
      <c r="M176" s="32">
        <f t="shared" si="47"/>
        <v>-0.18646926204413686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8"/>
      <c r="G177" s="32">
        <f t="shared" si="46"/>
        <v>0.28547139334660182</v>
      </c>
      <c r="H177" s="32">
        <f t="shared" si="47"/>
        <v>0.28547139334660182</v>
      </c>
      <c r="I177" s="32">
        <f t="shared" si="47"/>
        <v>0.28547139334660182</v>
      </c>
      <c r="J177" s="32">
        <f t="shared" si="47"/>
        <v>0.28547139334660182</v>
      </c>
      <c r="K177" s="32">
        <f t="shared" si="47"/>
        <v>0.28547139334660182</v>
      </c>
      <c r="L177" s="32">
        <f t="shared" si="47"/>
        <v>0.28547139334660182</v>
      </c>
      <c r="M177" s="32">
        <f t="shared" si="47"/>
        <v>0.28547139334660182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8"/>
      <c r="G178" s="32">
        <f t="shared" si="46"/>
        <v>1.6075484172332705E-2</v>
      </c>
      <c r="H178" s="32">
        <f t="shared" si="47"/>
        <v>1.6075484172332705E-2</v>
      </c>
      <c r="I178" s="32">
        <f t="shared" si="47"/>
        <v>1.6075484172332705E-2</v>
      </c>
      <c r="J178" s="32">
        <f t="shared" si="47"/>
        <v>1.6075484172332705E-2</v>
      </c>
      <c r="K178" s="32">
        <f t="shared" si="47"/>
        <v>1.6075484172332705E-2</v>
      </c>
      <c r="L178" s="32">
        <f t="shared" si="47"/>
        <v>1.6075484172332705E-2</v>
      </c>
      <c r="M178" s="32">
        <f t="shared" si="47"/>
        <v>1.6075484172332705E-2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8"/>
      <c r="G179" s="32">
        <f t="shared" si="46"/>
        <v>1.6762540532253616E-2</v>
      </c>
      <c r="H179" s="32">
        <f t="shared" si="47"/>
        <v>1.6762540532253616E-2</v>
      </c>
      <c r="I179" s="32">
        <f t="shared" si="47"/>
        <v>1.6762540532253616E-2</v>
      </c>
      <c r="J179" s="32">
        <f t="shared" si="47"/>
        <v>1.6762540532253616E-2</v>
      </c>
      <c r="K179" s="32">
        <f t="shared" si="47"/>
        <v>1.6762540532253616E-2</v>
      </c>
      <c r="L179" s="32">
        <f t="shared" si="47"/>
        <v>1.6762540532253616E-2</v>
      </c>
      <c r="M179" s="32">
        <f t="shared" si="47"/>
        <v>1.6762540532253616E-2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9"/>
      <c r="G206" s="31">
        <f t="shared" si="50"/>
        <v>-0.359620498787729</v>
      </c>
      <c r="H206" s="31">
        <f t="shared" ref="H206:K209" si="51">LN(H152/H184)</f>
        <v>-0.3229825533107521</v>
      </c>
      <c r="I206" s="31">
        <f t="shared" si="51"/>
        <v>-0.33310954586030322</v>
      </c>
      <c r="J206" s="31">
        <f t="shared" si="51"/>
        <v>-0.33101818265331923</v>
      </c>
      <c r="K206" s="31">
        <f t="shared" si="51"/>
        <v>-0.27586340912218849</v>
      </c>
      <c r="L206" s="31">
        <f t="shared" ref="L206:M206" si="52">LN(L152/L184)</f>
        <v>-0.2632634091221891</v>
      </c>
      <c r="M206" s="31">
        <f t="shared" si="52"/>
        <v>-0.25066340912218887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9"/>
      <c r="G207" s="31">
        <f t="shared" si="50"/>
        <v>-1.4939012739874271</v>
      </c>
      <c r="H207" s="31">
        <f t="shared" si="51"/>
        <v>-1.4819627093183116</v>
      </c>
      <c r="I207" s="31">
        <f t="shared" si="51"/>
        <v>-1.4608464073796905</v>
      </c>
      <c r="J207" s="31">
        <f t="shared" si="51"/>
        <v>-1.4358497191375943</v>
      </c>
      <c r="K207" s="31">
        <f t="shared" si="51"/>
        <v>-1.4186351021780441</v>
      </c>
      <c r="L207" s="31">
        <f t="shared" ref="L207:M207" si="53">LN(L153/L185)</f>
        <v>-1.4186351021780441</v>
      </c>
      <c r="M207" s="31">
        <f t="shared" si="53"/>
        <v>-1.4186351021780441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9"/>
      <c r="G208" s="31">
        <f t="shared" si="50"/>
        <v>-2.2219802541297442</v>
      </c>
      <c r="H208" s="31">
        <f t="shared" si="51"/>
        <v>-2.2219802541297442</v>
      </c>
      <c r="I208" s="31">
        <f t="shared" si="51"/>
        <v>-2.2219802541297442</v>
      </c>
      <c r="J208" s="31">
        <f t="shared" si="51"/>
        <v>-2.2219802541297442</v>
      </c>
      <c r="K208" s="31">
        <f t="shared" si="51"/>
        <v>-2.2219802541297442</v>
      </c>
      <c r="L208" s="31">
        <f t="shared" ref="L208:M208" si="54">LN(L154/L186)</f>
        <v>-2.2219802541297442</v>
      </c>
      <c r="M208" s="31">
        <f t="shared" si="54"/>
        <v>-2.2219802541297442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9"/>
      <c r="G209" s="31">
        <f t="shared" si="50"/>
        <v>-2.4654824511924898</v>
      </c>
      <c r="H209" s="31">
        <f t="shared" si="51"/>
        <v>-2.4329715178417493</v>
      </c>
      <c r="I209" s="31">
        <f t="shared" si="51"/>
        <v>-2.4137676982756724</v>
      </c>
      <c r="J209" s="31">
        <f t="shared" si="51"/>
        <v>-2.4023704913170767</v>
      </c>
      <c r="K209" s="31">
        <f t="shared" si="51"/>
        <v>-2.3830475251123606</v>
      </c>
      <c r="L209" s="31">
        <f t="shared" ref="L209:M209" si="55">LN(L155/L187)</f>
        <v>-2.3830475251123606</v>
      </c>
      <c r="M209" s="31">
        <f t="shared" si="55"/>
        <v>-2.3830475251123606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9"/>
      <c r="G210" s="31">
        <f t="shared" si="50"/>
        <v>6.4663451574167502E-2</v>
      </c>
      <c r="H210" s="31">
        <f t="shared" ref="H210:K213" si="56">H206*H206/2</f>
        <v>5.2158864871566409E-2</v>
      </c>
      <c r="I210" s="31">
        <f t="shared" si="56"/>
        <v>5.548098477162873E-2</v>
      </c>
      <c r="J210" s="31">
        <f t="shared" si="56"/>
        <v>5.4786518623553104E-2</v>
      </c>
      <c r="K210" s="31">
        <f t="shared" si="56"/>
        <v>3.8050310246257969E-2</v>
      </c>
      <c r="L210" s="31">
        <f t="shared" ref="L210:M210" si="57">L206*L206/2</f>
        <v>3.4653811291318559E-2</v>
      </c>
      <c r="M210" s="31">
        <f t="shared" si="57"/>
        <v>3.1416072336378921E-2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9"/>
      <c r="G211" s="31">
        <f t="shared" si="50"/>
        <v>1.1158705082106288</v>
      </c>
      <c r="H211" s="31">
        <f t="shared" si="56"/>
        <v>1.0981067359050354</v>
      </c>
      <c r="I211" s="31">
        <f t="shared" si="56"/>
        <v>1.0670361129770745</v>
      </c>
      <c r="J211" s="31">
        <f t="shared" si="56"/>
        <v>1.0308322079737542</v>
      </c>
      <c r="K211" s="31">
        <f t="shared" si="56"/>
        <v>1.0062627765658549</v>
      </c>
      <c r="L211" s="31">
        <f t="shared" ref="L211:M211" si="58">L207*L207/2</f>
        <v>1.0062627765658549</v>
      </c>
      <c r="M211" s="31">
        <f t="shared" si="58"/>
        <v>1.0062627765658549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9"/>
      <c r="G212" s="31">
        <f t="shared" si="50"/>
        <v>2.4685981248712414</v>
      </c>
      <c r="H212" s="31">
        <f t="shared" si="56"/>
        <v>2.4685981248712414</v>
      </c>
      <c r="I212" s="31">
        <f t="shared" si="56"/>
        <v>2.4685981248712414</v>
      </c>
      <c r="J212" s="31">
        <f t="shared" si="56"/>
        <v>2.4685981248712414</v>
      </c>
      <c r="K212" s="31">
        <f t="shared" si="56"/>
        <v>2.4685981248712414</v>
      </c>
      <c r="L212" s="31">
        <f t="shared" ref="L212:M212" si="59">L208*L208/2</f>
        <v>2.4685981248712414</v>
      </c>
      <c r="M212" s="31">
        <f t="shared" si="59"/>
        <v>2.4685981248712414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9"/>
      <c r="G213" s="31">
        <f t="shared" si="50"/>
        <v>3.0393018585690639</v>
      </c>
      <c r="H213" s="31">
        <f t="shared" si="56"/>
        <v>2.9596752033145926</v>
      </c>
      <c r="I213" s="31">
        <f t="shared" si="56"/>
        <v>2.9131372506195188</v>
      </c>
      <c r="J213" s="31">
        <f t="shared" si="56"/>
        <v>2.8856919887755264</v>
      </c>
      <c r="K213" s="31">
        <f t="shared" si="56"/>
        <v>2.8394577534720735</v>
      </c>
      <c r="L213" s="31">
        <f t="shared" ref="L213:M213" si="60">L209*L209/2</f>
        <v>2.8394577534720735</v>
      </c>
      <c r="M213" s="31">
        <f t="shared" si="60"/>
        <v>2.8394577534720735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9"/>
      <c r="G214" s="31">
        <f t="shared" si="50"/>
        <v>0.53723752129098234</v>
      </c>
      <c r="H214" s="31">
        <f t="shared" ref="H214:K214" si="61">H206*H207</f>
        <v>0.47864809976694822</v>
      </c>
      <c r="I214" s="31">
        <f t="shared" si="61"/>
        <v>0.48662188333390421</v>
      </c>
      <c r="J214" s="31">
        <f t="shared" si="61"/>
        <v>0.47529236459220531</v>
      </c>
      <c r="K214" s="31">
        <f t="shared" si="61"/>
        <v>0.39134951558723946</v>
      </c>
      <c r="L214" s="31">
        <f t="shared" ref="L214:M214" si="62">L206*L207</f>
        <v>0.37347471329979698</v>
      </c>
      <c r="M214" s="31">
        <f t="shared" si="62"/>
        <v>0.35559991101235328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9"/>
      <c r="G215" s="31">
        <f t="shared" si="50"/>
        <v>0.79906964728662344</v>
      </c>
      <c r="H215" s="31">
        <f t="shared" ref="H215:K215" si="63">H206*H208</f>
        <v>0.71766085588489859</v>
      </c>
      <c r="I215" s="31">
        <f t="shared" si="63"/>
        <v>0.74016283336372024</v>
      </c>
      <c r="J215" s="31">
        <f t="shared" si="63"/>
        <v>0.73551586561358839</v>
      </c>
      <c r="K215" s="31">
        <f t="shared" si="63"/>
        <v>0.61296304790641798</v>
      </c>
      <c r="L215" s="31">
        <f t="shared" ref="L215:M215" si="64">L206*L208</f>
        <v>0.5849660967043846</v>
      </c>
      <c r="M215" s="31">
        <f t="shared" si="64"/>
        <v>0.55696914550234933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9"/>
      <c r="G216" s="31">
        <f t="shared" si="50"/>
        <v>0.8866380288502359</v>
      </c>
      <c r="H216" s="31">
        <f t="shared" ref="H216:K216" si="65">H206*H209</f>
        <v>0.78580735296486426</v>
      </c>
      <c r="I216" s="31">
        <f t="shared" si="65"/>
        <v>0.80404906178487867</v>
      </c>
      <c r="J216" s="31">
        <f t="shared" si="65"/>
        <v>0.79522831409574035</v>
      </c>
      <c r="K216" s="31">
        <f t="shared" si="65"/>
        <v>0.6573956143776899</v>
      </c>
      <c r="L216" s="31">
        <f t="shared" ref="L216:M216" si="66">L206*L209</f>
        <v>0.62736921556127556</v>
      </c>
      <c r="M216" s="31">
        <f t="shared" si="66"/>
        <v>0.59734281674485934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9"/>
      <c r="G217" s="31">
        <f t="shared" si="50"/>
        <v>3.3194191324193318</v>
      </c>
      <c r="H217" s="31">
        <f t="shared" ref="H217:K217" si="67">H207*H208</f>
        <v>3.2928918774619063</v>
      </c>
      <c r="I217" s="31">
        <f t="shared" si="67"/>
        <v>3.2459718715140484</v>
      </c>
      <c r="J217" s="31">
        <f t="shared" si="67"/>
        <v>3.1904297238214738</v>
      </c>
      <c r="K217" s="31">
        <f t="shared" si="67"/>
        <v>3.1521791848549463</v>
      </c>
      <c r="L217" s="31">
        <f t="shared" ref="L217:M217" si="68">L207*L208</f>
        <v>3.1521791848549463</v>
      </c>
      <c r="M217" s="31">
        <f t="shared" si="68"/>
        <v>3.1521791848549463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9"/>
      <c r="G218" s="31">
        <f t="shared" si="50"/>
        <v>3.6831873748301049</v>
      </c>
      <c r="H218" s="31">
        <f t="shared" ref="H218:K218" si="69">H207*H209</f>
        <v>3.6055730622750439</v>
      </c>
      <c r="I218" s="31">
        <f t="shared" si="69"/>
        <v>3.5261438702751606</v>
      </c>
      <c r="J218" s="31">
        <f t="shared" si="69"/>
        <v>3.4494429952220691</v>
      </c>
      <c r="K218" s="31">
        <f t="shared" si="69"/>
        <v>3.3806748692829087</v>
      </c>
      <c r="L218" s="31">
        <f t="shared" ref="L218:M218" si="70">L207*L209</f>
        <v>3.3806748692829087</v>
      </c>
      <c r="M218" s="31">
        <f t="shared" si="70"/>
        <v>3.3806748692829087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9"/>
      <c r="G219" s="31">
        <f t="shared" si="50"/>
        <v>5.4782533234531128</v>
      </c>
      <c r="H219" s="31">
        <f t="shared" ref="H219:K219" si="71">H208*H209</f>
        <v>5.4060146715044395</v>
      </c>
      <c r="I219" s="31">
        <f t="shared" si="71"/>
        <v>5.3633441636247463</v>
      </c>
      <c r="J219" s="31">
        <f t="shared" si="71"/>
        <v>5.3380197948105161</v>
      </c>
      <c r="K219" s="31">
        <f t="shared" si="71"/>
        <v>5.2950845454524211</v>
      </c>
      <c r="L219" s="31">
        <f t="shared" ref="L219:M219" si="72">L208*L209</f>
        <v>5.2950845454524211</v>
      </c>
      <c r="M219" s="31">
        <f t="shared" si="72"/>
        <v>5.2950845454524211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9"/>
      <c r="G220" s="31">
        <f t="shared" si="50"/>
        <v>-2.3912228827784365</v>
      </c>
      <c r="H220" s="31">
        <f t="shared" ref="H220:K220" si="73">LN(H156/H198)</f>
        <v>-2.3798330705725506</v>
      </c>
      <c r="I220" s="31">
        <f t="shared" si="73"/>
        <v>-2.3680098730790071</v>
      </c>
      <c r="J220" s="31">
        <f t="shared" si="73"/>
        <v>-2.3576924766917711</v>
      </c>
      <c r="K220" s="31">
        <f t="shared" si="73"/>
        <v>-2.3486099769684121</v>
      </c>
      <c r="L220" s="31">
        <f t="shared" ref="L220:M220" si="74">LN(L156/L198)</f>
        <v>-2.3401071490730092</v>
      </c>
      <c r="M220" s="31">
        <f t="shared" si="74"/>
        <v>-2.3321425465275869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7"/>
      <c r="G221" s="20">
        <f t="shared" si="50"/>
        <v>1.4150009205252339</v>
      </c>
      <c r="H221" s="20">
        <f t="shared" ref="H221:K221" si="75">H157/H199</f>
        <v>1.5169004770110244</v>
      </c>
      <c r="I221" s="20">
        <f t="shared" si="75"/>
        <v>1.4631102842998134</v>
      </c>
      <c r="J221" s="20">
        <f t="shared" si="75"/>
        <v>1.5382961037280727</v>
      </c>
      <c r="K221" s="20">
        <f t="shared" si="75"/>
        <v>1.5098421017292412</v>
      </c>
      <c r="L221" s="20">
        <f t="shared" ref="L221:M221" si="76">L157/L199</f>
        <v>1.5098421017292412</v>
      </c>
      <c r="M221" s="20">
        <f t="shared" si="76"/>
        <v>1.5098421017292412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200"/>
      <c r="G226" s="33">
        <f t="shared" ref="G226:G243" si="79">HLOOKUP($E$3,$P$3:$CE$269,O226,FALSE)</f>
        <v>12.815287046759257</v>
      </c>
      <c r="H226" s="33">
        <f t="shared" ref="H226:K241" si="80">H162*H205</f>
        <v>12.815287046759257</v>
      </c>
      <c r="I226" s="33">
        <f t="shared" si="80"/>
        <v>12.815287046759257</v>
      </c>
      <c r="J226" s="33">
        <f t="shared" si="80"/>
        <v>12.815287046759257</v>
      </c>
      <c r="K226" s="33">
        <f t="shared" si="80"/>
        <v>12.815287046759257</v>
      </c>
      <c r="L226" s="33">
        <f t="shared" ref="L226:M226" si="81">L162*L205</f>
        <v>12.815287046759257</v>
      </c>
      <c r="M226" s="33">
        <f t="shared" si="81"/>
        <v>12.815287046759257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200"/>
      <c r="G227" s="33">
        <f t="shared" si="79"/>
        <v>-0.22520433741622897</v>
      </c>
      <c r="H227" s="33">
        <f t="shared" si="80"/>
        <v>-0.20226063909188849</v>
      </c>
      <c r="I227" s="33">
        <f t="shared" si="80"/>
        <v>-0.20860244289570037</v>
      </c>
      <c r="J227" s="33">
        <f t="shared" si="80"/>
        <v>-0.20729277321081538</v>
      </c>
      <c r="K227" s="33">
        <f t="shared" si="80"/>
        <v>-0.17275332323426612</v>
      </c>
      <c r="L227" s="33">
        <f t="shared" ref="L227:M227" si="82">L163*L206</f>
        <v>-0.16486285352797925</v>
      </c>
      <c r="M227" s="33">
        <f t="shared" si="82"/>
        <v>-0.15697238382169187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200"/>
      <c r="G228" s="33">
        <f t="shared" si="79"/>
        <v>-0.66402959310877041</v>
      </c>
      <c r="H228" s="33">
        <f t="shared" si="80"/>
        <v>-0.65872297721816631</v>
      </c>
      <c r="I228" s="33">
        <f t="shared" si="80"/>
        <v>-0.64933691561662665</v>
      </c>
      <c r="J228" s="33">
        <f t="shared" si="80"/>
        <v>-0.63822604703950692</v>
      </c>
      <c r="K228" s="33">
        <f t="shared" si="80"/>
        <v>-0.63057425953907698</v>
      </c>
      <c r="L228" s="33">
        <f t="shared" ref="L228:M228" si="83">L164*L207</f>
        <v>-0.63057425953907698</v>
      </c>
      <c r="M228" s="33">
        <f t="shared" si="83"/>
        <v>-0.63057425953907698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200"/>
      <c r="G229" s="33">
        <f t="shared" si="79"/>
        <v>-0.36228099876675401</v>
      </c>
      <c r="H229" s="33">
        <f t="shared" si="80"/>
        <v>-0.36228099876675401</v>
      </c>
      <c r="I229" s="33">
        <f t="shared" si="80"/>
        <v>-0.36228099876675401</v>
      </c>
      <c r="J229" s="33">
        <f t="shared" si="80"/>
        <v>-0.36228099876675401</v>
      </c>
      <c r="K229" s="33">
        <f t="shared" si="80"/>
        <v>-0.36228099876675401</v>
      </c>
      <c r="L229" s="33">
        <f t="shared" ref="L229:M229" si="84">L165*L208</f>
        <v>-0.36228099876675401</v>
      </c>
      <c r="M229" s="33">
        <f t="shared" si="84"/>
        <v>-0.36228099876675401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200"/>
      <c r="G230" s="33">
        <f t="shared" si="79"/>
        <v>-0.25195573549939099</v>
      </c>
      <c r="H230" s="33">
        <f t="shared" si="80"/>
        <v>-0.24863333662358655</v>
      </c>
      <c r="I230" s="33">
        <f t="shared" si="80"/>
        <v>-0.2466708353367377</v>
      </c>
      <c r="J230" s="33">
        <f t="shared" si="80"/>
        <v>-0.24550611738853131</v>
      </c>
      <c r="K230" s="33">
        <f t="shared" si="80"/>
        <v>-0.24353144011602251</v>
      </c>
      <c r="L230" s="33">
        <f t="shared" ref="L230:M230" si="85">L166*L209</f>
        <v>-0.24353144011602251</v>
      </c>
      <c r="M230" s="33">
        <f t="shared" si="85"/>
        <v>-0.24353144011602251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200"/>
      <c r="G231" s="33">
        <f t="shared" si="79"/>
        <v>7.8243098614497464E-3</v>
      </c>
      <c r="H231" s="33">
        <f t="shared" si="80"/>
        <v>6.3112486395585036E-3</v>
      </c>
      <c r="I231" s="33">
        <f t="shared" si="80"/>
        <v>6.7132268028361371E-3</v>
      </c>
      <c r="J231" s="33">
        <f t="shared" si="80"/>
        <v>6.6291960528753373E-3</v>
      </c>
      <c r="K231" s="33">
        <f t="shared" si="80"/>
        <v>4.6041064997828559E-3</v>
      </c>
      <c r="L231" s="33">
        <f t="shared" ref="L231:M231" si="86">L167*L210</f>
        <v>4.1931284338029579E-3</v>
      </c>
      <c r="M231" s="33">
        <f t="shared" si="86"/>
        <v>3.8013604069311205E-3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200"/>
      <c r="G232" s="33">
        <f t="shared" si="79"/>
        <v>-0.26960272770759897</v>
      </c>
      <c r="H232" s="33">
        <f t="shared" si="80"/>
        <v>-0.2653108663915002</v>
      </c>
      <c r="I232" s="33">
        <f t="shared" si="80"/>
        <v>-0.25780396964020497</v>
      </c>
      <c r="J232" s="33">
        <f t="shared" si="80"/>
        <v>-0.24905683323795896</v>
      </c>
      <c r="K232" s="33">
        <f t="shared" si="80"/>
        <v>-0.243120673372585</v>
      </c>
      <c r="L232" s="33">
        <f t="shared" ref="L232:M232" si="87">L168*L211</f>
        <v>-0.243120673372585</v>
      </c>
      <c r="M232" s="33">
        <f t="shared" si="87"/>
        <v>-0.243120673372585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200"/>
      <c r="G233" s="33">
        <f t="shared" si="79"/>
        <v>0.76196510442866361</v>
      </c>
      <c r="H233" s="33">
        <f t="shared" si="80"/>
        <v>0.76196510442866361</v>
      </c>
      <c r="I233" s="33">
        <f t="shared" si="80"/>
        <v>0.76196510442866361</v>
      </c>
      <c r="J233" s="33">
        <f t="shared" si="80"/>
        <v>0.76196510442866361</v>
      </c>
      <c r="K233" s="33">
        <f t="shared" si="80"/>
        <v>0.76196510442866361</v>
      </c>
      <c r="L233" s="33">
        <f t="shared" ref="L233:M233" si="88">L169*L212</f>
        <v>0.76196510442866361</v>
      </c>
      <c r="M233" s="33">
        <f t="shared" si="88"/>
        <v>0.76196510442866361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200"/>
      <c r="G234" s="33">
        <f t="shared" si="79"/>
        <v>0.47238316845947281</v>
      </c>
      <c r="H234" s="33">
        <f t="shared" si="80"/>
        <v>0.46000720402642814</v>
      </c>
      <c r="I234" s="33">
        <f t="shared" si="80"/>
        <v>0.45277404767319041</v>
      </c>
      <c r="J234" s="33">
        <f t="shared" si="80"/>
        <v>0.44850837076699168</v>
      </c>
      <c r="K234" s="33">
        <f t="shared" si="80"/>
        <v>0.44132241965707841</v>
      </c>
      <c r="L234" s="33">
        <f t="shared" ref="L234:M234" si="89">L170*L213</f>
        <v>0.44132241965707841</v>
      </c>
      <c r="M234" s="33">
        <f t="shared" si="89"/>
        <v>0.44132241965707841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200"/>
      <c r="G235" s="33">
        <f t="shared" si="79"/>
        <v>2.8666392228139017E-2</v>
      </c>
      <c r="H235" s="33">
        <f t="shared" si="80"/>
        <v>2.5540126337789851E-2</v>
      </c>
      <c r="I235" s="33">
        <f t="shared" si="80"/>
        <v>2.5965598495288032E-2</v>
      </c>
      <c r="J235" s="33">
        <f t="shared" si="80"/>
        <v>2.5361068068550239E-2</v>
      </c>
      <c r="K235" s="33">
        <f t="shared" si="80"/>
        <v>2.088197169318657E-2</v>
      </c>
      <c r="L235" s="33">
        <f t="shared" ref="L235:M235" si="90">L171*L214</f>
        <v>1.9928192269625552E-2</v>
      </c>
      <c r="M235" s="33">
        <f t="shared" si="90"/>
        <v>1.8974412846064471E-2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200"/>
      <c r="G236" s="33">
        <f t="shared" si="79"/>
        <v>7.8325332881094972E-3</v>
      </c>
      <c r="H236" s="33">
        <f t="shared" si="80"/>
        <v>7.0345589553789554E-3</v>
      </c>
      <c r="I236" s="33">
        <f t="shared" si="80"/>
        <v>7.2551248200061992E-3</v>
      </c>
      <c r="J236" s="33">
        <f t="shared" si="80"/>
        <v>7.209574936194103E-3</v>
      </c>
      <c r="K236" s="33">
        <f t="shared" si="80"/>
        <v>6.008304148969826E-3</v>
      </c>
      <c r="L236" s="33">
        <f t="shared" ref="L236:M236" si="91">L172*L215</f>
        <v>5.7338761901553096E-3</v>
      </c>
      <c r="M236" s="33">
        <f t="shared" si="91"/>
        <v>5.4594482313407742E-3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200"/>
      <c r="G237" s="33">
        <f t="shared" si="79"/>
        <v>1.4958635093224207E-5</v>
      </c>
      <c r="H237" s="33">
        <f t="shared" si="80"/>
        <v>1.3257502006559361E-5</v>
      </c>
      <c r="I237" s="33">
        <f t="shared" si="80"/>
        <v>1.3565261268892486E-5</v>
      </c>
      <c r="J237" s="33">
        <f t="shared" si="80"/>
        <v>1.3416444794031461E-5</v>
      </c>
      <c r="K237" s="33">
        <f t="shared" si="80"/>
        <v>1.109104368116703E-5</v>
      </c>
      <c r="L237" s="33">
        <f t="shared" ref="L237:M237" si="92">L173*L216</f>
        <v>1.0584462722034463E-5</v>
      </c>
      <c r="M237" s="33">
        <f t="shared" si="92"/>
        <v>1.0077881762901864E-5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200"/>
      <c r="G238" s="33">
        <f t="shared" si="79"/>
        <v>3.4080692804677556E-2</v>
      </c>
      <c r="H238" s="33">
        <f t="shared" si="80"/>
        <v>3.3808335747285874E-2</v>
      </c>
      <c r="I238" s="33">
        <f t="shared" si="80"/>
        <v>3.3326604984971107E-2</v>
      </c>
      <c r="J238" s="33">
        <f t="shared" si="80"/>
        <v>3.2756350130820455E-2</v>
      </c>
      <c r="K238" s="33">
        <f t="shared" si="80"/>
        <v>3.2363629351633574E-2</v>
      </c>
      <c r="L238" s="33">
        <f t="shared" ref="L238:M238" si="93">L174*L217</f>
        <v>3.2363629351633574E-2</v>
      </c>
      <c r="M238" s="33">
        <f t="shared" si="93"/>
        <v>3.2363629351633574E-2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200"/>
      <c r="G239" s="33">
        <f t="shared" si="79"/>
        <v>0.23447332812266208</v>
      </c>
      <c r="H239" s="33">
        <f t="shared" si="80"/>
        <v>0.22953236685115547</v>
      </c>
      <c r="I239" s="33">
        <f t="shared" si="80"/>
        <v>0.22447586955601972</v>
      </c>
      <c r="J239" s="33">
        <f t="shared" si="80"/>
        <v>0.21959305811761212</v>
      </c>
      <c r="K239" s="33">
        <f t="shared" si="80"/>
        <v>0.21521524897656699</v>
      </c>
      <c r="L239" s="33">
        <f t="shared" ref="L239:M239" si="94">L175*L218</f>
        <v>0.21521524897656699</v>
      </c>
      <c r="M239" s="33">
        <f t="shared" si="94"/>
        <v>0.21521524897656699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200"/>
      <c r="G240" s="33">
        <f t="shared" si="79"/>
        <v>-1.0215258545151422</v>
      </c>
      <c r="H240" s="33">
        <f t="shared" si="80"/>
        <v>-1.0080555663952098</v>
      </c>
      <c r="I240" s="33">
        <f t="shared" si="80"/>
        <v>-1.0000988282798349</v>
      </c>
      <c r="J240" s="33">
        <f t="shared" si="80"/>
        <v>-0.99537661191531179</v>
      </c>
      <c r="K240" s="33">
        <f t="shared" si="80"/>
        <v>-0.98737050765182677</v>
      </c>
      <c r="L240" s="33">
        <f t="shared" ref="L240:M240" si="95">L176*L219</f>
        <v>-0.98737050765182677</v>
      </c>
      <c r="M240" s="33">
        <f t="shared" si="95"/>
        <v>-0.98737050765182677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200"/>
      <c r="G241" s="33">
        <f t="shared" si="79"/>
        <v>-0.68262572814903821</v>
      </c>
      <c r="H241" s="33">
        <f t="shared" si="80"/>
        <v>-0.67937426258866784</v>
      </c>
      <c r="I241" s="33">
        <f t="shared" si="80"/>
        <v>-0.67599907792637393</v>
      </c>
      <c r="J241" s="33">
        <f t="shared" si="80"/>
        <v>-0.67305375640400045</v>
      </c>
      <c r="K241" s="33">
        <f t="shared" si="80"/>
        <v>-0.67046096255290299</v>
      </c>
      <c r="L241" s="33">
        <f t="shared" ref="L241:M241" si="96">L177*L220</f>
        <v>-0.66803364842621604</v>
      </c>
      <c r="M241" s="33">
        <f t="shared" si="96"/>
        <v>-0.66575998224012245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200"/>
      <c r="G242" s="33">
        <f t="shared" si="79"/>
        <v>2.2746824901739605E-2</v>
      </c>
      <c r="H242" s="33">
        <f t="shared" ref="H242:K243" si="97">H178*H221</f>
        <v>2.4384909609194653E-2</v>
      </c>
      <c r="I242" s="33">
        <f t="shared" si="97"/>
        <v>2.3520206217638853E-2</v>
      </c>
      <c r="J242" s="33">
        <f t="shared" si="97"/>
        <v>2.47288546678417E-2</v>
      </c>
      <c r="K242" s="33">
        <f t="shared" si="97"/>
        <v>2.4271442809069961E-2</v>
      </c>
      <c r="L242" s="33">
        <f t="shared" ref="L242:M242" si="98">L178*L221</f>
        <v>2.4271442809069961E-2</v>
      </c>
      <c r="M242" s="33">
        <f t="shared" si="98"/>
        <v>2.4271442809069961E-2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200"/>
      <c r="G243" s="33">
        <f t="shared" si="79"/>
        <v>0.2346755674515506</v>
      </c>
      <c r="H243" s="33">
        <f t="shared" si="97"/>
        <v>0.25143810798380423</v>
      </c>
      <c r="I243" s="33">
        <f t="shared" si="97"/>
        <v>0.26820064851605785</v>
      </c>
      <c r="J243" s="33">
        <f t="shared" si="97"/>
        <v>0.28496318904831147</v>
      </c>
      <c r="K243" s="33">
        <f t="shared" si="97"/>
        <v>0.30172572958056509</v>
      </c>
      <c r="L243" s="33">
        <f t="shared" ref="L243:M243" si="99">L179*L222</f>
        <v>0.31848827011281872</v>
      </c>
      <c r="M243" s="33">
        <f t="shared" si="99"/>
        <v>0.33525081064507234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96"/>
      <c r="G245" s="27">
        <f>HLOOKUP($E$3,$P$3:$CE$269,O245,FALSE)</f>
        <v>11.14272495177789</v>
      </c>
      <c r="H245" s="27">
        <f t="shared" ref="H245:K245" si="100">SUM(H226:H243)</f>
        <v>11.190683619764748</v>
      </c>
      <c r="I245" s="27">
        <f t="shared" si="100"/>
        <v>11.218703975052961</v>
      </c>
      <c r="J245" s="27">
        <f t="shared" si="100"/>
        <v>11.256222091459033</v>
      </c>
      <c r="K245" s="27">
        <f t="shared" si="100"/>
        <v>11.31356392971502</v>
      </c>
      <c r="L245" s="27">
        <f t="shared" ref="L245:M245" si="101">SUM(L226:L243)</f>
        <v>11.339004562050933</v>
      </c>
      <c r="M245" s="27">
        <f t="shared" si="101"/>
        <v>11.364310756485359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86"/>
      <c r="G246" s="6">
        <f>HLOOKUP($E$3,$P$3:$CE$269,O246,FALSE)</f>
        <v>69059.584317640605</v>
      </c>
      <c r="H246" s="6">
        <f t="shared" ref="H246:K246" si="102">EXP(H245)</f>
        <v>72452.294673891651</v>
      </c>
      <c r="I246" s="6">
        <f t="shared" si="102"/>
        <v>74511.143849431406</v>
      </c>
      <c r="J246" s="6">
        <f t="shared" si="102"/>
        <v>77359.764928989651</v>
      </c>
      <c r="K246" s="6">
        <f t="shared" si="102"/>
        <v>81925.36507073867</v>
      </c>
      <c r="L246" s="6">
        <f t="shared" ref="L246:M246" si="103">EXP(L245)</f>
        <v>84036.336531862558</v>
      </c>
      <c r="M246" s="6">
        <f t="shared" si="103"/>
        <v>86190.113412661609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90"/>
      <c r="G247" s="15">
        <f>HLOOKUP($E$3,$P$3:$CE$269,O247,FALSE)</f>
        <v>150.90198459414094</v>
      </c>
      <c r="H247" s="15">
        <f t="shared" ref="H247:K247" si="104">H137</f>
        <v>154.0428048563931</v>
      </c>
      <c r="I247" s="15">
        <f t="shared" si="104"/>
        <v>157.76877588865884</v>
      </c>
      <c r="J247" s="15">
        <f t="shared" si="104"/>
        <v>164.92330001062783</v>
      </c>
      <c r="K247" s="15">
        <f t="shared" si="104"/>
        <v>170.86615272489945</v>
      </c>
      <c r="L247" s="15">
        <f t="shared" ref="L247:M247" si="105">L137</f>
        <v>177.02315042887994</v>
      </c>
      <c r="M247" s="15">
        <f t="shared" si="105"/>
        <v>183.40200963159654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86"/>
      <c r="G248" s="6">
        <f>HLOOKUP($E$3,$P$3:$CE$269,O248,FALSE)</f>
        <v>10421228.328778381</v>
      </c>
      <c r="H248" s="6">
        <f t="shared" ref="H248:K248" si="106">H246*H247</f>
        <v>11160754.689848181</v>
      </c>
      <c r="I248" s="6">
        <f t="shared" si="106"/>
        <v>11755531.955188563</v>
      </c>
      <c r="J248" s="6">
        <f t="shared" si="106"/>
        <v>12758427.720135406</v>
      </c>
      <c r="K248" s="6">
        <f t="shared" si="106"/>
        <v>13998271.940219976</v>
      </c>
      <c r="L248" s="6">
        <f t="shared" ref="L248:M248" si="107">L246*L247</f>
        <v>14876377.043371884</v>
      </c>
      <c r="M248" s="6">
        <f t="shared" si="107"/>
        <v>15807440.010257363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33" t="s">
        <v>151</v>
      </c>
      <c r="B253" s="233"/>
      <c r="C253" s="233"/>
      <c r="D253" s="233"/>
      <c r="E253" s="233"/>
      <c r="F253" s="233"/>
      <c r="G253" s="233"/>
      <c r="H253" s="233"/>
      <c r="I253" s="233"/>
      <c r="J253" s="233"/>
      <c r="K253" s="233"/>
      <c r="L253" s="233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6537085.5690925065</v>
      </c>
      <c r="H256" s="39">
        <f t="shared" ref="H256:K256" si="109">H121</f>
        <v>6391228.1750525869</v>
      </c>
      <c r="I256" s="39">
        <f t="shared" si="109"/>
        <v>7606232.6168388538</v>
      </c>
      <c r="J256" s="39">
        <f t="shared" si="109"/>
        <v>8662009.0135234781</v>
      </c>
      <c r="K256" s="39">
        <f t="shared" si="109"/>
        <v>10003484.649167486</v>
      </c>
      <c r="L256" s="39">
        <f t="shared" ref="L256:M256" si="110">L121</f>
        <v>10780570.066488191</v>
      </c>
      <c r="M256" s="39">
        <f t="shared" si="110"/>
        <v>7616002.826987722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10421228.328778381</v>
      </c>
      <c r="H257" s="39">
        <f t="shared" ref="H257:K257" si="112">H248</f>
        <v>11160754.689848181</v>
      </c>
      <c r="I257" s="39">
        <f t="shared" si="112"/>
        <v>11755531.955188563</v>
      </c>
      <c r="J257" s="39">
        <f t="shared" si="112"/>
        <v>12758427.720135406</v>
      </c>
      <c r="K257" s="39">
        <f t="shared" si="112"/>
        <v>13998271.940219976</v>
      </c>
      <c r="L257" s="39">
        <f t="shared" ref="L257:M257" si="113">L248</f>
        <v>14876377.043371884</v>
      </c>
      <c r="M257" s="39">
        <f t="shared" si="113"/>
        <v>15807440.010257363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-3884142.759685874</v>
      </c>
      <c r="H258" s="17">
        <f t="shared" ref="H258:K258" si="115">H256-H257</f>
        <v>-4769526.5147955939</v>
      </c>
      <c r="I258" s="17">
        <f t="shared" si="115"/>
        <v>-4149299.3383497093</v>
      </c>
      <c r="J258" s="17">
        <f t="shared" si="115"/>
        <v>-4096418.7066119276</v>
      </c>
      <c r="K258" s="17">
        <f t="shared" si="115"/>
        <v>-3994787.2910524905</v>
      </c>
      <c r="L258" s="17">
        <f t="shared" ref="L258:M258" si="116">L256-L257</f>
        <v>-4095806.9768836927</v>
      </c>
      <c r="M258" s="17">
        <f t="shared" si="116"/>
        <v>-8191437.1832696414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203"/>
      <c r="G259" s="40">
        <f>G258/G257</f>
        <v>-0.37271448596512896</v>
      </c>
      <c r="H259" s="40">
        <f t="shared" ref="H259:K259" si="117">H258/H257</f>
        <v>-0.42734802863590882</v>
      </c>
      <c r="I259" s="40">
        <f t="shared" si="117"/>
        <v>-0.35296568068264444</v>
      </c>
      <c r="J259" s="40">
        <f t="shared" si="117"/>
        <v>-0.32107551153399111</v>
      </c>
      <c r="K259" s="40">
        <f t="shared" si="117"/>
        <v>-0.28537717427639248</v>
      </c>
      <c r="L259" s="40">
        <f t="shared" ref="L259:M259" si="118">L258/L257</f>
        <v>-0.27532288035873387</v>
      </c>
      <c r="M259" s="40">
        <f t="shared" si="118"/>
        <v>-0.51820137719670367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-0.46635347670964911</v>
      </c>
      <c r="H261" s="41">
        <f t="shared" si="119"/>
        <v>-0.55747712661558291</v>
      </c>
      <c r="I261" s="41">
        <f t="shared" si="119"/>
        <v>-0.43535594212084266</v>
      </c>
      <c r="J261" s="41">
        <f t="shared" si="119"/>
        <v>-0.38724536752523508</v>
      </c>
      <c r="K261" s="41">
        <f t="shared" si="119"/>
        <v>-0.33600039194437231</v>
      </c>
      <c r="L261" s="41">
        <f t="shared" ref="L261:M261" si="120">LN(L256/L257)</f>
        <v>-0.32202907554515836</v>
      </c>
      <c r="M261" s="41">
        <f t="shared" si="120"/>
        <v>-0.73022904724609827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26">
        <f>Q261-$G$261</f>
        <v>0.42225139863304656</v>
      </c>
      <c r="R275" s="226">
        <f t="shared" ref="R275:BW275" si="121">R261-$G$261</f>
        <v>1.0855254741298608</v>
      </c>
      <c r="S275" s="226">
        <f t="shared" si="121"/>
        <v>0.49440116175985704</v>
      </c>
      <c r="T275" s="226">
        <f t="shared" si="121"/>
        <v>0.42091183485502648</v>
      </c>
      <c r="U275" s="226">
        <f t="shared" si="121"/>
        <v>0.41837357248942464</v>
      </c>
      <c r="V275" s="226">
        <f t="shared" si="121"/>
        <v>0.33623202588618051</v>
      </c>
      <c r="W275" s="226">
        <f t="shared" si="121"/>
        <v>0.57623542523691051</v>
      </c>
      <c r="X275" s="226">
        <f t="shared" si="121"/>
        <v>0.3545018779118449</v>
      </c>
      <c r="Y275" s="226">
        <f t="shared" si="121"/>
        <v>0.65488566932528891</v>
      </c>
      <c r="Z275" s="226">
        <f t="shared" si="121"/>
        <v>-8.1133827971916705E-2</v>
      </c>
      <c r="AA275" s="226">
        <f t="shared" si="121"/>
        <v>-0.12376761159005678</v>
      </c>
      <c r="AB275" s="226">
        <f t="shared" si="121"/>
        <v>0.42383234040124707</v>
      </c>
      <c r="AC275" s="226">
        <f t="shared" si="121"/>
        <v>0.32272331690668832</v>
      </c>
      <c r="AD275" s="226">
        <f t="shared" si="121"/>
        <v>0.21237045663818072</v>
      </c>
      <c r="AE275" s="226">
        <f t="shared" si="121"/>
        <v>0.31318525541213765</v>
      </c>
      <c r="AF275" s="226">
        <f t="shared" si="121"/>
        <v>0.36854524458446258</v>
      </c>
      <c r="AG275" s="226">
        <f t="shared" si="121"/>
        <v>0.45116576263190294</v>
      </c>
      <c r="AH275" s="226">
        <f t="shared" si="121"/>
        <v>0.2108561118620127</v>
      </c>
      <c r="AI275" s="226">
        <f t="shared" si="121"/>
        <v>0.22869299279511873</v>
      </c>
      <c r="AJ275" s="226">
        <f t="shared" si="121"/>
        <v>0.48274369472135353</v>
      </c>
      <c r="AK275" s="226">
        <f t="shared" si="121"/>
        <v>0.35280834468995909</v>
      </c>
      <c r="AL275" s="226">
        <f t="shared" si="121"/>
        <v>0.4965956164833677</v>
      </c>
      <c r="AM275" s="226">
        <f t="shared" si="121"/>
        <v>0.12096123641903739</v>
      </c>
      <c r="AN275" s="226">
        <f t="shared" si="121"/>
        <v>0.12833621001059076</v>
      </c>
      <c r="AO275" s="226">
        <f t="shared" si="121"/>
        <v>0.14997043354298667</v>
      </c>
      <c r="AP275" s="226">
        <f t="shared" si="121"/>
        <v>0.28681489064682542</v>
      </c>
      <c r="AQ275" s="226">
        <f t="shared" si="121"/>
        <v>-0.19729287303238652</v>
      </c>
      <c r="AR275" s="226">
        <f t="shared" si="121"/>
        <v>0.6275698075024353</v>
      </c>
      <c r="AS275" s="226">
        <f t="shared" si="121"/>
        <v>0.66453410116837097</v>
      </c>
      <c r="AT275" s="226">
        <f t="shared" si="121"/>
        <v>0.39815199576335603</v>
      </c>
      <c r="AU275" s="226">
        <f t="shared" si="121"/>
        <v>0.3982495445586326</v>
      </c>
      <c r="AV275" s="226">
        <f t="shared" si="121"/>
        <v>0.2456687749163298</v>
      </c>
      <c r="AW275" s="226">
        <f t="shared" si="121"/>
        <v>0.19455529487136947</v>
      </c>
      <c r="AX275" s="226">
        <f t="shared" si="121"/>
        <v>0.29777643429807626</v>
      </c>
      <c r="AY275" s="226">
        <f t="shared" si="121"/>
        <v>0.40328116352438365</v>
      </c>
      <c r="AZ275" s="226">
        <f t="shared" si="121"/>
        <v>0.2295037437552826</v>
      </c>
      <c r="BA275" s="226">
        <f t="shared" si="121"/>
        <v>0.30764716079487719</v>
      </c>
      <c r="BB275" s="226">
        <f t="shared" si="121"/>
        <v>0.43794167462535277</v>
      </c>
      <c r="BC275" s="226">
        <f t="shared" si="121"/>
        <v>0.3394966822958228</v>
      </c>
      <c r="BD275" s="226">
        <f t="shared" si="121"/>
        <v>0.48059562156323704</v>
      </c>
      <c r="BE275" s="226">
        <f t="shared" si="121"/>
        <v>4.5519260517687177E-2</v>
      </c>
      <c r="BF275" s="226">
        <f t="shared" si="121"/>
        <v>0.4280976179509185</v>
      </c>
      <c r="BG275" s="226">
        <f t="shared" si="121"/>
        <v>0.17873076195766069</v>
      </c>
      <c r="BH275" s="226">
        <f t="shared" si="121"/>
        <v>0.4478014560613498</v>
      </c>
      <c r="BI275" s="226">
        <f t="shared" si="121"/>
        <v>0.30018254430174973</v>
      </c>
      <c r="BJ275" s="226">
        <f t="shared" si="121"/>
        <v>0.22355108088397502</v>
      </c>
      <c r="BK275" s="226">
        <f t="shared" si="121"/>
        <v>0.46036925886650271</v>
      </c>
      <c r="BL275" s="226">
        <f t="shared" si="121"/>
        <v>0.47735757634528242</v>
      </c>
      <c r="BM275" s="226">
        <f t="shared" si="121"/>
        <v>0.44152903159579887</v>
      </c>
      <c r="BN275" s="226">
        <f t="shared" si="121"/>
        <v>0.31244235310307411</v>
      </c>
      <c r="BO275" s="226">
        <f t="shared" si="121"/>
        <v>0.20785457167448818</v>
      </c>
      <c r="BP275" s="226">
        <f t="shared" si="121"/>
        <v>0.47115528710870824</v>
      </c>
      <c r="BQ275" s="226">
        <f t="shared" si="121"/>
        <v>0.41118554042746158</v>
      </c>
      <c r="BR275" s="226">
        <f t="shared" si="121"/>
        <v>0.99498615826598535</v>
      </c>
      <c r="BS275" s="226">
        <f t="shared" si="121"/>
        <v>0</v>
      </c>
      <c r="BT275" s="226">
        <f t="shared" si="121"/>
        <v>0.50104435385834112</v>
      </c>
      <c r="BU275" s="226">
        <f t="shared" si="121"/>
        <v>0.16303978491020027</v>
      </c>
      <c r="BV275" s="226">
        <f t="shared" si="121"/>
        <v>0.49521920251821855</v>
      </c>
      <c r="BW275" s="226">
        <f t="shared" si="121"/>
        <v>0.35575032100660553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workbookViewId="0">
      <selection activeCell="H29" sqref="H29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hidden="1" customWidth="1"/>
    <col min="12" max="13" width="9.28515625" bestFit="1" customWidth="1"/>
  </cols>
  <sheetData>
    <row r="2" spans="3:17" ht="23.25" x14ac:dyDescent="0.35">
      <c r="C2" s="234" t="s">
        <v>168</v>
      </c>
      <c r="D2" s="234"/>
      <c r="E2" s="234"/>
      <c r="F2" s="234"/>
      <c r="G2" s="234"/>
      <c r="H2" s="234"/>
      <c r="I2" s="234"/>
      <c r="J2" s="234"/>
      <c r="K2" s="234"/>
    </row>
    <row r="3" spans="3:17" ht="23.25" customHeight="1" x14ac:dyDescent="0.25">
      <c r="C3" s="230" t="str">
        <f>'Model Inputs'!F5</f>
        <v>Wasaga Distribution Inc.</v>
      </c>
      <c r="D3" s="230"/>
      <c r="E3" s="230"/>
      <c r="F3" s="230"/>
      <c r="G3" s="230"/>
      <c r="H3" s="230"/>
      <c r="I3" s="230"/>
      <c r="J3" s="230"/>
      <c r="K3" s="230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2" t="s">
        <v>185</v>
      </c>
      <c r="G7" s="2" t="s">
        <v>186</v>
      </c>
      <c r="H7" s="2" t="s">
        <v>187</v>
      </c>
    </row>
    <row r="8" spans="3:17" x14ac:dyDescent="0.2">
      <c r="C8" s="8" t="s">
        <v>163</v>
      </c>
    </row>
    <row r="10" spans="3:17" ht="18.75" customHeight="1" x14ac:dyDescent="0.2">
      <c r="D10" t="s">
        <v>162</v>
      </c>
      <c r="F10" s="54">
        <f>'Benchmarking Calculations'!G121</f>
        <v>6537085.5690925065</v>
      </c>
      <c r="G10" s="54">
        <f>'Benchmarking Calculations'!H121</f>
        <v>6391228.1750525869</v>
      </c>
      <c r="H10" s="54">
        <f>'Benchmarking Calculations'!I121</f>
        <v>7606232.6168388538</v>
      </c>
      <c r="I10" s="53">
        <f>IF(ISNUMBER(I12),'Benchmarking Calculations'!J121,"na")</f>
        <v>8662009.0135234781</v>
      </c>
      <c r="J10" s="53">
        <f>IF(ISNUMBER(J12),'Benchmarking Calculations'!K121,"na")</f>
        <v>10003484.649167486</v>
      </c>
      <c r="K10" s="53">
        <f>IF(ISNUMBER(K12),'Benchmarking Calculations'!L121,"na")</f>
        <v>10780570.066488191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150</v>
      </c>
      <c r="F12" s="54">
        <f>'Benchmarking Calculations'!G257</f>
        <v>10421228.328778381</v>
      </c>
      <c r="G12" s="54">
        <f>'Benchmarking Calculations'!H257</f>
        <v>11160754.689848181</v>
      </c>
      <c r="H12" s="54">
        <f>'Benchmarking Calculations'!I257</f>
        <v>11755531.955188563</v>
      </c>
      <c r="I12" s="53">
        <f>IF(ISNUMBER('Benchmarking Calculations'!J257),'Benchmarking Calculations'!J257,"na")</f>
        <v>12758427.720135406</v>
      </c>
      <c r="J12" s="53">
        <f>IF(ISNUMBER('Benchmarking Calculations'!K257),'Benchmarking Calculations'!K257,"na")</f>
        <v>13998271.940219976</v>
      </c>
      <c r="K12" s="53">
        <f>IF(ISNUMBER('Benchmarking Calculations'!L257),'Benchmarking Calculations'!L257,"na")</f>
        <v>14876377.043371884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160</v>
      </c>
      <c r="F14" s="54">
        <f t="shared" ref="F14:H14" si="1">F10-F12</f>
        <v>-3884142.759685874</v>
      </c>
      <c r="G14" s="54">
        <f t="shared" si="1"/>
        <v>-4769526.5147955939</v>
      </c>
      <c r="H14" s="54">
        <f t="shared" si="1"/>
        <v>-4149299.3383497093</v>
      </c>
      <c r="I14" s="53">
        <f>IF(ISNUMBER(I12),I10-I12,"na")</f>
        <v>-4096418.7066119276</v>
      </c>
      <c r="J14" s="53">
        <f t="shared" ref="J14:K14" si="2">IF(ISNUMBER(J12),J10-J12,"na")</f>
        <v>-3994787.2910524905</v>
      </c>
      <c r="K14" s="53">
        <f t="shared" si="2"/>
        <v>-4095806.9768836927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184</v>
      </c>
      <c r="E16" s="8"/>
      <c r="F16" s="139">
        <f>LN(F10/F12)</f>
        <v>-0.46635347670964911</v>
      </c>
      <c r="G16" s="139">
        <f t="shared" ref="G16:H16" si="3">LN(G10/G12)</f>
        <v>-0.55747712661558291</v>
      </c>
      <c r="H16" s="139">
        <f t="shared" si="3"/>
        <v>-0.43535594212084266</v>
      </c>
      <c r="I16" s="91">
        <f>IF(ISNUMBER(I14),LN(I10/I12),"na")</f>
        <v>-0.38724536752523508</v>
      </c>
      <c r="J16" s="91">
        <f t="shared" ref="J16:K16" si="4">IF(ISNUMBER(J14),LN(J10/J12),"na")</f>
        <v>-0.33600039194437231</v>
      </c>
      <c r="K16" s="91">
        <f t="shared" si="4"/>
        <v>-0.32202907554515836</v>
      </c>
    </row>
    <row r="17" spans="4:11" ht="18.75" customHeight="1" x14ac:dyDescent="0.2">
      <c r="F17" s="108"/>
      <c r="G17" s="108"/>
      <c r="H17" s="108"/>
      <c r="I17" s="56"/>
      <c r="J17" s="56"/>
      <c r="K17" s="56"/>
    </row>
    <row r="18" spans="4:11" ht="18.75" customHeight="1" x14ac:dyDescent="0.2">
      <c r="D18" t="s">
        <v>181</v>
      </c>
      <c r="F18" s="109"/>
      <c r="G18" s="109"/>
      <c r="H18" s="109">
        <f>AVERAGE(F16:H16)</f>
        <v>-0.48639551514869156</v>
      </c>
      <c r="I18" s="43">
        <f>IF(ISNUMBER(I16),AVERAGE(G16:I16),"na")</f>
        <v>-0.46002614542055359</v>
      </c>
      <c r="J18" s="43">
        <f t="shared" ref="J18:K18" si="5">IF(ISNUMBER(J16),AVERAGE(H16:J16),"na")</f>
        <v>-0.38620056719681672</v>
      </c>
      <c r="K18" s="43">
        <f t="shared" si="5"/>
        <v>-0.34842494500492194</v>
      </c>
    </row>
    <row r="19" spans="4:11" ht="18.75" customHeight="1" x14ac:dyDescent="0.2"/>
    <row r="20" spans="4:11" ht="18.75" customHeight="1" x14ac:dyDescent="0.45">
      <c r="D20" t="s">
        <v>161</v>
      </c>
      <c r="F20" s="79"/>
    </row>
    <row r="22" spans="4:11" ht="15" x14ac:dyDescent="0.25">
      <c r="E22" t="s">
        <v>182</v>
      </c>
      <c r="F22" s="92">
        <f>IF(F16&lt;-0.25,1,IF(F16&lt;-0.1,2,IF(F16&lt;0.1,3,IF(F16&lt;0.25,4,5))))</f>
        <v>1</v>
      </c>
      <c r="G22" s="92">
        <f t="shared" ref="G22" si="6">IF(G16&lt;-0.25,1,IF(G16&lt;-0.1,2,IF(G16&lt;0.1,3,IF(G16&lt;0.25,4,5))))</f>
        <v>1</v>
      </c>
      <c r="H22" s="92">
        <f>IF($H$16&lt;-0.25,1,IF($H$16&lt;-0.1,2,IF($H$16&lt;0.1,3,IF($H$16&lt;0.25,4,5))))</f>
        <v>1</v>
      </c>
      <c r="I22" s="92">
        <f>IF(ISNUMBER(I16),IF(I16&lt;-0.25,1,IF(I16&lt;-0.1,2,IF(I16&lt;0.1,3,IF(I16&lt;0.25,4,5)))),"na")</f>
        <v>1</v>
      </c>
      <c r="J22" s="92">
        <f t="shared" ref="J22:K22" si="7">IF(ISNUMBER(J16),IF(J16&lt;-0.25,1,IF(J16&lt;-0.1,2,IF(J16&lt;0.1,3,IF(J16&lt;0.25,4,5)))),"na")</f>
        <v>1</v>
      </c>
      <c r="K22" s="92">
        <f t="shared" si="7"/>
        <v>1</v>
      </c>
    </row>
    <row r="24" spans="4:11" ht="15" x14ac:dyDescent="0.25">
      <c r="E24" t="s">
        <v>155</v>
      </c>
      <c r="H24" s="92">
        <f>IF(H$18&lt;-0.25,1,IF(H$18&lt;-0.1,2,IF(H$18&lt;0.1,3,IF(H$18&lt;0.25,4,5))))</f>
        <v>1</v>
      </c>
      <c r="I24" s="92">
        <f t="shared" ref="I24:K24" si="8">IF(I$18&lt;-0.25,1,IF(I$18&lt;-0.1,2,IF(I$18&lt;0.1,3,IF(I$18&lt;0.25,4,5))))</f>
        <v>1</v>
      </c>
      <c r="J24" s="92">
        <f t="shared" si="8"/>
        <v>1</v>
      </c>
      <c r="K24" s="92">
        <f t="shared" si="8"/>
        <v>1</v>
      </c>
    </row>
    <row r="27" spans="4:11" x14ac:dyDescent="0.2">
      <c r="D27" s="8"/>
    </row>
    <row r="29" spans="4:11" x14ac:dyDescent="0.2">
      <c r="F29" s="85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Spencer Silvestro</cp:lastModifiedBy>
  <cp:lastPrinted>2018-07-25T01:09:59Z</cp:lastPrinted>
  <dcterms:created xsi:type="dcterms:W3CDTF">2016-07-20T15:58:10Z</dcterms:created>
  <dcterms:modified xsi:type="dcterms:W3CDTF">2023-10-20T13:36:37Z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